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drawings/drawing4.xml" ContentType="application/vnd.openxmlformats-officedocument.drawing+xml"/>
  <Override PartName="/xl/comments4.xml" ContentType="application/vnd.openxmlformats-officedocument.spreadsheetml.comments+xml"/>
  <Override PartName="/xl/threadedComments/threadedComment1.xml" ContentType="application/vnd.ms-excel.threadedcomments+xml"/>
  <Override PartName="/xl/comments5.xml" ContentType="application/vnd.openxmlformats-officedocument.spreadsheetml.comments+xml"/>
  <Override PartName="/xl/threadedComments/threadedComment2.xml" ContentType="application/vnd.ms-excel.threadedcomments+xml"/>
  <Override PartName="/xl/comments6.xml" ContentType="application/vnd.openxmlformats-officedocument.spreadsheetml.comments+xml"/>
  <Override PartName="/xl/threadedComments/threadedComment3.xml" ContentType="application/vnd.ms-excel.threadedcomments+xml"/>
  <Override PartName="/xl/drawings/drawing5.xml" ContentType="application/vnd.openxmlformats-officedocument.drawing+xml"/>
  <Override PartName="/xl/charts/chart1.xml" ContentType="application/vnd.openxmlformats-officedocument.drawingml.chart+xml"/>
  <Override PartName="/xl/comments7.xml" ContentType="application/vnd.openxmlformats-officedocument.spreadsheetml.comments+xml"/>
  <Override PartName="/xl/threadedComments/threadedComment4.xml" ContentType="application/vnd.ms-excel.threadedcomments+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omments8.xml" ContentType="application/vnd.openxmlformats-officedocument.spreadsheetml.comments+xml"/>
  <Override PartName="/xl/drawings/drawing9.xml" ContentType="application/vnd.openxmlformats-officedocument.drawing+xml"/>
  <Override PartName="/xl/charts/chart2.xml" ContentType="application/vnd.openxmlformats-officedocument.drawingml.chart+xml"/>
  <Override PartName="/xl/charts/style1.xml" ContentType="application/vnd.ms-office.chartstyle+xml"/>
  <Override PartName="/xl/charts/colors1.xml" ContentType="application/vnd.ms-office.chartcolorstyle+xml"/>
  <Override PartName="/xl/drawings/drawing10.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330"/>
  <workbookPr/>
  <mc:AlternateContent xmlns:mc="http://schemas.openxmlformats.org/markup-compatibility/2006">
    <mc:Choice Requires="x15">
      <x15ac:absPath xmlns:x15ac="http://schemas.microsoft.com/office/spreadsheetml/2010/11/ac" url="C:\Users\dmeda\Wentworth Group Dropbox\Repairing Degraded Landscapes\Repairing Australia's Environment 2020-\Report - final version\"/>
    </mc:Choice>
  </mc:AlternateContent>
  <xr:revisionPtr revIDLastSave="0" documentId="13_ncr:1_{7976C7ED-8AE0-4ACD-9CCA-CDDBC816EFF2}" xr6:coauthVersionLast="47" xr6:coauthVersionMax="47" xr10:uidLastSave="{00000000-0000-0000-0000-000000000000}"/>
  <bookViews>
    <workbookView xWindow="-110" yWindow="-110" windowWidth="19420" windowHeight="10300" tabRatio="783" firstSheet="5" activeTab="5" xr2:uid="{00000000-000D-0000-FFFF-FFFF00000000}"/>
  </bookViews>
  <sheets>
    <sheet name="LD Summary" sheetId="50" state="hidden" r:id="rId1"/>
    <sheet name="Headline.Summary" sheetId="22" state="hidden" r:id="rId2"/>
    <sheet name="Headline.Summary OLD" sheetId="18" state="hidden" r:id="rId3"/>
    <sheet name="Charts (Data)" sheetId="10" state="hidden" r:id="rId4"/>
    <sheet name="AssetByAsset.Summary" sheetId="15" state="hidden" r:id="rId5"/>
    <sheet name="Preface" sheetId="69" r:id="rId6"/>
    <sheet name="Investment Summary" sheetId="34" r:id="rId7"/>
    <sheet name="Master" sheetId="1" r:id="rId8"/>
    <sheet name="Soils" sheetId="51" r:id="rId9"/>
    <sheet name="Inland Water" sheetId="55" r:id="rId10"/>
    <sheet name="Native vegetation" sheetId="54" r:id="rId11"/>
    <sheet name="Threatened Species" sheetId="57" r:id="rId12"/>
    <sheet name="Coastal Environments" sheetId="56" r:id="rId13"/>
    <sheet name="Carbon.Data" sheetId="66" r:id="rId14"/>
    <sheet name="Native vegetation - Carbon" sheetId="67" r:id="rId15"/>
    <sheet name="Present Value" sheetId="30" r:id="rId16"/>
    <sheet name="Assumptions" sheetId="2" r:id="rId17"/>
    <sheet name="Inflation Rates" sheetId="52" r:id="rId18"/>
    <sheet name="Regulatory.Actions" sheetId="13" r:id="rId19"/>
    <sheet name="MajorRiv.Data" sheetId="4" r:id="rId20"/>
    <sheet name="MinorRiv.Data" sheetId="41" r:id="rId21"/>
    <sheet name="Lakes.Data" sheetId="47" r:id="rId22"/>
    <sheet name="Inland Waterways&gt;OpEx" sheetId="60" r:id="rId23"/>
    <sheet name="Other.Freshwater.Data" sheetId="65" r:id="rId24"/>
    <sheet name="TEC.Data" sheetId="64" r:id="rId25"/>
    <sheet name="NativeVeg V1.1 &amp; OpEx" sheetId="59" r:id="rId26"/>
    <sheet name="TEC.Data Wintle" sheetId="68" r:id="rId27"/>
    <sheet name="Estuaries.Data" sheetId="63" r:id="rId28"/>
  </sheet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F34" i="30" l="1"/>
  <c r="F35" i="30"/>
  <c r="F36" i="30"/>
  <c r="F33" i="30"/>
  <c r="F47" i="30"/>
  <c r="F46" i="30"/>
  <c r="F32" i="30"/>
  <c r="L36" i="30"/>
  <c r="J41" i="1"/>
  <c r="O1" i="67"/>
  <c r="D41" i="67"/>
  <c r="H41" i="67"/>
  <c r="T46" i="67"/>
  <c r="AB4" i="67"/>
  <c r="C41" i="67"/>
  <c r="D14" i="34"/>
  <c r="I16" i="30"/>
  <c r="T47" i="67"/>
  <c r="T45" i="67"/>
  <c r="T44" i="67"/>
  <c r="G41" i="67"/>
  <c r="D44" i="34"/>
  <c r="H14" i="56"/>
  <c r="M87" i="1" l="1"/>
  <c r="M28" i="1"/>
  <c r="M56" i="1"/>
  <c r="M74" i="1"/>
  <c r="M82" i="1"/>
  <c r="M83" i="1"/>
  <c r="M99" i="1"/>
  <c r="C3" i="2"/>
  <c r="L41" i="67"/>
  <c r="L42" i="67" s="1"/>
  <c r="L43" i="67" s="1"/>
  <c r="L44" i="67" s="1"/>
  <c r="L45" i="67" s="1"/>
  <c r="L46" i="67" s="1"/>
  <c r="L47" i="67" s="1"/>
  <c r="L48" i="67" s="1"/>
  <c r="L49" i="67" s="1"/>
  <c r="L50" i="67" s="1"/>
  <c r="L51" i="67" s="1"/>
  <c r="L52" i="67" s="1"/>
  <c r="L53" i="67" s="1"/>
  <c r="L54" i="67" s="1"/>
  <c r="L55" i="67" s="1"/>
  <c r="L56" i="67" s="1"/>
  <c r="L57" i="67" s="1"/>
  <c r="L58" i="67" s="1"/>
  <c r="L59" i="67" s="1"/>
  <c r="L60" i="67" s="1"/>
  <c r="L61" i="67" s="1"/>
  <c r="L62" i="67" s="1"/>
  <c r="L63" i="67" s="1"/>
  <c r="L64" i="67" s="1"/>
  <c r="L65" i="67" s="1"/>
  <c r="L66" i="67" s="1"/>
  <c r="L67" i="67" s="1"/>
  <c r="L68" i="67" s="1"/>
  <c r="L69" i="67" s="1"/>
  <c r="L70" i="67" s="1"/>
  <c r="L71" i="67" s="1"/>
  <c r="L72" i="67" s="1"/>
  <c r="L73" i="67" s="1"/>
  <c r="L74" i="67" s="1"/>
  <c r="L75" i="67" s="1"/>
  <c r="L76" i="67" s="1"/>
  <c r="L77" i="67" s="1"/>
  <c r="L78" i="67" s="1"/>
  <c r="L79" i="67" s="1"/>
  <c r="L80" i="67" s="1"/>
  <c r="L81" i="67" s="1"/>
  <c r="L82" i="67" s="1"/>
  <c r="L83" i="67" s="1"/>
  <c r="L84" i="67" s="1"/>
  <c r="L85" i="67" s="1"/>
  <c r="L86" i="67" s="1"/>
  <c r="L87" i="67" s="1"/>
  <c r="L88" i="67" s="1"/>
  <c r="L89" i="67" s="1"/>
  <c r="L90" i="67" s="1"/>
  <c r="L91" i="67" s="1"/>
  <c r="L92" i="67" s="1"/>
  <c r="L93" i="67" s="1"/>
  <c r="L94" i="67" s="1"/>
  <c r="G42" i="67"/>
  <c r="G43" i="67" s="1"/>
  <c r="G44" i="67" s="1"/>
  <c r="G45" i="67" s="1"/>
  <c r="G46" i="67" s="1"/>
  <c r="G47" i="67" s="1"/>
  <c r="G48" i="67" s="1"/>
  <c r="G49" i="67" s="1"/>
  <c r="G50" i="67" s="1"/>
  <c r="G51" i="67" s="1"/>
  <c r="G52" i="67" s="1"/>
  <c r="G53" i="67" s="1"/>
  <c r="G54" i="67" s="1"/>
  <c r="G55" i="67" s="1"/>
  <c r="G56" i="67" s="1"/>
  <c r="G57" i="67" s="1"/>
  <c r="G58" i="67" s="1"/>
  <c r="G59" i="67" s="1"/>
  <c r="G60" i="67" s="1"/>
  <c r="G61" i="67" s="1"/>
  <c r="G62" i="67" s="1"/>
  <c r="G63" i="67" s="1"/>
  <c r="G64" i="67" s="1"/>
  <c r="G65" i="67" s="1"/>
  <c r="G66" i="67" s="1"/>
  <c r="G67" i="67" s="1"/>
  <c r="G68" i="67" s="1"/>
  <c r="G69" i="67" s="1"/>
  <c r="G70" i="67" s="1"/>
  <c r="G71" i="67" s="1"/>
  <c r="G72" i="67" s="1"/>
  <c r="G73" i="67" s="1"/>
  <c r="G74" i="67" s="1"/>
  <c r="G75" i="67" s="1"/>
  <c r="G76" i="67" s="1"/>
  <c r="G77" i="67" s="1"/>
  <c r="G78" i="67" s="1"/>
  <c r="G79" i="67" s="1"/>
  <c r="G80" i="67" s="1"/>
  <c r="G81" i="67" s="1"/>
  <c r="G82" i="67" s="1"/>
  <c r="G83" i="67" s="1"/>
  <c r="G84" i="67" s="1"/>
  <c r="G85" i="67" s="1"/>
  <c r="G86" i="67" s="1"/>
  <c r="G87" i="67" s="1"/>
  <c r="G88" i="67" s="1"/>
  <c r="G89" i="67" s="1"/>
  <c r="G90" i="67" s="1"/>
  <c r="G91" i="67" s="1"/>
  <c r="G92" i="67" s="1"/>
  <c r="G93" i="67" s="1"/>
  <c r="G94" i="67" s="1"/>
  <c r="F94" i="67"/>
  <c r="F93" i="67"/>
  <c r="F92" i="67"/>
  <c r="F91" i="67"/>
  <c r="F90" i="67"/>
  <c r="F89" i="67"/>
  <c r="F88" i="67"/>
  <c r="F87" i="67"/>
  <c r="F86" i="67"/>
  <c r="F85" i="67"/>
  <c r="F84" i="67"/>
  <c r="F83" i="67"/>
  <c r="F82" i="67"/>
  <c r="F81" i="67"/>
  <c r="F80" i="67"/>
  <c r="F79" i="67"/>
  <c r="F78" i="67"/>
  <c r="F77" i="67"/>
  <c r="F76" i="67"/>
  <c r="F75" i="67"/>
  <c r="F74" i="67"/>
  <c r="F73" i="67"/>
  <c r="F72" i="67"/>
  <c r="F71" i="67"/>
  <c r="F70" i="67"/>
  <c r="F69" i="67"/>
  <c r="F68" i="67"/>
  <c r="F67" i="67"/>
  <c r="F66" i="67"/>
  <c r="F65" i="67"/>
  <c r="F64" i="67"/>
  <c r="F63" i="67"/>
  <c r="F62" i="67"/>
  <c r="F61" i="67"/>
  <c r="F60" i="67"/>
  <c r="F59" i="67"/>
  <c r="F58" i="67"/>
  <c r="F57" i="67"/>
  <c r="F56" i="67"/>
  <c r="F55" i="67"/>
  <c r="F54" i="67"/>
  <c r="F53" i="67"/>
  <c r="F52" i="67"/>
  <c r="F51" i="67"/>
  <c r="F50" i="67"/>
  <c r="F49" i="67"/>
  <c r="F48" i="67"/>
  <c r="F47" i="67"/>
  <c r="F46" i="67"/>
  <c r="F45" i="67"/>
  <c r="F44" i="67"/>
  <c r="F43" i="67"/>
  <c r="F42" i="67"/>
  <c r="F41" i="67"/>
  <c r="E7" i="60"/>
  <c r="E8" i="60" s="1"/>
  <c r="E41" i="67"/>
  <c r="B55" i="68" l="1"/>
  <c r="C55" i="68" s="1"/>
  <c r="D55" i="68" s="1"/>
  <c r="E55" i="68" s="1"/>
  <c r="F55" i="68" s="1"/>
  <c r="G55" i="68" s="1"/>
  <c r="H55" i="68" s="1"/>
  <c r="I55" i="68" s="1"/>
  <c r="J55" i="68" s="1"/>
  <c r="K55" i="68" s="1"/>
  <c r="L55" i="68" s="1"/>
  <c r="M55" i="68" s="1"/>
  <c r="N55" i="68" s="1"/>
  <c r="O55" i="68" s="1"/>
  <c r="P55" i="68" s="1"/>
  <c r="Q55" i="68" s="1"/>
  <c r="R55" i="68" s="1"/>
  <c r="S55" i="68" s="1"/>
  <c r="T55" i="68" s="1"/>
  <c r="U55" i="68" s="1"/>
  <c r="V55" i="68" s="1"/>
  <c r="W55" i="68" s="1"/>
  <c r="X55" i="68" s="1"/>
  <c r="Y55" i="68" s="1"/>
  <c r="Z55" i="68" s="1"/>
  <c r="AA55" i="68" s="1"/>
  <c r="AB55" i="68" s="1"/>
  <c r="AC55" i="68" s="1"/>
  <c r="AD55" i="68" s="1"/>
  <c r="AE55" i="68" s="1"/>
  <c r="B56" i="68"/>
  <c r="C56" i="68" s="1"/>
  <c r="D56" i="68" s="1"/>
  <c r="E56" i="68" s="1"/>
  <c r="F56" i="68" s="1"/>
  <c r="G56" i="68" s="1"/>
  <c r="H56" i="68" s="1"/>
  <c r="I56" i="68" s="1"/>
  <c r="J56" i="68" s="1"/>
  <c r="K56" i="68" s="1"/>
  <c r="L56" i="68" s="1"/>
  <c r="M56" i="68" s="1"/>
  <c r="N56" i="68" s="1"/>
  <c r="O56" i="68" s="1"/>
  <c r="P56" i="68" s="1"/>
  <c r="Q56" i="68" s="1"/>
  <c r="R56" i="68" s="1"/>
  <c r="S56" i="68" s="1"/>
  <c r="T56" i="68" s="1"/>
  <c r="U56" i="68" s="1"/>
  <c r="V56" i="68" s="1"/>
  <c r="W56" i="68" s="1"/>
  <c r="X56" i="68" s="1"/>
  <c r="Y56" i="68" s="1"/>
  <c r="Z56" i="68" s="1"/>
  <c r="AA56" i="68" s="1"/>
  <c r="AB56" i="68" s="1"/>
  <c r="AC56" i="68" s="1"/>
  <c r="AD56" i="68" s="1"/>
  <c r="AE56" i="68" s="1"/>
  <c r="B57" i="68"/>
  <c r="C57" i="68" s="1"/>
  <c r="D57" i="68" s="1"/>
  <c r="E57" i="68" s="1"/>
  <c r="F57" i="68" s="1"/>
  <c r="G57" i="68" s="1"/>
  <c r="H57" i="68" s="1"/>
  <c r="I57" i="68" s="1"/>
  <c r="J57" i="68" s="1"/>
  <c r="K57" i="68" s="1"/>
  <c r="L57" i="68" s="1"/>
  <c r="M57" i="68" s="1"/>
  <c r="N57" i="68" s="1"/>
  <c r="O57" i="68" s="1"/>
  <c r="P57" i="68" s="1"/>
  <c r="Q57" i="68" s="1"/>
  <c r="R57" i="68" s="1"/>
  <c r="S57" i="68" s="1"/>
  <c r="T57" i="68" s="1"/>
  <c r="U57" i="68" s="1"/>
  <c r="V57" i="68" s="1"/>
  <c r="W57" i="68" s="1"/>
  <c r="X57" i="68" s="1"/>
  <c r="Y57" i="68" s="1"/>
  <c r="Z57" i="68" s="1"/>
  <c r="AA57" i="68" s="1"/>
  <c r="AB57" i="68" s="1"/>
  <c r="AC57" i="68" s="1"/>
  <c r="AD57" i="68" s="1"/>
  <c r="AE57" i="68" s="1"/>
  <c r="B58" i="68"/>
  <c r="C58" i="68" s="1"/>
  <c r="D58" i="68" s="1"/>
  <c r="E58" i="68" s="1"/>
  <c r="F58" i="68" s="1"/>
  <c r="G58" i="68" s="1"/>
  <c r="H58" i="68" s="1"/>
  <c r="I58" i="68" s="1"/>
  <c r="J58" i="68" s="1"/>
  <c r="K58" i="68" s="1"/>
  <c r="L58" i="68" s="1"/>
  <c r="M58" i="68" s="1"/>
  <c r="N58" i="68" s="1"/>
  <c r="O58" i="68" s="1"/>
  <c r="P58" i="68" s="1"/>
  <c r="Q58" i="68" s="1"/>
  <c r="R58" i="68" s="1"/>
  <c r="S58" i="68" s="1"/>
  <c r="T58" i="68" s="1"/>
  <c r="U58" i="68" s="1"/>
  <c r="V58" i="68" s="1"/>
  <c r="W58" i="68" s="1"/>
  <c r="X58" i="68" s="1"/>
  <c r="Y58" i="68" s="1"/>
  <c r="Z58" i="68" s="1"/>
  <c r="AA58" i="68" s="1"/>
  <c r="AB58" i="68" s="1"/>
  <c r="AC58" i="68" s="1"/>
  <c r="AD58" i="68" s="1"/>
  <c r="AE58" i="68" s="1"/>
  <c r="B59" i="68"/>
  <c r="C59" i="68" s="1"/>
  <c r="D59" i="68" s="1"/>
  <c r="E59" i="68" s="1"/>
  <c r="F59" i="68" s="1"/>
  <c r="G59" i="68" s="1"/>
  <c r="H59" i="68" s="1"/>
  <c r="I59" i="68" s="1"/>
  <c r="J59" i="68" s="1"/>
  <c r="K59" i="68" s="1"/>
  <c r="L59" i="68" s="1"/>
  <c r="M59" i="68" s="1"/>
  <c r="N59" i="68" s="1"/>
  <c r="O59" i="68" s="1"/>
  <c r="P59" i="68" s="1"/>
  <c r="Q59" i="68" s="1"/>
  <c r="R59" i="68" s="1"/>
  <c r="S59" i="68" s="1"/>
  <c r="T59" i="68" s="1"/>
  <c r="U59" i="68" s="1"/>
  <c r="V59" i="68" s="1"/>
  <c r="W59" i="68" s="1"/>
  <c r="X59" i="68" s="1"/>
  <c r="Y59" i="68" s="1"/>
  <c r="Z59" i="68" s="1"/>
  <c r="AA59" i="68" s="1"/>
  <c r="AB59" i="68" s="1"/>
  <c r="AC59" i="68" s="1"/>
  <c r="AD59" i="68" s="1"/>
  <c r="AE59" i="68" s="1"/>
  <c r="B60" i="68"/>
  <c r="C60" i="68" s="1"/>
  <c r="D60" i="68" s="1"/>
  <c r="E60" i="68" s="1"/>
  <c r="F60" i="68" s="1"/>
  <c r="G60" i="68" s="1"/>
  <c r="H60" i="68" s="1"/>
  <c r="I60" i="68" s="1"/>
  <c r="J60" i="68" s="1"/>
  <c r="K60" i="68" s="1"/>
  <c r="L60" i="68" s="1"/>
  <c r="M60" i="68" s="1"/>
  <c r="N60" i="68" s="1"/>
  <c r="O60" i="68" s="1"/>
  <c r="P60" i="68" s="1"/>
  <c r="Q60" i="68" s="1"/>
  <c r="R60" i="68" s="1"/>
  <c r="S60" i="68" s="1"/>
  <c r="T60" i="68" s="1"/>
  <c r="U60" i="68" s="1"/>
  <c r="V60" i="68" s="1"/>
  <c r="W60" i="68" s="1"/>
  <c r="X60" i="68" s="1"/>
  <c r="Y60" i="68" s="1"/>
  <c r="Z60" i="68" s="1"/>
  <c r="AA60" i="68" s="1"/>
  <c r="AB60" i="68" s="1"/>
  <c r="AC60" i="68" s="1"/>
  <c r="AD60" i="68" s="1"/>
  <c r="AE60" i="68" s="1"/>
  <c r="B61" i="68"/>
  <c r="C61" i="68" s="1"/>
  <c r="D61" i="68" s="1"/>
  <c r="E61" i="68" s="1"/>
  <c r="F61" i="68" s="1"/>
  <c r="G61" i="68" s="1"/>
  <c r="H61" i="68" s="1"/>
  <c r="I61" i="68" s="1"/>
  <c r="J61" i="68" s="1"/>
  <c r="K61" i="68" s="1"/>
  <c r="L61" i="68" s="1"/>
  <c r="M61" i="68" s="1"/>
  <c r="N61" i="68" s="1"/>
  <c r="O61" i="68" s="1"/>
  <c r="P61" i="68" s="1"/>
  <c r="Q61" i="68" s="1"/>
  <c r="R61" i="68" s="1"/>
  <c r="S61" i="68" s="1"/>
  <c r="T61" i="68" s="1"/>
  <c r="U61" i="68" s="1"/>
  <c r="V61" i="68" s="1"/>
  <c r="W61" i="68" s="1"/>
  <c r="X61" i="68" s="1"/>
  <c r="Y61" i="68" s="1"/>
  <c r="Z61" i="68" s="1"/>
  <c r="AA61" i="68" s="1"/>
  <c r="AB61" i="68" s="1"/>
  <c r="AC61" i="68" s="1"/>
  <c r="AD61" i="68" s="1"/>
  <c r="AE61" i="68" s="1"/>
  <c r="N7" i="59"/>
  <c r="O7" i="59" s="1"/>
  <c r="U7" i="59"/>
  <c r="V7" i="59" s="1"/>
  <c r="E9" i="60"/>
  <c r="L3" i="30"/>
  <c r="M3" i="30"/>
  <c r="N3" i="30"/>
  <c r="O3" i="30"/>
  <c r="P3" i="30"/>
  <c r="Q3" i="30"/>
  <c r="R3" i="30"/>
  <c r="S3" i="30"/>
  <c r="T3" i="30"/>
  <c r="U3" i="30"/>
  <c r="V3" i="30"/>
  <c r="V63" i="30" s="1"/>
  <c r="W3" i="30"/>
  <c r="X3" i="30"/>
  <c r="Y3" i="30"/>
  <c r="Z3" i="30"/>
  <c r="AA3" i="30"/>
  <c r="AB3" i="30"/>
  <c r="AC3" i="30"/>
  <c r="AD3" i="30"/>
  <c r="AE3" i="30"/>
  <c r="AF3" i="30"/>
  <c r="AG3" i="30"/>
  <c r="AH3" i="30"/>
  <c r="AI3" i="30"/>
  <c r="AJ3" i="30"/>
  <c r="AK3" i="30"/>
  <c r="AL3" i="30"/>
  <c r="AM3" i="30"/>
  <c r="AN3" i="30"/>
  <c r="AO3" i="30"/>
  <c r="H7" i="60"/>
  <c r="C13" i="34"/>
  <c r="G40" i="67"/>
  <c r="L40" i="67"/>
  <c r="U45" i="67"/>
  <c r="U44" i="67"/>
  <c r="P36" i="67"/>
  <c r="P35" i="67"/>
  <c r="P34" i="67"/>
  <c r="P33" i="67"/>
  <c r="P32" i="67"/>
  <c r="P31" i="67"/>
  <c r="P30" i="67"/>
  <c r="P29" i="67"/>
  <c r="P28" i="67"/>
  <c r="P27" i="67"/>
  <c r="P26" i="67"/>
  <c r="P25" i="67"/>
  <c r="P24" i="67"/>
  <c r="P23" i="67"/>
  <c r="P22" i="67"/>
  <c r="P21" i="67"/>
  <c r="P20" i="67"/>
  <c r="P19" i="67"/>
  <c r="P18" i="67"/>
  <c r="P17" i="67"/>
  <c r="P16" i="67"/>
  <c r="P15" i="67"/>
  <c r="P14" i="67"/>
  <c r="P13" i="67"/>
  <c r="P12" i="67"/>
  <c r="P11" i="67"/>
  <c r="P10" i="67"/>
  <c r="P9" i="67"/>
  <c r="P8" i="67"/>
  <c r="P7" i="67"/>
  <c r="P6" i="67"/>
  <c r="P5" i="67"/>
  <c r="P4" i="67"/>
  <c r="C6" i="34"/>
  <c r="C5" i="34"/>
  <c r="W63" i="30" l="1"/>
  <c r="X63" i="30" s="1"/>
  <c r="Y63" i="30" s="1"/>
  <c r="Z63" i="30" s="1"/>
  <c r="AA63" i="30" s="1"/>
  <c r="AB63" i="30" s="1"/>
  <c r="AC63" i="30" s="1"/>
  <c r="AD63" i="30" s="1"/>
  <c r="AE63" i="30" s="1"/>
  <c r="AF63" i="30" s="1"/>
  <c r="AG63" i="30" s="1"/>
  <c r="AH63" i="30" s="1"/>
  <c r="AI63" i="30" s="1"/>
  <c r="AJ63" i="30" s="1"/>
  <c r="AK63" i="30" s="1"/>
  <c r="AL63" i="30" s="1"/>
  <c r="AM63" i="30" s="1"/>
  <c r="AN63" i="30" s="1"/>
  <c r="AO63" i="30" s="1"/>
  <c r="U8" i="59"/>
  <c r="N8" i="59"/>
  <c r="N9" i="59" s="1"/>
  <c r="N10" i="59" s="1"/>
  <c r="N11" i="59" s="1"/>
  <c r="N12" i="59" s="1"/>
  <c r="N13" i="59" s="1"/>
  <c r="E10" i="60"/>
  <c r="E11" i="60" s="1"/>
  <c r="P1" i="67"/>
  <c r="E18" i="1"/>
  <c r="X10" i="68"/>
  <c r="W10" i="68"/>
  <c r="M10" i="68"/>
  <c r="L10" i="68"/>
  <c r="H10" i="68"/>
  <c r="G10" i="68"/>
  <c r="C10" i="68"/>
  <c r="B10" i="68"/>
  <c r="R9" i="68"/>
  <c r="Q9" i="68"/>
  <c r="N9" i="68"/>
  <c r="I9" i="68"/>
  <c r="H30" i="68" s="1"/>
  <c r="H81" i="68" s="1"/>
  <c r="D9" i="68"/>
  <c r="I20" i="68" s="1"/>
  <c r="I71" i="68" s="1"/>
  <c r="R8" i="68"/>
  <c r="Q8" i="68"/>
  <c r="N8" i="68"/>
  <c r="F39" i="68" s="1"/>
  <c r="F90" i="68" s="1"/>
  <c r="I8" i="68"/>
  <c r="AD29" i="68" s="1"/>
  <c r="AD80" i="68" s="1"/>
  <c r="D8" i="68"/>
  <c r="Z19" i="68" s="1"/>
  <c r="Z70" i="68" s="1"/>
  <c r="R7" i="68"/>
  <c r="Q7" i="68"/>
  <c r="N7" i="68"/>
  <c r="L38" i="68" s="1"/>
  <c r="L89" i="68" s="1"/>
  <c r="I7" i="68"/>
  <c r="L28" i="68" s="1"/>
  <c r="L79" i="68" s="1"/>
  <c r="D7" i="68"/>
  <c r="U18" i="68" s="1"/>
  <c r="U69" i="68" s="1"/>
  <c r="R6" i="68"/>
  <c r="Q6" i="68"/>
  <c r="N6" i="68"/>
  <c r="I6" i="68"/>
  <c r="J27" i="68" s="1"/>
  <c r="J78" i="68" s="1"/>
  <c r="D6" i="68"/>
  <c r="B17" i="68" s="1"/>
  <c r="B68" i="68" s="1"/>
  <c r="R5" i="68"/>
  <c r="Q5" i="68"/>
  <c r="N5" i="68"/>
  <c r="H36" i="68" s="1"/>
  <c r="H87" i="68" s="1"/>
  <c r="I5" i="68"/>
  <c r="P26" i="68" s="1"/>
  <c r="P77" i="68" s="1"/>
  <c r="D5" i="68"/>
  <c r="AB16" i="68" s="1"/>
  <c r="AB67" i="68" s="1"/>
  <c r="R4" i="68"/>
  <c r="Q4" i="68"/>
  <c r="N4" i="68"/>
  <c r="I4" i="68"/>
  <c r="N25" i="68" s="1"/>
  <c r="N76" i="68" s="1"/>
  <c r="D4" i="68"/>
  <c r="R3" i="68"/>
  <c r="Q3" i="68"/>
  <c r="N3" i="68"/>
  <c r="E34" i="68" s="1"/>
  <c r="E85" i="68" s="1"/>
  <c r="I3" i="68"/>
  <c r="D3" i="68"/>
  <c r="AD14" i="68" s="1"/>
  <c r="AD65" i="68" s="1"/>
  <c r="M7" i="59"/>
  <c r="M8" i="59"/>
  <c r="M9" i="59"/>
  <c r="M10" i="59"/>
  <c r="M11" i="59"/>
  <c r="M12" i="59"/>
  <c r="M13" i="59"/>
  <c r="M14" i="59"/>
  <c r="M15" i="59"/>
  <c r="M16" i="59"/>
  <c r="M17" i="59"/>
  <c r="M18" i="59"/>
  <c r="M19" i="59"/>
  <c r="M20" i="59"/>
  <c r="M21" i="59"/>
  <c r="M22" i="59"/>
  <c r="M23" i="59"/>
  <c r="M24" i="59"/>
  <c r="M25" i="59"/>
  <c r="M26" i="59"/>
  <c r="M27" i="59"/>
  <c r="M28" i="59"/>
  <c r="M29" i="59"/>
  <c r="M30" i="59"/>
  <c r="M31" i="59"/>
  <c r="M32" i="59"/>
  <c r="M33" i="59"/>
  <c r="M34" i="59"/>
  <c r="M35" i="59"/>
  <c r="M36" i="59"/>
  <c r="F33" i="54"/>
  <c r="I69" i="1"/>
  <c r="K7" i="60"/>
  <c r="I49" i="1"/>
  <c r="J49" i="1"/>
  <c r="I11" i="1"/>
  <c r="E19" i="66"/>
  <c r="V8" i="59" l="1"/>
  <c r="U9" i="59"/>
  <c r="V9" i="59" s="1"/>
  <c r="E12" i="60"/>
  <c r="E13" i="60" s="1"/>
  <c r="E14" i="60" s="1"/>
  <c r="E15" i="60" s="1"/>
  <c r="E16" i="60" s="1"/>
  <c r="E17" i="60" s="1"/>
  <c r="E18" i="60" s="1"/>
  <c r="E19" i="60" s="1"/>
  <c r="E20" i="60" s="1"/>
  <c r="E21" i="60" s="1"/>
  <c r="E22" i="60" s="1"/>
  <c r="E23" i="60" s="1"/>
  <c r="E24" i="60" s="1"/>
  <c r="E25" i="60" s="1"/>
  <c r="E26" i="60" s="1"/>
  <c r="E27" i="60" s="1"/>
  <c r="E28" i="60" s="1"/>
  <c r="E29" i="60" s="1"/>
  <c r="E30" i="60" s="1"/>
  <c r="E31" i="60" s="1"/>
  <c r="E32" i="60" s="1"/>
  <c r="E33" i="60" s="1"/>
  <c r="E34" i="60" s="1"/>
  <c r="E35" i="60" s="1"/>
  <c r="E36" i="60" s="1"/>
  <c r="K27" i="68"/>
  <c r="K78" i="68" s="1"/>
  <c r="AD39" i="68"/>
  <c r="AD90" i="68" s="1"/>
  <c r="E5" i="68"/>
  <c r="Q16" i="68"/>
  <c r="Q67" i="68" s="1"/>
  <c r="V19" i="68"/>
  <c r="V70" i="68" s="1"/>
  <c r="R27" i="68"/>
  <c r="R78" i="68" s="1"/>
  <c r="X36" i="68"/>
  <c r="X87" i="68" s="1"/>
  <c r="D14" i="68"/>
  <c r="D65" i="68" s="1"/>
  <c r="X16" i="68"/>
  <c r="X67" i="68" s="1"/>
  <c r="O25" i="68"/>
  <c r="O76" i="68" s="1"/>
  <c r="Y36" i="68"/>
  <c r="Y87" i="68" s="1"/>
  <c r="I16" i="68"/>
  <c r="I67" i="68" s="1"/>
  <c r="T14" i="68"/>
  <c r="T65" i="68" s="1"/>
  <c r="J17" i="68"/>
  <c r="J68" i="68" s="1"/>
  <c r="AE25" i="68"/>
  <c r="AE76" i="68" s="1"/>
  <c r="U38" i="68"/>
  <c r="U89" i="68" s="1"/>
  <c r="S3" i="68"/>
  <c r="T3" i="68" s="1"/>
  <c r="K14" i="68"/>
  <c r="K65" i="68" s="1"/>
  <c r="AA14" i="68"/>
  <c r="AA65" i="68" s="1"/>
  <c r="R17" i="68"/>
  <c r="R68" i="68" s="1"/>
  <c r="AD19" i="68"/>
  <c r="AD70" i="68" s="1"/>
  <c r="AB38" i="68"/>
  <c r="AB89" i="68" s="1"/>
  <c r="O7" i="68"/>
  <c r="L14" i="68"/>
  <c r="L65" i="68" s="1"/>
  <c r="AB14" i="68"/>
  <c r="AB65" i="68" s="1"/>
  <c r="AA27" i="68"/>
  <c r="AA78" i="68" s="1"/>
  <c r="E38" i="68"/>
  <c r="E89" i="68" s="1"/>
  <c r="AC38" i="68"/>
  <c r="AC89" i="68" s="1"/>
  <c r="J6" i="68"/>
  <c r="Q10" i="68"/>
  <c r="C14" i="68"/>
  <c r="C65" i="68" s="1"/>
  <c r="S14" i="68"/>
  <c r="S65" i="68" s="1"/>
  <c r="H16" i="68"/>
  <c r="H67" i="68" s="1"/>
  <c r="Y16" i="68"/>
  <c r="Y67" i="68" s="1"/>
  <c r="N19" i="68"/>
  <c r="N70" i="68" s="1"/>
  <c r="D28" i="68"/>
  <c r="D79" i="68" s="1"/>
  <c r="V39" i="68"/>
  <c r="V90" i="68" s="1"/>
  <c r="D24" i="68"/>
  <c r="AB24" i="68"/>
  <c r="AB75" i="68" s="1"/>
  <c r="V15" i="68"/>
  <c r="V66" i="68" s="1"/>
  <c r="E15" i="68"/>
  <c r="E66" i="68" s="1"/>
  <c r="Q15" i="68"/>
  <c r="Q66" i="68" s="1"/>
  <c r="AB40" i="68"/>
  <c r="AB91" i="68" s="1"/>
  <c r="X40" i="68"/>
  <c r="X91" i="68" s="1"/>
  <c r="H40" i="68"/>
  <c r="H91" i="68" s="1"/>
  <c r="P40" i="68"/>
  <c r="P91" i="68" s="1"/>
  <c r="I40" i="68"/>
  <c r="I91" i="68" s="1"/>
  <c r="I15" i="68"/>
  <c r="I66" i="68" s="1"/>
  <c r="T24" i="68"/>
  <c r="T75" i="68" s="1"/>
  <c r="Y40" i="68"/>
  <c r="Y91" i="68" s="1"/>
  <c r="X34" i="68"/>
  <c r="X85" i="68" s="1"/>
  <c r="AB34" i="68"/>
  <c r="AB85" i="68" s="1"/>
  <c r="L34" i="68"/>
  <c r="L85" i="68" s="1"/>
  <c r="T34" i="68"/>
  <c r="T85" i="68" s="1"/>
  <c r="M34" i="68"/>
  <c r="M85" i="68" s="1"/>
  <c r="O3" i="68"/>
  <c r="X18" i="68"/>
  <c r="X69" i="68" s="1"/>
  <c r="T18" i="68"/>
  <c r="T69" i="68" s="1"/>
  <c r="D18" i="68"/>
  <c r="D69" i="68" s="1"/>
  <c r="AC18" i="68"/>
  <c r="AC69" i="68" s="1"/>
  <c r="M18" i="68"/>
  <c r="M69" i="68" s="1"/>
  <c r="Z29" i="68"/>
  <c r="Z80" i="68" s="1"/>
  <c r="W29" i="68"/>
  <c r="W80" i="68" s="1"/>
  <c r="G29" i="68"/>
  <c r="G80" i="68" s="1"/>
  <c r="V29" i="68"/>
  <c r="V80" i="68" s="1"/>
  <c r="O29" i="68"/>
  <c r="O80" i="68" s="1"/>
  <c r="O9" i="68"/>
  <c r="D10" i="68"/>
  <c r="N10" i="68"/>
  <c r="M15" i="68"/>
  <c r="M66" i="68" s="1"/>
  <c r="AB18" i="68"/>
  <c r="AB69" i="68" s="1"/>
  <c r="AE29" i="68"/>
  <c r="AE80" i="68" s="1"/>
  <c r="U34" i="68"/>
  <c r="U85" i="68" s="1"/>
  <c r="Z35" i="68"/>
  <c r="Z86" i="68" s="1"/>
  <c r="V35" i="68"/>
  <c r="V86" i="68" s="1"/>
  <c r="N35" i="68"/>
  <c r="N86" i="68" s="1"/>
  <c r="F35" i="68"/>
  <c r="F86" i="68" s="1"/>
  <c r="S5" i="68"/>
  <c r="T5" i="68" s="1"/>
  <c r="AD37" i="68"/>
  <c r="AD88" i="68" s="1"/>
  <c r="B37" i="68"/>
  <c r="B88" i="68" s="1"/>
  <c r="R37" i="68"/>
  <c r="R88" i="68" s="1"/>
  <c r="J37" i="68"/>
  <c r="J88" i="68" s="1"/>
  <c r="E7" i="68"/>
  <c r="J8" i="68"/>
  <c r="AB20" i="68"/>
  <c r="AB71" i="68" s="1"/>
  <c r="P20" i="68"/>
  <c r="P71" i="68" s="1"/>
  <c r="Y20" i="68"/>
  <c r="Y71" i="68" s="1"/>
  <c r="H20" i="68"/>
  <c r="H71" i="68" s="1"/>
  <c r="X20" i="68"/>
  <c r="X71" i="68" s="1"/>
  <c r="E9" i="68"/>
  <c r="AD15" i="68"/>
  <c r="AD66" i="68" s="1"/>
  <c r="E18" i="68"/>
  <c r="E69" i="68" s="1"/>
  <c r="Q20" i="68"/>
  <c r="Q71" i="68" s="1"/>
  <c r="F29" i="68"/>
  <c r="F80" i="68" s="1"/>
  <c r="AC34" i="68"/>
  <c r="AC85" i="68" s="1"/>
  <c r="H26" i="68"/>
  <c r="H77" i="68" s="1"/>
  <c r="X26" i="68"/>
  <c r="X77" i="68" s="1"/>
  <c r="L18" i="68"/>
  <c r="L69" i="68" s="1"/>
  <c r="L24" i="68"/>
  <c r="L75" i="68" s="1"/>
  <c r="N29" i="68"/>
  <c r="N80" i="68" s="1"/>
  <c r="D34" i="68"/>
  <c r="D85" i="68" s="1"/>
  <c r="AD35" i="68"/>
  <c r="AD86" i="68" s="1"/>
  <c r="Z37" i="68"/>
  <c r="Z88" i="68" s="1"/>
  <c r="Q40" i="68"/>
  <c r="Q91" i="68" s="1"/>
  <c r="Z25" i="68"/>
  <c r="Z76" i="68" s="1"/>
  <c r="V25" i="68"/>
  <c r="V76" i="68" s="1"/>
  <c r="F25" i="68"/>
  <c r="F76" i="68" s="1"/>
  <c r="S4" i="68"/>
  <c r="AB36" i="68"/>
  <c r="AB87" i="68" s="1"/>
  <c r="P36" i="68"/>
  <c r="P87" i="68" s="1"/>
  <c r="S7" i="68"/>
  <c r="T7" i="68" s="1"/>
  <c r="G14" i="68"/>
  <c r="G65" i="68" s="1"/>
  <c r="O14" i="68"/>
  <c r="O65" i="68" s="1"/>
  <c r="W14" i="68"/>
  <c r="W65" i="68" s="1"/>
  <c r="AE14" i="68"/>
  <c r="AE65" i="68" s="1"/>
  <c r="Z17" i="68"/>
  <c r="Z68" i="68" s="1"/>
  <c r="W25" i="68"/>
  <c r="W76" i="68" s="1"/>
  <c r="T28" i="68"/>
  <c r="T79" i="68" s="1"/>
  <c r="I36" i="68"/>
  <c r="I87" i="68" s="1"/>
  <c r="E3" i="68"/>
  <c r="J4" i="68"/>
  <c r="O5" i="68"/>
  <c r="AD27" i="68"/>
  <c r="AD78" i="68" s="1"/>
  <c r="S27" i="68"/>
  <c r="S78" i="68" s="1"/>
  <c r="C27" i="68"/>
  <c r="C78" i="68" s="1"/>
  <c r="S6" i="68"/>
  <c r="X38" i="68"/>
  <c r="X89" i="68" s="1"/>
  <c r="T38" i="68"/>
  <c r="T89" i="68" s="1"/>
  <c r="D38" i="68"/>
  <c r="D89" i="68" s="1"/>
  <c r="AB30" i="68"/>
  <c r="AB81" i="68" s="1"/>
  <c r="P30" i="68"/>
  <c r="P81" i="68" s="1"/>
  <c r="S9" i="68"/>
  <c r="T9" i="68" s="1"/>
  <c r="I10" i="68"/>
  <c r="H14" i="68"/>
  <c r="H65" i="68" s="1"/>
  <c r="P14" i="68"/>
  <c r="P65" i="68" s="1"/>
  <c r="X14" i="68"/>
  <c r="X65" i="68" s="1"/>
  <c r="P16" i="68"/>
  <c r="P67" i="68" s="1"/>
  <c r="F19" i="68"/>
  <c r="F70" i="68" s="1"/>
  <c r="G25" i="68"/>
  <c r="G76" i="68" s="1"/>
  <c r="AD25" i="68"/>
  <c r="AD76" i="68" s="1"/>
  <c r="B27" i="68"/>
  <c r="B78" i="68" s="1"/>
  <c r="B98" i="68" s="1"/>
  <c r="Z27" i="68"/>
  <c r="Z78" i="68" s="1"/>
  <c r="AB28" i="68"/>
  <c r="AB79" i="68" s="1"/>
  <c r="X30" i="68"/>
  <c r="X81" i="68" s="1"/>
  <c r="Q36" i="68"/>
  <c r="Q87" i="68" s="1"/>
  <c r="M38" i="68"/>
  <c r="M89" i="68" s="1"/>
  <c r="N39" i="68"/>
  <c r="N90" i="68" s="1"/>
  <c r="AE24" i="68"/>
  <c r="AE75" i="68" s="1"/>
  <c r="AA24" i="68"/>
  <c r="AA75" i="68" s="1"/>
  <c r="W24" i="68"/>
  <c r="W75" i="68" s="1"/>
  <c r="S24" i="68"/>
  <c r="S75" i="68" s="1"/>
  <c r="O24" i="68"/>
  <c r="O75" i="68" s="1"/>
  <c r="K24" i="68"/>
  <c r="K75" i="68" s="1"/>
  <c r="G24" i="68"/>
  <c r="G75" i="68" s="1"/>
  <c r="C24" i="68"/>
  <c r="C75" i="68" s="1"/>
  <c r="AD24" i="68"/>
  <c r="AD75" i="68" s="1"/>
  <c r="Z24" i="68"/>
  <c r="Z75" i="68" s="1"/>
  <c r="V24" i="68"/>
  <c r="V75" i="68" s="1"/>
  <c r="R24" i="68"/>
  <c r="R75" i="68" s="1"/>
  <c r="N24" i="68"/>
  <c r="N75" i="68" s="1"/>
  <c r="J24" i="68"/>
  <c r="J75" i="68" s="1"/>
  <c r="F24" i="68"/>
  <c r="F75" i="68" s="1"/>
  <c r="B24" i="68"/>
  <c r="B75" i="68" s="1"/>
  <c r="AC15" i="68"/>
  <c r="AC66" i="68" s="1"/>
  <c r="Y15" i="68"/>
  <c r="Y66" i="68" s="1"/>
  <c r="AB15" i="68"/>
  <c r="AB66" i="68" s="1"/>
  <c r="X15" i="68"/>
  <c r="X66" i="68" s="1"/>
  <c r="T15" i="68"/>
  <c r="T66" i="68" s="1"/>
  <c r="AE26" i="68"/>
  <c r="AE77" i="68" s="1"/>
  <c r="AA26" i="68"/>
  <c r="AA77" i="68" s="1"/>
  <c r="W26" i="68"/>
  <c r="W77" i="68" s="1"/>
  <c r="S26" i="68"/>
  <c r="S77" i="68" s="1"/>
  <c r="O26" i="68"/>
  <c r="O77" i="68" s="1"/>
  <c r="K26" i="68"/>
  <c r="K77" i="68" s="1"/>
  <c r="G26" i="68"/>
  <c r="G77" i="68" s="1"/>
  <c r="C26" i="68"/>
  <c r="C77" i="68" s="1"/>
  <c r="AD26" i="68"/>
  <c r="AD77" i="68" s="1"/>
  <c r="Z26" i="68"/>
  <c r="Z77" i="68" s="1"/>
  <c r="V26" i="68"/>
  <c r="V77" i="68" s="1"/>
  <c r="R26" i="68"/>
  <c r="R77" i="68" s="1"/>
  <c r="N26" i="68"/>
  <c r="N77" i="68" s="1"/>
  <c r="J26" i="68"/>
  <c r="J77" i="68" s="1"/>
  <c r="F26" i="68"/>
  <c r="F77" i="68" s="1"/>
  <c r="B26" i="68"/>
  <c r="B77" i="68" s="1"/>
  <c r="AC17" i="68"/>
  <c r="AC68" i="68" s="1"/>
  <c r="Y17" i="68"/>
  <c r="Y68" i="68" s="1"/>
  <c r="U17" i="68"/>
  <c r="U68" i="68" s="1"/>
  <c r="Q17" i="68"/>
  <c r="Q68" i="68" s="1"/>
  <c r="M17" i="68"/>
  <c r="M68" i="68" s="1"/>
  <c r="I17" i="68"/>
  <c r="I68" i="68" s="1"/>
  <c r="E17" i="68"/>
  <c r="E68" i="68" s="1"/>
  <c r="AB17" i="68"/>
  <c r="AB68" i="68" s="1"/>
  <c r="X17" i="68"/>
  <c r="X68" i="68" s="1"/>
  <c r="T17" i="68"/>
  <c r="T68" i="68" s="1"/>
  <c r="P17" i="68"/>
  <c r="P68" i="68" s="1"/>
  <c r="L17" i="68"/>
  <c r="L68" i="68" s="1"/>
  <c r="H17" i="68"/>
  <c r="H68" i="68" s="1"/>
  <c r="D17" i="68"/>
  <c r="D68" i="68" s="1"/>
  <c r="AE28" i="68"/>
  <c r="AE79" i="68" s="1"/>
  <c r="AA28" i="68"/>
  <c r="AA79" i="68" s="1"/>
  <c r="W28" i="68"/>
  <c r="W79" i="68" s="1"/>
  <c r="S28" i="68"/>
  <c r="S79" i="68" s="1"/>
  <c r="O28" i="68"/>
  <c r="O79" i="68" s="1"/>
  <c r="K28" i="68"/>
  <c r="K79" i="68" s="1"/>
  <c r="G28" i="68"/>
  <c r="G79" i="68" s="1"/>
  <c r="C28" i="68"/>
  <c r="C79" i="68" s="1"/>
  <c r="AD28" i="68"/>
  <c r="AD79" i="68" s="1"/>
  <c r="Z28" i="68"/>
  <c r="Z79" i="68" s="1"/>
  <c r="V28" i="68"/>
  <c r="V79" i="68" s="1"/>
  <c r="R28" i="68"/>
  <c r="R79" i="68" s="1"/>
  <c r="N28" i="68"/>
  <c r="N79" i="68" s="1"/>
  <c r="J28" i="68"/>
  <c r="J79" i="68" s="1"/>
  <c r="F28" i="68"/>
  <c r="F79" i="68" s="1"/>
  <c r="B28" i="68"/>
  <c r="B79" i="68" s="1"/>
  <c r="AC39" i="68"/>
  <c r="AC90" i="68" s="1"/>
  <c r="Y39" i="68"/>
  <c r="Y90" i="68" s="1"/>
  <c r="U39" i="68"/>
  <c r="U90" i="68" s="1"/>
  <c r="Q39" i="68"/>
  <c r="Q90" i="68" s="1"/>
  <c r="M39" i="68"/>
  <c r="M90" i="68" s="1"/>
  <c r="I39" i="68"/>
  <c r="I90" i="68" s="1"/>
  <c r="E39" i="68"/>
  <c r="E90" i="68" s="1"/>
  <c r="AB39" i="68"/>
  <c r="AB90" i="68" s="1"/>
  <c r="X39" i="68"/>
  <c r="X90" i="68" s="1"/>
  <c r="T39" i="68"/>
  <c r="T90" i="68" s="1"/>
  <c r="P39" i="68"/>
  <c r="P90" i="68" s="1"/>
  <c r="L39" i="68"/>
  <c r="L90" i="68" s="1"/>
  <c r="H39" i="68"/>
  <c r="H90" i="68" s="1"/>
  <c r="D39" i="68"/>
  <c r="D90" i="68" s="1"/>
  <c r="S8" i="68"/>
  <c r="T8" i="68" s="1"/>
  <c r="B15" i="68"/>
  <c r="B66" i="68" s="1"/>
  <c r="J15" i="68"/>
  <c r="J66" i="68" s="1"/>
  <c r="N15" i="68"/>
  <c r="N66" i="68" s="1"/>
  <c r="W15" i="68"/>
  <c r="W66" i="68" s="1"/>
  <c r="K17" i="68"/>
  <c r="K68" i="68" s="1"/>
  <c r="S17" i="68"/>
  <c r="S68" i="68" s="1"/>
  <c r="AA17" i="68"/>
  <c r="AA68" i="68" s="1"/>
  <c r="G19" i="68"/>
  <c r="G70" i="68" s="1"/>
  <c r="E24" i="68"/>
  <c r="E75" i="68" s="1"/>
  <c r="U24" i="68"/>
  <c r="U75" i="68" s="1"/>
  <c r="AC24" i="68"/>
  <c r="AC75" i="68" s="1"/>
  <c r="I26" i="68"/>
  <c r="I77" i="68" s="1"/>
  <c r="M28" i="68"/>
  <c r="M79" i="68" s="1"/>
  <c r="U28" i="68"/>
  <c r="U79" i="68" s="1"/>
  <c r="AC28" i="68"/>
  <c r="AC79" i="68" s="1"/>
  <c r="Q30" i="68"/>
  <c r="Q81" i="68" s="1"/>
  <c r="Y30" i="68"/>
  <c r="Y81" i="68" s="1"/>
  <c r="O35" i="68"/>
  <c r="O86" i="68" s="1"/>
  <c r="W35" i="68"/>
  <c r="W86" i="68" s="1"/>
  <c r="K37" i="68"/>
  <c r="K88" i="68" s="1"/>
  <c r="S37" i="68"/>
  <c r="S88" i="68" s="1"/>
  <c r="AA37" i="68"/>
  <c r="AA88" i="68" s="1"/>
  <c r="G39" i="68"/>
  <c r="G90" i="68" s="1"/>
  <c r="J3" i="68"/>
  <c r="E4" i="68"/>
  <c r="O4" i="68"/>
  <c r="T4" i="68"/>
  <c r="J5" i="68"/>
  <c r="E6" i="68"/>
  <c r="O6" i="68"/>
  <c r="T6" i="68"/>
  <c r="J7" i="68"/>
  <c r="E8" i="68"/>
  <c r="O8" i="68"/>
  <c r="J9" i="68"/>
  <c r="R10" i="68"/>
  <c r="E14" i="68"/>
  <c r="E65" i="68" s="1"/>
  <c r="I14" i="68"/>
  <c r="I65" i="68" s="1"/>
  <c r="M14" i="68"/>
  <c r="M65" i="68" s="1"/>
  <c r="Q14" i="68"/>
  <c r="Q65" i="68" s="1"/>
  <c r="U14" i="68"/>
  <c r="U65" i="68" s="1"/>
  <c r="Y14" i="68"/>
  <c r="Y65" i="68" s="1"/>
  <c r="AC14" i="68"/>
  <c r="AC65" i="68" s="1"/>
  <c r="C15" i="68"/>
  <c r="C66" i="68" s="1"/>
  <c r="G15" i="68"/>
  <c r="G66" i="68" s="1"/>
  <c r="K15" i="68"/>
  <c r="K66" i="68" s="1"/>
  <c r="O15" i="68"/>
  <c r="O66" i="68" s="1"/>
  <c r="S15" i="68"/>
  <c r="S66" i="68" s="1"/>
  <c r="Z15" i="68"/>
  <c r="Z66" i="68" s="1"/>
  <c r="D16" i="68"/>
  <c r="D67" i="68" s="1"/>
  <c r="L16" i="68"/>
  <c r="L67" i="68" s="1"/>
  <c r="T16" i="68"/>
  <c r="T67" i="68" s="1"/>
  <c r="F17" i="68"/>
  <c r="F68" i="68" s="1"/>
  <c r="N17" i="68"/>
  <c r="N68" i="68" s="1"/>
  <c r="V17" i="68"/>
  <c r="V68" i="68" s="1"/>
  <c r="AD17" i="68"/>
  <c r="AD68" i="68" s="1"/>
  <c r="H18" i="68"/>
  <c r="H69" i="68" s="1"/>
  <c r="P18" i="68"/>
  <c r="P69" i="68" s="1"/>
  <c r="B19" i="68"/>
  <c r="B70" i="68" s="1"/>
  <c r="J19" i="68"/>
  <c r="J70" i="68" s="1"/>
  <c r="R19" i="68"/>
  <c r="R70" i="68" s="1"/>
  <c r="D20" i="68"/>
  <c r="D71" i="68" s="1"/>
  <c r="L20" i="68"/>
  <c r="L71" i="68" s="1"/>
  <c r="T20" i="68"/>
  <c r="T71" i="68" s="1"/>
  <c r="H24" i="68"/>
  <c r="H75" i="68" s="1"/>
  <c r="P24" i="68"/>
  <c r="P75" i="68" s="1"/>
  <c r="X24" i="68"/>
  <c r="X75" i="68" s="1"/>
  <c r="B25" i="68"/>
  <c r="B76" i="68" s="1"/>
  <c r="J25" i="68"/>
  <c r="J76" i="68" s="1"/>
  <c r="R25" i="68"/>
  <c r="R76" i="68" s="1"/>
  <c r="D26" i="68"/>
  <c r="D77" i="68" s="1"/>
  <c r="L26" i="68"/>
  <c r="L77" i="68" s="1"/>
  <c r="T26" i="68"/>
  <c r="T77" i="68" s="1"/>
  <c r="AB26" i="68"/>
  <c r="AB77" i="68" s="1"/>
  <c r="F27" i="68"/>
  <c r="F78" i="68" s="1"/>
  <c r="N27" i="68"/>
  <c r="N78" i="68" s="1"/>
  <c r="V27" i="68"/>
  <c r="V78" i="68" s="1"/>
  <c r="H28" i="68"/>
  <c r="H79" i="68" s="1"/>
  <c r="P28" i="68"/>
  <c r="P79" i="68" s="1"/>
  <c r="X28" i="68"/>
  <c r="X79" i="68" s="1"/>
  <c r="B29" i="68"/>
  <c r="B80" i="68" s="1"/>
  <c r="J29" i="68"/>
  <c r="J80" i="68" s="1"/>
  <c r="R29" i="68"/>
  <c r="R80" i="68" s="1"/>
  <c r="D30" i="68"/>
  <c r="D81" i="68" s="1"/>
  <c r="L30" i="68"/>
  <c r="L81" i="68" s="1"/>
  <c r="T30" i="68"/>
  <c r="T81" i="68" s="1"/>
  <c r="H34" i="68"/>
  <c r="H85" i="68" s="1"/>
  <c r="P34" i="68"/>
  <c r="P85" i="68" s="1"/>
  <c r="B35" i="68"/>
  <c r="B86" i="68" s="1"/>
  <c r="J35" i="68"/>
  <c r="J86" i="68" s="1"/>
  <c r="R35" i="68"/>
  <c r="R86" i="68" s="1"/>
  <c r="D36" i="68"/>
  <c r="D87" i="68" s="1"/>
  <c r="L36" i="68"/>
  <c r="L87" i="68" s="1"/>
  <c r="T36" i="68"/>
  <c r="T87" i="68" s="1"/>
  <c r="F37" i="68"/>
  <c r="F88" i="68" s="1"/>
  <c r="N37" i="68"/>
  <c r="N88" i="68" s="1"/>
  <c r="V37" i="68"/>
  <c r="V88" i="68" s="1"/>
  <c r="H38" i="68"/>
  <c r="H89" i="68" s="1"/>
  <c r="P38" i="68"/>
  <c r="P89" i="68" s="1"/>
  <c r="B39" i="68"/>
  <c r="B90" i="68" s="1"/>
  <c r="J39" i="68"/>
  <c r="J90" i="68" s="1"/>
  <c r="R39" i="68"/>
  <c r="R90" i="68" s="1"/>
  <c r="Z39" i="68"/>
  <c r="Z90" i="68" s="1"/>
  <c r="D40" i="68"/>
  <c r="D91" i="68" s="1"/>
  <c r="L40" i="68"/>
  <c r="L91" i="68" s="1"/>
  <c r="T40" i="68"/>
  <c r="T91" i="68" s="1"/>
  <c r="H44" i="68"/>
  <c r="AC35" i="68"/>
  <c r="AC86" i="68" s="1"/>
  <c r="Y35" i="68"/>
  <c r="Y86" i="68" s="1"/>
  <c r="U35" i="68"/>
  <c r="U86" i="68" s="1"/>
  <c r="Q35" i="68"/>
  <c r="Q86" i="68" s="1"/>
  <c r="M35" i="68"/>
  <c r="M86" i="68" s="1"/>
  <c r="I35" i="68"/>
  <c r="I86" i="68" s="1"/>
  <c r="E35" i="68"/>
  <c r="E86" i="68" s="1"/>
  <c r="AB35" i="68"/>
  <c r="AB86" i="68" s="1"/>
  <c r="X35" i="68"/>
  <c r="X86" i="68" s="1"/>
  <c r="T35" i="68"/>
  <c r="T86" i="68" s="1"/>
  <c r="P35" i="68"/>
  <c r="P86" i="68" s="1"/>
  <c r="L35" i="68"/>
  <c r="L86" i="68" s="1"/>
  <c r="H35" i="68"/>
  <c r="H86" i="68" s="1"/>
  <c r="D35" i="68"/>
  <c r="D86" i="68" s="1"/>
  <c r="AC37" i="68"/>
  <c r="AC88" i="68" s="1"/>
  <c r="Y37" i="68"/>
  <c r="Y88" i="68" s="1"/>
  <c r="U37" i="68"/>
  <c r="U88" i="68" s="1"/>
  <c r="Q37" i="68"/>
  <c r="Q88" i="68" s="1"/>
  <c r="M37" i="68"/>
  <c r="M88" i="68" s="1"/>
  <c r="I37" i="68"/>
  <c r="I88" i="68" s="1"/>
  <c r="E37" i="68"/>
  <c r="E88" i="68" s="1"/>
  <c r="AB37" i="68"/>
  <c r="AB88" i="68" s="1"/>
  <c r="X37" i="68"/>
  <c r="X88" i="68" s="1"/>
  <c r="T37" i="68"/>
  <c r="T88" i="68" s="1"/>
  <c r="P37" i="68"/>
  <c r="P88" i="68" s="1"/>
  <c r="L37" i="68"/>
  <c r="L88" i="68" s="1"/>
  <c r="H37" i="68"/>
  <c r="H88" i="68" s="1"/>
  <c r="D37" i="68"/>
  <c r="D88" i="68" s="1"/>
  <c r="AC19" i="68"/>
  <c r="AC70" i="68" s="1"/>
  <c r="Y19" i="68"/>
  <c r="Y70" i="68" s="1"/>
  <c r="U19" i="68"/>
  <c r="U70" i="68" s="1"/>
  <c r="Q19" i="68"/>
  <c r="Q70" i="68" s="1"/>
  <c r="M19" i="68"/>
  <c r="M70" i="68" s="1"/>
  <c r="I19" i="68"/>
  <c r="I70" i="68" s="1"/>
  <c r="E19" i="68"/>
  <c r="E70" i="68" s="1"/>
  <c r="AB19" i="68"/>
  <c r="AB70" i="68" s="1"/>
  <c r="X19" i="68"/>
  <c r="X70" i="68" s="1"/>
  <c r="T19" i="68"/>
  <c r="T70" i="68" s="1"/>
  <c r="P19" i="68"/>
  <c r="P70" i="68" s="1"/>
  <c r="L19" i="68"/>
  <c r="L70" i="68" s="1"/>
  <c r="H19" i="68"/>
  <c r="H70" i="68" s="1"/>
  <c r="D19" i="68"/>
  <c r="D70" i="68" s="1"/>
  <c r="AE30" i="68"/>
  <c r="AE81" i="68" s="1"/>
  <c r="AA30" i="68"/>
  <c r="AA81" i="68" s="1"/>
  <c r="W30" i="68"/>
  <c r="W81" i="68" s="1"/>
  <c r="S30" i="68"/>
  <c r="S81" i="68" s="1"/>
  <c r="O30" i="68"/>
  <c r="O81" i="68" s="1"/>
  <c r="K30" i="68"/>
  <c r="K81" i="68" s="1"/>
  <c r="G30" i="68"/>
  <c r="G81" i="68" s="1"/>
  <c r="C30" i="68"/>
  <c r="C81" i="68" s="1"/>
  <c r="AD30" i="68"/>
  <c r="AD81" i="68" s="1"/>
  <c r="Z30" i="68"/>
  <c r="Z81" i="68" s="1"/>
  <c r="V30" i="68"/>
  <c r="V81" i="68" s="1"/>
  <c r="R30" i="68"/>
  <c r="R81" i="68" s="1"/>
  <c r="N30" i="68"/>
  <c r="N81" i="68" s="1"/>
  <c r="J30" i="68"/>
  <c r="J81" i="68" s="1"/>
  <c r="F30" i="68"/>
  <c r="F81" i="68" s="1"/>
  <c r="B30" i="68"/>
  <c r="B81" i="68" s="1"/>
  <c r="F15" i="68"/>
  <c r="F66" i="68" s="1"/>
  <c r="R15" i="68"/>
  <c r="R66" i="68" s="1"/>
  <c r="AE15" i="68"/>
  <c r="AE66" i="68" s="1"/>
  <c r="C17" i="68"/>
  <c r="C68" i="68" s="1"/>
  <c r="O19" i="68"/>
  <c r="O70" i="68" s="1"/>
  <c r="W19" i="68"/>
  <c r="W70" i="68" s="1"/>
  <c r="AE19" i="68"/>
  <c r="AE70" i="68" s="1"/>
  <c r="M24" i="68"/>
  <c r="M75" i="68" s="1"/>
  <c r="Q26" i="68"/>
  <c r="Q77" i="68" s="1"/>
  <c r="Y26" i="68"/>
  <c r="Y77" i="68" s="1"/>
  <c r="E28" i="68"/>
  <c r="E79" i="68" s="1"/>
  <c r="I30" i="68"/>
  <c r="I81" i="68" s="1"/>
  <c r="I101" i="68" s="1"/>
  <c r="G35" i="68"/>
  <c r="G86" i="68" s="1"/>
  <c r="AE35" i="68"/>
  <c r="AE86" i="68" s="1"/>
  <c r="C37" i="68"/>
  <c r="C88" i="68" s="1"/>
  <c r="O39" i="68"/>
  <c r="O90" i="68" s="1"/>
  <c r="W39" i="68"/>
  <c r="W90" i="68" s="1"/>
  <c r="AE39" i="68"/>
  <c r="AE90" i="68" s="1"/>
  <c r="AE34" i="68"/>
  <c r="AE85" i="68" s="1"/>
  <c r="AA34" i="68"/>
  <c r="AA85" i="68" s="1"/>
  <c r="W34" i="68"/>
  <c r="W85" i="68" s="1"/>
  <c r="S34" i="68"/>
  <c r="S85" i="68" s="1"/>
  <c r="O34" i="68"/>
  <c r="O85" i="68" s="1"/>
  <c r="K34" i="68"/>
  <c r="K85" i="68" s="1"/>
  <c r="G34" i="68"/>
  <c r="G85" i="68" s="1"/>
  <c r="C34" i="68"/>
  <c r="C85" i="68" s="1"/>
  <c r="AD34" i="68"/>
  <c r="AD85" i="68" s="1"/>
  <c r="Z34" i="68"/>
  <c r="Z85" i="68" s="1"/>
  <c r="V34" i="68"/>
  <c r="V85" i="68" s="1"/>
  <c r="R34" i="68"/>
  <c r="R85" i="68" s="1"/>
  <c r="N34" i="68"/>
  <c r="N85" i="68" s="1"/>
  <c r="J34" i="68"/>
  <c r="J85" i="68" s="1"/>
  <c r="F34" i="68"/>
  <c r="F85" i="68" s="1"/>
  <c r="B34" i="68"/>
  <c r="B85" i="68" s="1"/>
  <c r="AC25" i="68"/>
  <c r="AC76" i="68" s="1"/>
  <c r="Y25" i="68"/>
  <c r="Y76" i="68" s="1"/>
  <c r="U25" i="68"/>
  <c r="U76" i="68" s="1"/>
  <c r="Q25" i="68"/>
  <c r="Q76" i="68" s="1"/>
  <c r="M25" i="68"/>
  <c r="M76" i="68" s="1"/>
  <c r="I25" i="68"/>
  <c r="I76" i="68" s="1"/>
  <c r="E25" i="68"/>
  <c r="E76" i="68" s="1"/>
  <c r="AB25" i="68"/>
  <c r="AB76" i="68" s="1"/>
  <c r="X25" i="68"/>
  <c r="X76" i="68" s="1"/>
  <c r="T25" i="68"/>
  <c r="T76" i="68" s="1"/>
  <c r="P25" i="68"/>
  <c r="P76" i="68" s="1"/>
  <c r="L25" i="68"/>
  <c r="L76" i="68" s="1"/>
  <c r="H25" i="68"/>
  <c r="H76" i="68" s="1"/>
  <c r="D25" i="68"/>
  <c r="D76" i="68" s="1"/>
  <c r="AE16" i="68"/>
  <c r="AE67" i="68" s="1"/>
  <c r="AA16" i="68"/>
  <c r="AA67" i="68" s="1"/>
  <c r="W16" i="68"/>
  <c r="W67" i="68" s="1"/>
  <c r="S16" i="68"/>
  <c r="S67" i="68" s="1"/>
  <c r="O16" i="68"/>
  <c r="O67" i="68" s="1"/>
  <c r="K16" i="68"/>
  <c r="K67" i="68" s="1"/>
  <c r="G16" i="68"/>
  <c r="G67" i="68" s="1"/>
  <c r="C16" i="68"/>
  <c r="C67" i="68" s="1"/>
  <c r="AD16" i="68"/>
  <c r="AD67" i="68" s="1"/>
  <c r="Z16" i="68"/>
  <c r="Z67" i="68" s="1"/>
  <c r="V16" i="68"/>
  <c r="V67" i="68" s="1"/>
  <c r="R16" i="68"/>
  <c r="R67" i="68" s="1"/>
  <c r="N16" i="68"/>
  <c r="N67" i="68" s="1"/>
  <c r="J16" i="68"/>
  <c r="J67" i="68" s="1"/>
  <c r="F16" i="68"/>
  <c r="F67" i="68" s="1"/>
  <c r="B16" i="68"/>
  <c r="B67" i="68" s="1"/>
  <c r="AE36" i="68"/>
  <c r="AE87" i="68" s="1"/>
  <c r="AA36" i="68"/>
  <c r="AA87" i="68" s="1"/>
  <c r="W36" i="68"/>
  <c r="W87" i="68" s="1"/>
  <c r="S36" i="68"/>
  <c r="S87" i="68" s="1"/>
  <c r="O36" i="68"/>
  <c r="O87" i="68" s="1"/>
  <c r="K36" i="68"/>
  <c r="K87" i="68" s="1"/>
  <c r="G36" i="68"/>
  <c r="G87" i="68" s="1"/>
  <c r="C36" i="68"/>
  <c r="C87" i="68" s="1"/>
  <c r="AD36" i="68"/>
  <c r="AD87" i="68" s="1"/>
  <c r="Z36" i="68"/>
  <c r="Z87" i="68" s="1"/>
  <c r="V36" i="68"/>
  <c r="V87" i="68" s="1"/>
  <c r="R36" i="68"/>
  <c r="R87" i="68" s="1"/>
  <c r="N36" i="68"/>
  <c r="N87" i="68" s="1"/>
  <c r="J36" i="68"/>
  <c r="J87" i="68" s="1"/>
  <c r="F36" i="68"/>
  <c r="F87" i="68" s="1"/>
  <c r="B36" i="68"/>
  <c r="B87" i="68" s="1"/>
  <c r="AC27" i="68"/>
  <c r="AC78" i="68" s="1"/>
  <c r="Y27" i="68"/>
  <c r="Y78" i="68" s="1"/>
  <c r="U27" i="68"/>
  <c r="U78" i="68" s="1"/>
  <c r="Q27" i="68"/>
  <c r="Q78" i="68" s="1"/>
  <c r="M27" i="68"/>
  <c r="M78" i="68" s="1"/>
  <c r="I27" i="68"/>
  <c r="I78" i="68" s="1"/>
  <c r="E27" i="68"/>
  <c r="E78" i="68" s="1"/>
  <c r="AB27" i="68"/>
  <c r="AB78" i="68" s="1"/>
  <c r="X27" i="68"/>
  <c r="X78" i="68" s="1"/>
  <c r="T27" i="68"/>
  <c r="T78" i="68" s="1"/>
  <c r="P27" i="68"/>
  <c r="P78" i="68" s="1"/>
  <c r="L27" i="68"/>
  <c r="L78" i="68" s="1"/>
  <c r="H27" i="68"/>
  <c r="H78" i="68" s="1"/>
  <c r="D27" i="68"/>
  <c r="D78" i="68" s="1"/>
  <c r="AE18" i="68"/>
  <c r="AE69" i="68" s="1"/>
  <c r="AA18" i="68"/>
  <c r="AA69" i="68" s="1"/>
  <c r="W18" i="68"/>
  <c r="W69" i="68" s="1"/>
  <c r="S18" i="68"/>
  <c r="S69" i="68" s="1"/>
  <c r="O18" i="68"/>
  <c r="O69" i="68" s="1"/>
  <c r="K18" i="68"/>
  <c r="K69" i="68" s="1"/>
  <c r="G18" i="68"/>
  <c r="G69" i="68" s="1"/>
  <c r="C18" i="68"/>
  <c r="C69" i="68" s="1"/>
  <c r="AD18" i="68"/>
  <c r="AD69" i="68" s="1"/>
  <c r="Z18" i="68"/>
  <c r="Z69" i="68" s="1"/>
  <c r="V18" i="68"/>
  <c r="V69" i="68" s="1"/>
  <c r="R18" i="68"/>
  <c r="R69" i="68" s="1"/>
  <c r="N18" i="68"/>
  <c r="N69" i="68" s="1"/>
  <c r="J18" i="68"/>
  <c r="J69" i="68" s="1"/>
  <c r="F18" i="68"/>
  <c r="F69" i="68" s="1"/>
  <c r="B18" i="68"/>
  <c r="B69" i="68" s="1"/>
  <c r="AE38" i="68"/>
  <c r="AE89" i="68" s="1"/>
  <c r="AA38" i="68"/>
  <c r="AA89" i="68" s="1"/>
  <c r="W38" i="68"/>
  <c r="W89" i="68" s="1"/>
  <c r="S38" i="68"/>
  <c r="S89" i="68" s="1"/>
  <c r="O38" i="68"/>
  <c r="O89" i="68" s="1"/>
  <c r="K38" i="68"/>
  <c r="K89" i="68" s="1"/>
  <c r="G38" i="68"/>
  <c r="G89" i="68" s="1"/>
  <c r="C38" i="68"/>
  <c r="C89" i="68" s="1"/>
  <c r="AD38" i="68"/>
  <c r="AD89" i="68" s="1"/>
  <c r="Z38" i="68"/>
  <c r="Z89" i="68" s="1"/>
  <c r="V38" i="68"/>
  <c r="V89" i="68" s="1"/>
  <c r="R38" i="68"/>
  <c r="R89" i="68" s="1"/>
  <c r="N38" i="68"/>
  <c r="N89" i="68" s="1"/>
  <c r="J38" i="68"/>
  <c r="J89" i="68" s="1"/>
  <c r="F38" i="68"/>
  <c r="F89" i="68" s="1"/>
  <c r="B38" i="68"/>
  <c r="B89" i="68" s="1"/>
  <c r="AC29" i="68"/>
  <c r="AC80" i="68" s="1"/>
  <c r="Y29" i="68"/>
  <c r="Y80" i="68" s="1"/>
  <c r="U29" i="68"/>
  <c r="U80" i="68" s="1"/>
  <c r="Q29" i="68"/>
  <c r="Q80" i="68" s="1"/>
  <c r="M29" i="68"/>
  <c r="M80" i="68" s="1"/>
  <c r="I29" i="68"/>
  <c r="I80" i="68" s="1"/>
  <c r="E29" i="68"/>
  <c r="E80" i="68" s="1"/>
  <c r="AB29" i="68"/>
  <c r="AB80" i="68" s="1"/>
  <c r="X29" i="68"/>
  <c r="X80" i="68" s="1"/>
  <c r="T29" i="68"/>
  <c r="T80" i="68" s="1"/>
  <c r="P29" i="68"/>
  <c r="P80" i="68" s="1"/>
  <c r="L29" i="68"/>
  <c r="L80" i="68" s="1"/>
  <c r="H29" i="68"/>
  <c r="H80" i="68" s="1"/>
  <c r="D29" i="68"/>
  <c r="D80" i="68" s="1"/>
  <c r="AE20" i="68"/>
  <c r="AE71" i="68" s="1"/>
  <c r="AA20" i="68"/>
  <c r="AA71" i="68" s="1"/>
  <c r="W20" i="68"/>
  <c r="W71" i="68" s="1"/>
  <c r="S20" i="68"/>
  <c r="S71" i="68" s="1"/>
  <c r="O20" i="68"/>
  <c r="O71" i="68" s="1"/>
  <c r="K20" i="68"/>
  <c r="K71" i="68" s="1"/>
  <c r="G20" i="68"/>
  <c r="G71" i="68" s="1"/>
  <c r="C20" i="68"/>
  <c r="C71" i="68" s="1"/>
  <c r="AD20" i="68"/>
  <c r="AD71" i="68" s="1"/>
  <c r="Z20" i="68"/>
  <c r="Z71" i="68" s="1"/>
  <c r="V20" i="68"/>
  <c r="V71" i="68" s="1"/>
  <c r="R20" i="68"/>
  <c r="R71" i="68" s="1"/>
  <c r="N20" i="68"/>
  <c r="N71" i="68" s="1"/>
  <c r="J20" i="68"/>
  <c r="J71" i="68" s="1"/>
  <c r="F20" i="68"/>
  <c r="F71" i="68" s="1"/>
  <c r="B20" i="68"/>
  <c r="B71" i="68" s="1"/>
  <c r="AE40" i="68"/>
  <c r="AE91" i="68" s="1"/>
  <c r="AA40" i="68"/>
  <c r="AA91" i="68" s="1"/>
  <c r="W40" i="68"/>
  <c r="W91" i="68" s="1"/>
  <c r="S40" i="68"/>
  <c r="S91" i="68" s="1"/>
  <c r="O40" i="68"/>
  <c r="O91" i="68" s="1"/>
  <c r="K40" i="68"/>
  <c r="K91" i="68" s="1"/>
  <c r="G40" i="68"/>
  <c r="G91" i="68" s="1"/>
  <c r="C40" i="68"/>
  <c r="C91" i="68" s="1"/>
  <c r="AD40" i="68"/>
  <c r="AD91" i="68" s="1"/>
  <c r="Z40" i="68"/>
  <c r="Z91" i="68" s="1"/>
  <c r="V40" i="68"/>
  <c r="V91" i="68" s="1"/>
  <c r="R40" i="68"/>
  <c r="R91" i="68" s="1"/>
  <c r="N40" i="68"/>
  <c r="N91" i="68" s="1"/>
  <c r="J40" i="68"/>
  <c r="J91" i="68" s="1"/>
  <c r="F40" i="68"/>
  <c r="F91" i="68" s="1"/>
  <c r="B40" i="68"/>
  <c r="B91" i="68" s="1"/>
  <c r="B14" i="68"/>
  <c r="B65" i="68" s="1"/>
  <c r="F14" i="68"/>
  <c r="F65" i="68" s="1"/>
  <c r="J14" i="68"/>
  <c r="J65" i="68" s="1"/>
  <c r="N14" i="68"/>
  <c r="N65" i="68" s="1"/>
  <c r="R14" i="68"/>
  <c r="R65" i="68" s="1"/>
  <c r="V14" i="68"/>
  <c r="V65" i="68" s="1"/>
  <c r="Z14" i="68"/>
  <c r="Z65" i="68" s="1"/>
  <c r="D15" i="68"/>
  <c r="D66" i="68" s="1"/>
  <c r="H15" i="68"/>
  <c r="H66" i="68" s="1"/>
  <c r="L15" i="68"/>
  <c r="L66" i="68" s="1"/>
  <c r="P15" i="68"/>
  <c r="P66" i="68" s="1"/>
  <c r="U15" i="68"/>
  <c r="U66" i="68" s="1"/>
  <c r="AA15" i="68"/>
  <c r="AA66" i="68" s="1"/>
  <c r="E16" i="68"/>
  <c r="E67" i="68" s="1"/>
  <c r="M16" i="68"/>
  <c r="M67" i="68" s="1"/>
  <c r="U16" i="68"/>
  <c r="U67" i="68" s="1"/>
  <c r="AC16" i="68"/>
  <c r="AC67" i="68" s="1"/>
  <c r="G17" i="68"/>
  <c r="G68" i="68" s="1"/>
  <c r="O17" i="68"/>
  <c r="O68" i="68" s="1"/>
  <c r="W17" i="68"/>
  <c r="W68" i="68" s="1"/>
  <c r="AE17" i="68"/>
  <c r="AE68" i="68" s="1"/>
  <c r="I18" i="68"/>
  <c r="I69" i="68" s="1"/>
  <c r="Q18" i="68"/>
  <c r="Q69" i="68" s="1"/>
  <c r="Y18" i="68"/>
  <c r="Y69" i="68" s="1"/>
  <c r="C19" i="68"/>
  <c r="C70" i="68" s="1"/>
  <c r="K19" i="68"/>
  <c r="K70" i="68" s="1"/>
  <c r="S19" i="68"/>
  <c r="S70" i="68" s="1"/>
  <c r="AA19" i="68"/>
  <c r="AA70" i="68" s="1"/>
  <c r="E20" i="68"/>
  <c r="E71" i="68" s="1"/>
  <c r="M20" i="68"/>
  <c r="M71" i="68" s="1"/>
  <c r="U20" i="68"/>
  <c r="U71" i="68" s="1"/>
  <c r="AC20" i="68"/>
  <c r="AC71" i="68" s="1"/>
  <c r="I24" i="68"/>
  <c r="I75" i="68" s="1"/>
  <c r="Q24" i="68"/>
  <c r="Q75" i="68" s="1"/>
  <c r="Y24" i="68"/>
  <c r="Y75" i="68" s="1"/>
  <c r="C25" i="68"/>
  <c r="C76" i="68" s="1"/>
  <c r="K25" i="68"/>
  <c r="K76" i="68" s="1"/>
  <c r="S25" i="68"/>
  <c r="S76" i="68" s="1"/>
  <c r="AA25" i="68"/>
  <c r="AA76" i="68" s="1"/>
  <c r="E26" i="68"/>
  <c r="E77" i="68" s="1"/>
  <c r="M26" i="68"/>
  <c r="M77" i="68" s="1"/>
  <c r="U26" i="68"/>
  <c r="U77" i="68" s="1"/>
  <c r="AC26" i="68"/>
  <c r="AC77" i="68" s="1"/>
  <c r="G27" i="68"/>
  <c r="G78" i="68" s="1"/>
  <c r="O27" i="68"/>
  <c r="O78" i="68" s="1"/>
  <c r="W27" i="68"/>
  <c r="W78" i="68" s="1"/>
  <c r="AE27" i="68"/>
  <c r="AE78" i="68" s="1"/>
  <c r="I28" i="68"/>
  <c r="I79" i="68" s="1"/>
  <c r="Q28" i="68"/>
  <c r="Q79" i="68" s="1"/>
  <c r="Y28" i="68"/>
  <c r="Y79" i="68" s="1"/>
  <c r="C29" i="68"/>
  <c r="C80" i="68" s="1"/>
  <c r="K29" i="68"/>
  <c r="K80" i="68" s="1"/>
  <c r="S29" i="68"/>
  <c r="S80" i="68" s="1"/>
  <c r="AA29" i="68"/>
  <c r="AA80" i="68" s="1"/>
  <c r="E30" i="68"/>
  <c r="E81" i="68" s="1"/>
  <c r="M30" i="68"/>
  <c r="M81" i="68" s="1"/>
  <c r="U30" i="68"/>
  <c r="U81" i="68" s="1"/>
  <c r="AC30" i="68"/>
  <c r="AC81" i="68" s="1"/>
  <c r="I34" i="68"/>
  <c r="I85" i="68" s="1"/>
  <c r="Q34" i="68"/>
  <c r="Q85" i="68" s="1"/>
  <c r="Y34" i="68"/>
  <c r="Y85" i="68" s="1"/>
  <c r="C35" i="68"/>
  <c r="C86" i="68" s="1"/>
  <c r="K35" i="68"/>
  <c r="K86" i="68" s="1"/>
  <c r="S35" i="68"/>
  <c r="S86" i="68" s="1"/>
  <c r="AA35" i="68"/>
  <c r="AA86" i="68" s="1"/>
  <c r="E36" i="68"/>
  <c r="E87" i="68" s="1"/>
  <c r="M36" i="68"/>
  <c r="M87" i="68" s="1"/>
  <c r="U36" i="68"/>
  <c r="U87" i="68" s="1"/>
  <c r="AC36" i="68"/>
  <c r="AC87" i="68" s="1"/>
  <c r="G37" i="68"/>
  <c r="G88" i="68" s="1"/>
  <c r="O37" i="68"/>
  <c r="O88" i="68" s="1"/>
  <c r="W37" i="68"/>
  <c r="W88" i="68" s="1"/>
  <c r="AE37" i="68"/>
  <c r="AE88" i="68" s="1"/>
  <c r="I38" i="68"/>
  <c r="I89" i="68" s="1"/>
  <c r="Q38" i="68"/>
  <c r="Q89" i="68" s="1"/>
  <c r="Y38" i="68"/>
  <c r="Y89" i="68" s="1"/>
  <c r="C39" i="68"/>
  <c r="C90" i="68" s="1"/>
  <c r="K39" i="68"/>
  <c r="K90" i="68" s="1"/>
  <c r="S39" i="68"/>
  <c r="S90" i="68" s="1"/>
  <c r="AA39" i="68"/>
  <c r="AA90" i="68" s="1"/>
  <c r="E40" i="68"/>
  <c r="E91" i="68" s="1"/>
  <c r="M40" i="68"/>
  <c r="M91" i="68" s="1"/>
  <c r="U40" i="68"/>
  <c r="U91" i="68" s="1"/>
  <c r="AC40" i="68"/>
  <c r="AC91" i="68" s="1"/>
  <c r="C5" i="4"/>
  <c r="U99" i="68" l="1"/>
  <c r="N49" i="68"/>
  <c r="AB97" i="68"/>
  <c r="AB50" i="68"/>
  <c r="Z100" i="68"/>
  <c r="J101" i="68"/>
  <c r="AD95" i="68"/>
  <c r="AA97" i="68"/>
  <c r="L101" i="68"/>
  <c r="AB98" i="68"/>
  <c r="Q96" i="68"/>
  <c r="D44" i="68"/>
  <c r="D75" i="68"/>
  <c r="D82" i="68" s="1"/>
  <c r="J98" i="68"/>
  <c r="E101" i="68"/>
  <c r="C100" i="68"/>
  <c r="AE98" i="68"/>
  <c r="AC97" i="68"/>
  <c r="AA96" i="68"/>
  <c r="R95" i="68"/>
  <c r="B95" i="68"/>
  <c r="N101" i="68"/>
  <c r="AD101" i="68"/>
  <c r="O101" i="68"/>
  <c r="AE101" i="68"/>
  <c r="F99" i="68"/>
  <c r="V99" i="68"/>
  <c r="G99" i="68"/>
  <c r="W99" i="68"/>
  <c r="N97" i="68"/>
  <c r="AD97" i="68"/>
  <c r="O97" i="68"/>
  <c r="AE97" i="68"/>
  <c r="W100" i="68"/>
  <c r="O100" i="68"/>
  <c r="U100" i="68"/>
  <c r="H99" i="68"/>
  <c r="D101" i="68"/>
  <c r="P99" i="68"/>
  <c r="N98" i="68"/>
  <c r="D97" i="68"/>
  <c r="K96" i="68"/>
  <c r="Y95" i="68"/>
  <c r="I95" i="68"/>
  <c r="AA98" i="68"/>
  <c r="S98" i="68"/>
  <c r="J96" i="68"/>
  <c r="H100" i="68"/>
  <c r="P98" i="68"/>
  <c r="E98" i="68"/>
  <c r="U98" i="68"/>
  <c r="X96" i="68"/>
  <c r="AD49" i="68"/>
  <c r="P97" i="68"/>
  <c r="O95" i="68"/>
  <c r="Q101" i="68"/>
  <c r="X101" i="68"/>
  <c r="F96" i="68"/>
  <c r="M99" i="68"/>
  <c r="X99" i="68"/>
  <c r="E96" i="68"/>
  <c r="AB95" i="68"/>
  <c r="AD100" i="68"/>
  <c r="T95" i="68"/>
  <c r="V100" i="68"/>
  <c r="H97" i="68"/>
  <c r="M101" i="68"/>
  <c r="I99" i="68"/>
  <c r="E97" i="68"/>
  <c r="F95" i="68"/>
  <c r="Z101" i="68"/>
  <c r="AA101" i="68"/>
  <c r="B99" i="68"/>
  <c r="R99" i="68"/>
  <c r="S99" i="68"/>
  <c r="Z97" i="68"/>
  <c r="L92" i="68"/>
  <c r="H95" i="68"/>
  <c r="W95" i="68"/>
  <c r="L99" i="68"/>
  <c r="AA100" i="68"/>
  <c r="W98" i="68"/>
  <c r="U97" i="68"/>
  <c r="N95" i="68"/>
  <c r="B101" i="68"/>
  <c r="R101" i="68"/>
  <c r="C101" i="68"/>
  <c r="S101" i="68"/>
  <c r="J99" i="68"/>
  <c r="Z99" i="68"/>
  <c r="K99" i="68"/>
  <c r="AA99" i="68"/>
  <c r="B97" i="68"/>
  <c r="R97" i="68"/>
  <c r="C97" i="68"/>
  <c r="S97" i="68"/>
  <c r="C98" i="68"/>
  <c r="D100" i="68"/>
  <c r="T100" i="68"/>
  <c r="I100" i="68"/>
  <c r="Y100" i="68"/>
  <c r="L98" i="68"/>
  <c r="D96" i="68"/>
  <c r="V98" i="68"/>
  <c r="L97" i="68"/>
  <c r="R100" i="68"/>
  <c r="F98" i="68"/>
  <c r="Z96" i="68"/>
  <c r="G96" i="68"/>
  <c r="U95" i="68"/>
  <c r="B96" i="68"/>
  <c r="AB100" i="68"/>
  <c r="Q100" i="68"/>
  <c r="D98" i="68"/>
  <c r="T98" i="68"/>
  <c r="I98" i="68"/>
  <c r="Y98" i="68"/>
  <c r="AB96" i="68"/>
  <c r="Z98" i="68"/>
  <c r="G95" i="68"/>
  <c r="H101" i="68"/>
  <c r="N96" i="68"/>
  <c r="I96" i="68"/>
  <c r="S95" i="68"/>
  <c r="AC99" i="68"/>
  <c r="L95" i="68"/>
  <c r="R98" i="68"/>
  <c r="I97" i="68"/>
  <c r="D95" i="68"/>
  <c r="Q97" i="68"/>
  <c r="K100" i="68"/>
  <c r="G98" i="68"/>
  <c r="V95" i="68"/>
  <c r="K101" i="68"/>
  <c r="C99" i="68"/>
  <c r="J97" i="68"/>
  <c r="K97" i="68"/>
  <c r="L100" i="68"/>
  <c r="R96" i="68"/>
  <c r="O96" i="68"/>
  <c r="Q98" i="68"/>
  <c r="T96" i="68"/>
  <c r="T99" i="68"/>
  <c r="P101" i="68"/>
  <c r="K95" i="68"/>
  <c r="AC101" i="68"/>
  <c r="Y99" i="68"/>
  <c r="U96" i="68"/>
  <c r="U101" i="68"/>
  <c r="S100" i="68"/>
  <c r="Q99" i="68"/>
  <c r="O98" i="68"/>
  <c r="M97" i="68"/>
  <c r="P96" i="68"/>
  <c r="Z95" i="68"/>
  <c r="J95" i="68"/>
  <c r="F101" i="68"/>
  <c r="V101" i="68"/>
  <c r="G101" i="68"/>
  <c r="W101" i="68"/>
  <c r="N99" i="68"/>
  <c r="AD99" i="68"/>
  <c r="O99" i="68"/>
  <c r="AE99" i="68"/>
  <c r="F97" i="68"/>
  <c r="V97" i="68"/>
  <c r="G97" i="68"/>
  <c r="W97" i="68"/>
  <c r="AE100" i="68"/>
  <c r="AE96" i="68"/>
  <c r="X100" i="68"/>
  <c r="M100" i="68"/>
  <c r="AC100" i="68"/>
  <c r="H96" i="68"/>
  <c r="M96" i="68"/>
  <c r="AC96" i="68"/>
  <c r="B100" i="68"/>
  <c r="T101" i="68"/>
  <c r="J100" i="68"/>
  <c r="T97" i="68"/>
  <c r="S96" i="68"/>
  <c r="C96" i="68"/>
  <c r="Q95" i="68"/>
  <c r="K98" i="68"/>
  <c r="G100" i="68"/>
  <c r="W96" i="68"/>
  <c r="P100" i="68"/>
  <c r="E100" i="68"/>
  <c r="H98" i="68"/>
  <c r="X98" i="68"/>
  <c r="M98" i="68"/>
  <c r="AC98" i="68"/>
  <c r="Y96" i="68"/>
  <c r="L48" i="68"/>
  <c r="P95" i="68"/>
  <c r="AE95" i="68"/>
  <c r="AC95" i="68"/>
  <c r="AD96" i="68"/>
  <c r="Y101" i="68"/>
  <c r="AD98" i="68"/>
  <c r="V96" i="68"/>
  <c r="AB99" i="68"/>
  <c r="D99" i="68"/>
  <c r="M95" i="68"/>
  <c r="X95" i="68"/>
  <c r="AB101" i="68"/>
  <c r="N100" i="68"/>
  <c r="C95" i="68"/>
  <c r="E99" i="68"/>
  <c r="AA95" i="68"/>
  <c r="Y97" i="68"/>
  <c r="X97" i="68"/>
  <c r="E95" i="68"/>
  <c r="F100" i="68"/>
  <c r="E10" i="68"/>
  <c r="T48" i="68"/>
  <c r="V45" i="68"/>
  <c r="AB44" i="68"/>
  <c r="L44" i="68"/>
  <c r="G44" i="68"/>
  <c r="W44" i="68"/>
  <c r="P21" i="68"/>
  <c r="X50" i="68"/>
  <c r="Q50" i="68"/>
  <c r="V49" i="68"/>
  <c r="P44" i="68"/>
  <c r="T21" i="68"/>
  <c r="C21" i="68"/>
  <c r="P50" i="68"/>
  <c r="AD45" i="68"/>
  <c r="H46" i="68"/>
  <c r="S10" i="68"/>
  <c r="J47" i="68"/>
  <c r="X92" i="68"/>
  <c r="G21" i="68"/>
  <c r="S21" i="68"/>
  <c r="X48" i="68"/>
  <c r="W21" i="68"/>
  <c r="L21" i="68"/>
  <c r="K21" i="68"/>
  <c r="H50" i="68"/>
  <c r="D48" i="68"/>
  <c r="Z47" i="68"/>
  <c r="X46" i="68"/>
  <c r="O21" i="68"/>
  <c r="U48" i="68"/>
  <c r="R47" i="68"/>
  <c r="O10" i="68"/>
  <c r="AC48" i="68"/>
  <c r="AC41" i="68"/>
  <c r="B47" i="68"/>
  <c r="AA44" i="68"/>
  <c r="I46" i="68"/>
  <c r="F49" i="68"/>
  <c r="E48" i="68"/>
  <c r="AB48" i="68"/>
  <c r="P46" i="68"/>
  <c r="T44" i="68"/>
  <c r="K49" i="68"/>
  <c r="E46" i="68"/>
  <c r="V44" i="68"/>
  <c r="V21" i="68"/>
  <c r="F44" i="68"/>
  <c r="F21" i="68"/>
  <c r="Z50" i="68"/>
  <c r="AA50" i="68"/>
  <c r="B48" i="68"/>
  <c r="C48" i="68"/>
  <c r="Z46" i="68"/>
  <c r="R41" i="68"/>
  <c r="S41" i="68"/>
  <c r="E41" i="68"/>
  <c r="AE45" i="68"/>
  <c r="L49" i="68"/>
  <c r="Q49" i="68"/>
  <c r="X31" i="68"/>
  <c r="B49" i="68"/>
  <c r="L46" i="68"/>
  <c r="AC21" i="68"/>
  <c r="AC44" i="68"/>
  <c r="E31" i="68"/>
  <c r="AA47" i="68"/>
  <c r="AB47" i="68"/>
  <c r="T45" i="68"/>
  <c r="N31" i="68"/>
  <c r="O31" i="68"/>
  <c r="L82" i="68"/>
  <c r="Y41" i="68"/>
  <c r="I31" i="68"/>
  <c r="E50" i="68"/>
  <c r="C49" i="68"/>
  <c r="AE47" i="68"/>
  <c r="AC46" i="68"/>
  <c r="AA45" i="68"/>
  <c r="H45" i="68"/>
  <c r="R44" i="68"/>
  <c r="R21" i="68"/>
  <c r="B44" i="68"/>
  <c r="B21" i="68"/>
  <c r="N50" i="68"/>
  <c r="AD50" i="68"/>
  <c r="O50" i="68"/>
  <c r="AE50" i="68"/>
  <c r="F48" i="68"/>
  <c r="V48" i="68"/>
  <c r="G48" i="68"/>
  <c r="W48" i="68"/>
  <c r="N46" i="68"/>
  <c r="AD46" i="68"/>
  <c r="O46" i="68"/>
  <c r="AE46" i="68"/>
  <c r="F41" i="68"/>
  <c r="V41" i="68"/>
  <c r="G41" i="68"/>
  <c r="W41" i="68"/>
  <c r="E92" i="68"/>
  <c r="R45" i="68"/>
  <c r="H21" i="68"/>
  <c r="P49" i="68"/>
  <c r="E49" i="68"/>
  <c r="U49" i="68"/>
  <c r="T41" i="68"/>
  <c r="T31" i="68"/>
  <c r="P31" i="68"/>
  <c r="D50" i="68"/>
  <c r="P48" i="68"/>
  <c r="N47" i="68"/>
  <c r="D46" i="68"/>
  <c r="K45" i="68"/>
  <c r="Y21" i="68"/>
  <c r="Y44" i="68"/>
  <c r="I21" i="68"/>
  <c r="I44" i="68"/>
  <c r="Y50" i="68"/>
  <c r="Q46" i="68"/>
  <c r="AC92" i="68"/>
  <c r="G49" i="68"/>
  <c r="S47" i="68"/>
  <c r="J45" i="68"/>
  <c r="P47" i="68"/>
  <c r="E47" i="68"/>
  <c r="U47" i="68"/>
  <c r="X45" i="68"/>
  <c r="B31" i="68"/>
  <c r="R31" i="68"/>
  <c r="C31" i="68"/>
  <c r="S31" i="68"/>
  <c r="L41" i="68"/>
  <c r="I45" i="68"/>
  <c r="C44" i="68"/>
  <c r="D31" i="68"/>
  <c r="E45" i="68"/>
  <c r="X41" i="68"/>
  <c r="Q31" i="68"/>
  <c r="M50" i="68"/>
  <c r="G47" i="68"/>
  <c r="L45" i="68"/>
  <c r="K50" i="68"/>
  <c r="R48" i="68"/>
  <c r="S48" i="68"/>
  <c r="J46" i="68"/>
  <c r="K46" i="68"/>
  <c r="AA46" i="68"/>
  <c r="B41" i="68"/>
  <c r="C41" i="68"/>
  <c r="O49" i="68"/>
  <c r="AB49" i="68"/>
  <c r="H41" i="68"/>
  <c r="L50" i="68"/>
  <c r="V47" i="68"/>
  <c r="O45" i="68"/>
  <c r="M21" i="68"/>
  <c r="M44" i="68"/>
  <c r="N45" i="68"/>
  <c r="L47" i="68"/>
  <c r="Q47" i="68"/>
  <c r="AC45" i="68"/>
  <c r="AD31" i="68"/>
  <c r="AE31" i="68"/>
  <c r="AB92" i="68"/>
  <c r="Z49" i="68"/>
  <c r="Q41" i="68"/>
  <c r="AE21" i="68"/>
  <c r="AC50" i="68"/>
  <c r="AA49" i="68"/>
  <c r="Y48" i="68"/>
  <c r="W47" i="68"/>
  <c r="U46" i="68"/>
  <c r="U45" i="68"/>
  <c r="D45" i="68"/>
  <c r="N44" i="68"/>
  <c r="N21" i="68"/>
  <c r="B50" i="68"/>
  <c r="R50" i="68"/>
  <c r="C50" i="68"/>
  <c r="S50" i="68"/>
  <c r="J48" i="68"/>
  <c r="Z48" i="68"/>
  <c r="K48" i="68"/>
  <c r="AA48" i="68"/>
  <c r="B46" i="68"/>
  <c r="R46" i="68"/>
  <c r="C46" i="68"/>
  <c r="S46" i="68"/>
  <c r="J41" i="68"/>
  <c r="Z41" i="68"/>
  <c r="K41" i="68"/>
  <c r="AA41" i="68"/>
  <c r="M48" i="68"/>
  <c r="U41" i="68"/>
  <c r="M31" i="68"/>
  <c r="AE49" i="68"/>
  <c r="F45" i="68"/>
  <c r="D49" i="68"/>
  <c r="T49" i="68"/>
  <c r="I49" i="68"/>
  <c r="Y49" i="68"/>
  <c r="T92" i="68"/>
  <c r="T82" i="68"/>
  <c r="X44" i="68"/>
  <c r="H31" i="68"/>
  <c r="R49" i="68"/>
  <c r="H48" i="68"/>
  <c r="F47" i="68"/>
  <c r="Z45" i="68"/>
  <c r="G45" i="68"/>
  <c r="U21" i="68"/>
  <c r="U44" i="68"/>
  <c r="E21" i="68"/>
  <c r="E44" i="68"/>
  <c r="I50" i="68"/>
  <c r="M41" i="68"/>
  <c r="AC31" i="68"/>
  <c r="K47" i="68"/>
  <c r="B45" i="68"/>
  <c r="D21" i="68"/>
  <c r="D47" i="68"/>
  <c r="T47" i="68"/>
  <c r="I47" i="68"/>
  <c r="Y47" i="68"/>
  <c r="AB45" i="68"/>
  <c r="F31" i="68"/>
  <c r="V31" i="68"/>
  <c r="G31" i="68"/>
  <c r="W31" i="68"/>
  <c r="AD21" i="68"/>
  <c r="AB46" i="68"/>
  <c r="I48" i="68"/>
  <c r="J50" i="68"/>
  <c r="I41" i="68"/>
  <c r="Y31" i="68"/>
  <c r="U50" i="68"/>
  <c r="S49" i="68"/>
  <c r="Q48" i="68"/>
  <c r="O47" i="68"/>
  <c r="M46" i="68"/>
  <c r="P45" i="68"/>
  <c r="Z44" i="68"/>
  <c r="Z21" i="68"/>
  <c r="J44" i="68"/>
  <c r="J21" i="68"/>
  <c r="F50" i="68"/>
  <c r="V50" i="68"/>
  <c r="G50" i="68"/>
  <c r="W50" i="68"/>
  <c r="N48" i="68"/>
  <c r="AD48" i="68"/>
  <c r="O48" i="68"/>
  <c r="AE48" i="68"/>
  <c r="F46" i="68"/>
  <c r="V46" i="68"/>
  <c r="G46" i="68"/>
  <c r="W46" i="68"/>
  <c r="N41" i="68"/>
  <c r="AD41" i="68"/>
  <c r="O41" i="68"/>
  <c r="AE41" i="68"/>
  <c r="U92" i="68"/>
  <c r="AA21" i="68"/>
  <c r="W49" i="68"/>
  <c r="C47" i="68"/>
  <c r="AB21" i="68"/>
  <c r="H49" i="68"/>
  <c r="X49" i="68"/>
  <c r="M49" i="68"/>
  <c r="AC49" i="68"/>
  <c r="D41" i="68"/>
  <c r="Q45" i="68"/>
  <c r="O44" i="68"/>
  <c r="P41" i="68"/>
  <c r="T50" i="68"/>
  <c r="J49" i="68"/>
  <c r="AD47" i="68"/>
  <c r="T46" i="68"/>
  <c r="S45" i="68"/>
  <c r="C45" i="68"/>
  <c r="Q21" i="68"/>
  <c r="Q44" i="68"/>
  <c r="J10" i="68"/>
  <c r="M92" i="68"/>
  <c r="U31" i="68"/>
  <c r="W45" i="68"/>
  <c r="X21" i="68"/>
  <c r="H47" i="68"/>
  <c r="X47" i="68"/>
  <c r="M47" i="68"/>
  <c r="AC47" i="68"/>
  <c r="Y45" i="68"/>
  <c r="J31" i="68"/>
  <c r="Z31" i="68"/>
  <c r="K31" i="68"/>
  <c r="AA31" i="68"/>
  <c r="AB41" i="68"/>
  <c r="L31" i="68"/>
  <c r="AE44" i="68"/>
  <c r="K44" i="68"/>
  <c r="AB31" i="68"/>
  <c r="M45" i="68"/>
  <c r="S44" i="68"/>
  <c r="Y46" i="68"/>
  <c r="AD44" i="68"/>
  <c r="H51" i="68" l="1"/>
  <c r="B102" i="68"/>
  <c r="D92" i="68"/>
  <c r="L96" i="68"/>
  <c r="T10" i="68"/>
  <c r="I51" i="68"/>
  <c r="E51" i="68"/>
  <c r="AB82" i="68"/>
  <c r="AD51" i="68"/>
  <c r="K82" i="68"/>
  <c r="J82" i="68"/>
  <c r="Y82" i="68"/>
  <c r="G82" i="68"/>
  <c r="F82" i="68"/>
  <c r="C92" i="68"/>
  <c r="S82" i="68"/>
  <c r="R82" i="68"/>
  <c r="P51" i="68"/>
  <c r="AA51" i="68"/>
  <c r="Y92" i="68"/>
  <c r="X82" i="68"/>
  <c r="K51" i="68"/>
  <c r="W51" i="68"/>
  <c r="P92" i="68"/>
  <c r="O92" i="68"/>
  <c r="N92" i="68"/>
  <c r="C72" i="68"/>
  <c r="AC82" i="68"/>
  <c r="G51" i="68"/>
  <c r="M82" i="68"/>
  <c r="AA92" i="68"/>
  <c r="Z92" i="68"/>
  <c r="AD82" i="68"/>
  <c r="Q82" i="68"/>
  <c r="W92" i="68"/>
  <c r="V92" i="68"/>
  <c r="O82" i="68"/>
  <c r="R92" i="68"/>
  <c r="S51" i="68"/>
  <c r="AA82" i="68"/>
  <c r="Z82" i="68"/>
  <c r="Z51" i="68"/>
  <c r="I92" i="68"/>
  <c r="W82" i="68"/>
  <c r="V82" i="68"/>
  <c r="Q92" i="68"/>
  <c r="B92" i="68"/>
  <c r="C82" i="68"/>
  <c r="B82" i="68"/>
  <c r="I82" i="68"/>
  <c r="AB51" i="68"/>
  <c r="U82" i="68"/>
  <c r="O51" i="68"/>
  <c r="AE92" i="68"/>
  <c r="AD92" i="68"/>
  <c r="K92" i="68"/>
  <c r="J92" i="68"/>
  <c r="D51" i="68"/>
  <c r="AE82" i="68"/>
  <c r="H92" i="68"/>
  <c r="L51" i="68"/>
  <c r="G92" i="68"/>
  <c r="F92" i="68"/>
  <c r="N82" i="68"/>
  <c r="E82" i="68"/>
  <c r="S92" i="68"/>
  <c r="Y72" i="68"/>
  <c r="H72" i="68"/>
  <c r="AE51" i="68"/>
  <c r="Q51" i="68"/>
  <c r="J72" i="68"/>
  <c r="W72" i="68"/>
  <c r="U51" i="68"/>
  <c r="AA72" i="68"/>
  <c r="D72" i="68"/>
  <c r="AE72" i="68"/>
  <c r="M72" i="68"/>
  <c r="I72" i="68"/>
  <c r="R51" i="68"/>
  <c r="F72" i="68"/>
  <c r="J51" i="68"/>
  <c r="AB72" i="68"/>
  <c r="X51" i="68"/>
  <c r="M51" i="68"/>
  <c r="L72" i="68"/>
  <c r="C51" i="68"/>
  <c r="P82" i="68"/>
  <c r="AC72" i="68"/>
  <c r="F51" i="68"/>
  <c r="V72" i="68"/>
  <c r="Q72" i="68"/>
  <c r="P72" i="68"/>
  <c r="U72" i="68"/>
  <c r="H82" i="68"/>
  <c r="N51" i="68"/>
  <c r="X72" i="68"/>
  <c r="B51" i="68"/>
  <c r="R72" i="68"/>
  <c r="S72" i="68"/>
  <c r="T51" i="68"/>
  <c r="Z72" i="68"/>
  <c r="G72" i="68"/>
  <c r="E72" i="68"/>
  <c r="N72" i="68"/>
  <c r="K72" i="68"/>
  <c r="O72" i="68"/>
  <c r="Y51" i="68"/>
  <c r="B72" i="68"/>
  <c r="AD72" i="68"/>
  <c r="T72" i="68"/>
  <c r="AC51" i="68"/>
  <c r="V51" i="68"/>
  <c r="K4" i="67"/>
  <c r="F38" i="51"/>
  <c r="F40" i="51" s="1"/>
  <c r="F44" i="51" s="1"/>
  <c r="G45" i="51" s="1"/>
  <c r="I18" i="1" s="1"/>
  <c r="F41" i="51"/>
  <c r="F43" i="51" s="1"/>
  <c r="B105" i="68" l="1"/>
  <c r="Q102" i="68"/>
  <c r="Q105" i="68" s="1"/>
  <c r="K102" i="68"/>
  <c r="K105" i="68" s="1"/>
  <c r="X102" i="68"/>
  <c r="X105" i="68" s="1"/>
  <c r="H102" i="68"/>
  <c r="H105" i="68" s="1"/>
  <c r="R102" i="68"/>
  <c r="R105" i="68" s="1"/>
  <c r="D102" i="68"/>
  <c r="D105" i="68" s="1"/>
  <c r="W102" i="68"/>
  <c r="W105" i="68" s="1"/>
  <c r="M102" i="68"/>
  <c r="M105" i="68" s="1"/>
  <c r="J102" i="68"/>
  <c r="J105" i="68" s="1"/>
  <c r="O102" i="68"/>
  <c r="O105" i="68" s="1"/>
  <c r="E102" i="68"/>
  <c r="E105" i="68" s="1"/>
  <c r="AB102" i="68"/>
  <c r="AB105" i="68" s="1"/>
  <c r="T102" i="68"/>
  <c r="T105" i="68" s="1"/>
  <c r="C102" i="68"/>
  <c r="C105" i="68" s="1"/>
  <c r="Z102" i="68"/>
  <c r="Z105" i="68" s="1"/>
  <c r="AE102" i="68"/>
  <c r="AE105" i="68" s="1"/>
  <c r="AC102" i="68"/>
  <c r="AC105" i="68" s="1"/>
  <c r="G102" i="68"/>
  <c r="G105" i="68" s="1"/>
  <c r="N102" i="68"/>
  <c r="N105" i="68" s="1"/>
  <c r="V102" i="68"/>
  <c r="V105" i="68" s="1"/>
  <c r="AD102" i="68"/>
  <c r="AD105" i="68" s="1"/>
  <c r="F102" i="68"/>
  <c r="F105" i="68" s="1"/>
  <c r="I102" i="68"/>
  <c r="I105" i="68" s="1"/>
  <c r="Y102" i="68"/>
  <c r="Y105" i="68" s="1"/>
  <c r="AA102" i="68"/>
  <c r="AA105" i="68" s="1"/>
  <c r="U102" i="68"/>
  <c r="U105" i="68" s="1"/>
  <c r="L102" i="68"/>
  <c r="L105" i="68" s="1"/>
  <c r="S102" i="68"/>
  <c r="S105" i="68" s="1"/>
  <c r="P102" i="68"/>
  <c r="P105" i="68" s="1"/>
  <c r="G104" i="55"/>
  <c r="L51" i="30" l="1"/>
  <c r="AI51" i="30"/>
  <c r="AO51" i="30"/>
  <c r="W51" i="30"/>
  <c r="V51" i="30"/>
  <c r="X51" i="30"/>
  <c r="O51" i="30"/>
  <c r="AE51" i="30"/>
  <c r="P51" i="30"/>
  <c r="Q51" i="30"/>
  <c r="M51" i="30"/>
  <c r="Y51" i="30"/>
  <c r="N51" i="30"/>
  <c r="U51" i="30"/>
  <c r="AC51" i="30"/>
  <c r="AF51" i="30"/>
  <c r="AL51" i="30"/>
  <c r="R51" i="30"/>
  <c r="S51" i="30"/>
  <c r="AJ51" i="30"/>
  <c r="AG51" i="30"/>
  <c r="Z51" i="30"/>
  <c r="AK51" i="30"/>
  <c r="AN51" i="30"/>
  <c r="AM51" i="30"/>
  <c r="AD51" i="30"/>
  <c r="T51" i="30"/>
  <c r="AB51" i="30"/>
  <c r="AA51" i="30"/>
  <c r="AH51" i="30"/>
  <c r="F7" i="57" l="1"/>
  <c r="T7" i="59"/>
  <c r="T36" i="59"/>
  <c r="T8" i="59"/>
  <c r="T9" i="59"/>
  <c r="T10" i="59"/>
  <c r="T11" i="59"/>
  <c r="T12" i="59"/>
  <c r="T13" i="59"/>
  <c r="T14" i="59"/>
  <c r="T15" i="59"/>
  <c r="T16" i="59"/>
  <c r="T17" i="59"/>
  <c r="T18" i="59"/>
  <c r="T19" i="59"/>
  <c r="T20" i="59"/>
  <c r="T21" i="59"/>
  <c r="T22" i="59"/>
  <c r="T23" i="59"/>
  <c r="T24" i="59"/>
  <c r="T25" i="59"/>
  <c r="T26" i="59"/>
  <c r="T27" i="59"/>
  <c r="T28" i="59"/>
  <c r="T29" i="59"/>
  <c r="T30" i="59"/>
  <c r="T31" i="59"/>
  <c r="T32" i="59"/>
  <c r="T33" i="59"/>
  <c r="T34" i="59"/>
  <c r="T35" i="59"/>
  <c r="U5" i="59"/>
  <c r="E39" i="59" a="1"/>
  <c r="E39" i="59" s="1"/>
  <c r="G69" i="1"/>
  <c r="E69" i="1"/>
  <c r="C12" i="34"/>
  <c r="C37" i="34"/>
  <c r="E36" i="1"/>
  <c r="F80" i="55"/>
  <c r="C15" i="34"/>
  <c r="F95" i="55"/>
  <c r="F91" i="55"/>
  <c r="G7" i="60" s="1"/>
  <c r="F49" i="55"/>
  <c r="G42" i="1"/>
  <c r="G41" i="1"/>
  <c r="E41" i="1"/>
  <c r="G39" i="1"/>
  <c r="E39" i="1"/>
  <c r="G38" i="1"/>
  <c r="E38" i="1"/>
  <c r="G50" i="55"/>
  <c r="E37" i="1"/>
  <c r="G34" i="1"/>
  <c r="F102" i="55"/>
  <c r="F70" i="55"/>
  <c r="F71" i="55" s="1"/>
  <c r="F59" i="55"/>
  <c r="G61" i="55" s="1"/>
  <c r="F110" i="55" s="1"/>
  <c r="F54" i="55"/>
  <c r="G55" i="55" s="1"/>
  <c r="J38" i="1" s="1"/>
  <c r="D26" i="30" s="1"/>
  <c r="F26" i="30" s="1"/>
  <c r="F42" i="55"/>
  <c r="F41" i="55"/>
  <c r="F34" i="55"/>
  <c r="G35" i="55" s="1"/>
  <c r="F9" i="55"/>
  <c r="F12" i="55"/>
  <c r="F13" i="55"/>
  <c r="F15" i="55"/>
  <c r="L52" i="30" l="1"/>
  <c r="L54" i="30" s="1"/>
  <c r="L47" i="30"/>
  <c r="N47" i="30"/>
  <c r="L46" i="30"/>
  <c r="I38" i="1"/>
  <c r="I31" i="1"/>
  <c r="G36" i="1"/>
  <c r="I39" i="1"/>
  <c r="F106" i="55"/>
  <c r="F43" i="55"/>
  <c r="G16" i="55"/>
  <c r="J31" i="1" s="1"/>
  <c r="F14" i="55"/>
  <c r="M47" i="30" l="1"/>
  <c r="U10" i="59"/>
  <c r="U11" i="59" s="1"/>
  <c r="D19" i="30"/>
  <c r="F19" i="30" s="1"/>
  <c r="L19" i="30" s="1"/>
  <c r="M19" i="30" s="1"/>
  <c r="G45" i="55"/>
  <c r="G37" i="1"/>
  <c r="C39" i="34"/>
  <c r="V10" i="59" l="1"/>
  <c r="O47" i="30" s="1"/>
  <c r="U12" i="59"/>
  <c r="V11" i="59"/>
  <c r="P47" i="30" s="1"/>
  <c r="F101" i="55"/>
  <c r="J37" i="1"/>
  <c r="D25" i="30" s="1"/>
  <c r="I37" i="1"/>
  <c r="U13" i="59" l="1"/>
  <c r="V12" i="59"/>
  <c r="Q47" i="30" s="1"/>
  <c r="J48" i="1"/>
  <c r="I48" i="1"/>
  <c r="L33" i="30" s="1"/>
  <c r="M33" i="30" l="1"/>
  <c r="N33" i="30" s="1"/>
  <c r="O33" i="30" s="1"/>
  <c r="P33" i="30" s="1"/>
  <c r="Q33" i="30" s="1"/>
  <c r="R33" i="30" s="1"/>
  <c r="S33" i="30" s="1"/>
  <c r="T33" i="30" s="1"/>
  <c r="U33" i="30" s="1"/>
  <c r="V33" i="30" s="1"/>
  <c r="W33" i="30" s="1"/>
  <c r="X33" i="30" s="1"/>
  <c r="Y33" i="30" s="1"/>
  <c r="Z33" i="30" s="1"/>
  <c r="AA33" i="30" s="1"/>
  <c r="AB33" i="30" s="1"/>
  <c r="AC33" i="30" s="1"/>
  <c r="AD33" i="30" s="1"/>
  <c r="AE33" i="30" s="1"/>
  <c r="AF33" i="30" s="1"/>
  <c r="AG33" i="30" s="1"/>
  <c r="AH33" i="30" s="1"/>
  <c r="AI33" i="30" s="1"/>
  <c r="AJ33" i="30" s="1"/>
  <c r="AK33" i="30" s="1"/>
  <c r="AL33" i="30" s="1"/>
  <c r="AM33" i="30" s="1"/>
  <c r="AN33" i="30" s="1"/>
  <c r="AO33" i="30" s="1"/>
  <c r="V13" i="59"/>
  <c r="R47" i="30" s="1"/>
  <c r="U14" i="59"/>
  <c r="H33" i="30" l="1"/>
  <c r="U15" i="59"/>
  <c r="V14" i="59"/>
  <c r="S47" i="30" s="1"/>
  <c r="U16" i="59" l="1"/>
  <c r="V15" i="59"/>
  <c r="T47" i="30" s="1"/>
  <c r="U17" i="59" l="1"/>
  <c r="V16" i="59"/>
  <c r="U47" i="30" s="1"/>
  <c r="V17" i="59" l="1"/>
  <c r="V47" i="30" s="1"/>
  <c r="U18" i="59"/>
  <c r="V18" i="59" l="1"/>
  <c r="W47" i="30" s="1"/>
  <c r="U19" i="59"/>
  <c r="U20" i="59" l="1"/>
  <c r="V19" i="59"/>
  <c r="X47" i="30" s="1"/>
  <c r="U21" i="59" l="1"/>
  <c r="V20" i="59"/>
  <c r="Y47" i="30" s="1"/>
  <c r="U22" i="59" l="1"/>
  <c r="V21" i="59"/>
  <c r="Z47" i="30" s="1"/>
  <c r="U23" i="59" l="1"/>
  <c r="V22" i="59"/>
  <c r="AA47" i="30" s="1"/>
  <c r="U24" i="59" l="1"/>
  <c r="V23" i="59"/>
  <c r="AB47" i="30" s="1"/>
  <c r="U25" i="59" l="1"/>
  <c r="V24" i="59"/>
  <c r="AC47" i="30" s="1"/>
  <c r="U26" i="59" l="1"/>
  <c r="V25" i="59"/>
  <c r="AD47" i="30" s="1"/>
  <c r="U27" i="59" l="1"/>
  <c r="V26" i="59"/>
  <c r="AE47" i="30" s="1"/>
  <c r="U28" i="59" l="1"/>
  <c r="V27" i="59"/>
  <c r="AF47" i="30" s="1"/>
  <c r="U29" i="59" l="1"/>
  <c r="V28" i="59"/>
  <c r="AG47" i="30" s="1"/>
  <c r="U30" i="59" l="1"/>
  <c r="U31" i="59" s="1"/>
  <c r="U32" i="59" s="1"/>
  <c r="U33" i="59" s="1"/>
  <c r="U34" i="59" s="1"/>
  <c r="U35" i="59" s="1"/>
  <c r="U36" i="59" s="1"/>
  <c r="V29" i="59"/>
  <c r="AH47" i="30" s="1"/>
  <c r="V30" i="59" l="1"/>
  <c r="AI47" i="30" s="1"/>
  <c r="V31" i="59" l="1"/>
  <c r="AJ47" i="30" s="1"/>
  <c r="V32" i="59" l="1"/>
  <c r="AK47" i="30" s="1"/>
  <c r="V33" i="59" l="1"/>
  <c r="AL47" i="30" s="1"/>
  <c r="V36" i="59" l="1"/>
  <c r="V34" i="59"/>
  <c r="AM47" i="30" s="1"/>
  <c r="AO47" i="30" l="1"/>
  <c r="V35" i="59"/>
  <c r="AN47" i="30" s="1"/>
  <c r="H47" i="30" l="1"/>
  <c r="I47" i="30" s="1"/>
  <c r="K69" i="1" s="1"/>
  <c r="L69" i="1" s="1"/>
  <c r="M69" i="1" s="1"/>
  <c r="V37" i="59"/>
  <c r="G4" i="67" l="1"/>
  <c r="H4" i="67" s="1"/>
  <c r="I4" i="67" s="1"/>
  <c r="L4" i="67" s="1"/>
  <c r="M4" i="67" s="1"/>
  <c r="N4" i="67" s="1"/>
  <c r="N45" i="1"/>
  <c r="N48" i="1"/>
  <c r="N49" i="1"/>
  <c r="N47" i="1"/>
  <c r="F51" i="51"/>
  <c r="G31" i="64"/>
  <c r="F39" i="54"/>
  <c r="F37" i="54"/>
  <c r="F36" i="54"/>
  <c r="F23" i="54"/>
  <c r="K36" i="67"/>
  <c r="G36" i="67"/>
  <c r="H36" i="67" s="1"/>
  <c r="I36" i="67" s="1"/>
  <c r="L36" i="67" s="1"/>
  <c r="M36" i="67" s="1"/>
  <c r="N36" i="67" s="1"/>
  <c r="K35" i="67"/>
  <c r="G35" i="67"/>
  <c r="H35" i="67" s="1"/>
  <c r="I35" i="67" s="1"/>
  <c r="L35" i="67" s="1"/>
  <c r="M35" i="67" s="1"/>
  <c r="N35" i="67" s="1"/>
  <c r="K34" i="67"/>
  <c r="G34" i="67"/>
  <c r="H34" i="67" s="1"/>
  <c r="I34" i="67" s="1"/>
  <c r="L34" i="67" s="1"/>
  <c r="M34" i="67" s="1"/>
  <c r="N34" i="67" s="1"/>
  <c r="K33" i="67"/>
  <c r="G33" i="67"/>
  <c r="H33" i="67" s="1"/>
  <c r="I33" i="67" s="1"/>
  <c r="K32" i="67"/>
  <c r="G32" i="67"/>
  <c r="H32" i="67" s="1"/>
  <c r="I32" i="67" s="1"/>
  <c r="L32" i="67" s="1"/>
  <c r="M32" i="67" s="1"/>
  <c r="N32" i="67" s="1"/>
  <c r="K31" i="67"/>
  <c r="G31" i="67"/>
  <c r="H31" i="67" s="1"/>
  <c r="I31" i="67" s="1"/>
  <c r="L31" i="67" s="1"/>
  <c r="M31" i="67" s="1"/>
  <c r="N31" i="67" s="1"/>
  <c r="K30" i="67"/>
  <c r="G30" i="67"/>
  <c r="H30" i="67" s="1"/>
  <c r="I30" i="67" s="1"/>
  <c r="L30" i="67" s="1"/>
  <c r="M30" i="67" s="1"/>
  <c r="N30" i="67" s="1"/>
  <c r="K29" i="67"/>
  <c r="G29" i="67"/>
  <c r="H29" i="67" s="1"/>
  <c r="I29" i="67" s="1"/>
  <c r="K28" i="67"/>
  <c r="G28" i="67"/>
  <c r="H28" i="67" s="1"/>
  <c r="I28" i="67" s="1"/>
  <c r="L28" i="67" s="1"/>
  <c r="M28" i="67" s="1"/>
  <c r="N28" i="67" s="1"/>
  <c r="K27" i="67"/>
  <c r="G27" i="67"/>
  <c r="H27" i="67" s="1"/>
  <c r="I27" i="67" s="1"/>
  <c r="L27" i="67" s="1"/>
  <c r="M27" i="67" s="1"/>
  <c r="N27" i="67" s="1"/>
  <c r="K26" i="67"/>
  <c r="G26" i="67"/>
  <c r="H26" i="67" s="1"/>
  <c r="I26" i="67" s="1"/>
  <c r="L26" i="67" s="1"/>
  <c r="M26" i="67" s="1"/>
  <c r="N26" i="67" s="1"/>
  <c r="K25" i="67"/>
  <c r="G25" i="67"/>
  <c r="H25" i="67" s="1"/>
  <c r="I25" i="67" s="1"/>
  <c r="K24" i="67"/>
  <c r="G24" i="67"/>
  <c r="H24" i="67" s="1"/>
  <c r="I24" i="67" s="1"/>
  <c r="L24" i="67" s="1"/>
  <c r="M24" i="67" s="1"/>
  <c r="N24" i="67" s="1"/>
  <c r="K23" i="67"/>
  <c r="G23" i="67"/>
  <c r="H23" i="67" s="1"/>
  <c r="I23" i="67" s="1"/>
  <c r="L23" i="67" s="1"/>
  <c r="M23" i="67" s="1"/>
  <c r="N23" i="67" s="1"/>
  <c r="K22" i="67"/>
  <c r="G22" i="67"/>
  <c r="H22" i="67" s="1"/>
  <c r="I22" i="67" s="1"/>
  <c r="L22" i="67" s="1"/>
  <c r="M22" i="67" s="1"/>
  <c r="N22" i="67" s="1"/>
  <c r="K21" i="67"/>
  <c r="G21" i="67"/>
  <c r="H21" i="67" s="1"/>
  <c r="I21" i="67" s="1"/>
  <c r="K20" i="67"/>
  <c r="G20" i="67"/>
  <c r="H20" i="67" s="1"/>
  <c r="I20" i="67" s="1"/>
  <c r="L20" i="67" s="1"/>
  <c r="M20" i="67" s="1"/>
  <c r="N20" i="67" s="1"/>
  <c r="K19" i="67"/>
  <c r="G19" i="67"/>
  <c r="H19" i="67" s="1"/>
  <c r="I19" i="67" s="1"/>
  <c r="K18" i="67"/>
  <c r="G18" i="67"/>
  <c r="H18" i="67" s="1"/>
  <c r="I18" i="67" s="1"/>
  <c r="L18" i="67" s="1"/>
  <c r="M18" i="67" s="1"/>
  <c r="N18" i="67" s="1"/>
  <c r="K17" i="67"/>
  <c r="G17" i="67"/>
  <c r="H17" i="67" s="1"/>
  <c r="I17" i="67" s="1"/>
  <c r="K16" i="67"/>
  <c r="G16" i="67"/>
  <c r="H16" i="67" s="1"/>
  <c r="I16" i="67" s="1"/>
  <c r="L16" i="67" s="1"/>
  <c r="M16" i="67" s="1"/>
  <c r="N16" i="67" s="1"/>
  <c r="K15" i="67"/>
  <c r="G15" i="67"/>
  <c r="H15" i="67" s="1"/>
  <c r="I15" i="67" s="1"/>
  <c r="L15" i="67" s="1"/>
  <c r="M15" i="67" s="1"/>
  <c r="N15" i="67" s="1"/>
  <c r="K14" i="67"/>
  <c r="G14" i="67"/>
  <c r="H14" i="67" s="1"/>
  <c r="I14" i="67" s="1"/>
  <c r="L14" i="67" s="1"/>
  <c r="M14" i="67" s="1"/>
  <c r="N14" i="67" s="1"/>
  <c r="K13" i="67"/>
  <c r="G13" i="67"/>
  <c r="H13" i="67" s="1"/>
  <c r="I13" i="67" s="1"/>
  <c r="L13" i="67" s="1"/>
  <c r="M13" i="67" s="1"/>
  <c r="N13" i="67" s="1"/>
  <c r="K12" i="67"/>
  <c r="G12" i="67"/>
  <c r="H12" i="67" s="1"/>
  <c r="I12" i="67" s="1"/>
  <c r="L12" i="67" s="1"/>
  <c r="M12" i="67" s="1"/>
  <c r="N12" i="67" s="1"/>
  <c r="K11" i="67"/>
  <c r="G11" i="67"/>
  <c r="H11" i="67" s="1"/>
  <c r="I11" i="67" s="1"/>
  <c r="L11" i="67" s="1"/>
  <c r="M11" i="67" s="1"/>
  <c r="N11" i="67" s="1"/>
  <c r="K10" i="67"/>
  <c r="G10" i="67"/>
  <c r="H10" i="67" s="1"/>
  <c r="I10" i="67" s="1"/>
  <c r="L10" i="67" s="1"/>
  <c r="M10" i="67" s="1"/>
  <c r="N10" i="67" s="1"/>
  <c r="K9" i="67"/>
  <c r="G9" i="67"/>
  <c r="H9" i="67" s="1"/>
  <c r="I9" i="67" s="1"/>
  <c r="L9" i="67" s="1"/>
  <c r="M9" i="67" s="1"/>
  <c r="N9" i="67" s="1"/>
  <c r="K8" i="67"/>
  <c r="G8" i="67"/>
  <c r="H8" i="67" s="1"/>
  <c r="I8" i="67" s="1"/>
  <c r="L8" i="67" s="1"/>
  <c r="M8" i="67" s="1"/>
  <c r="N8" i="67" s="1"/>
  <c r="K7" i="67"/>
  <c r="G7" i="67"/>
  <c r="H7" i="67" s="1"/>
  <c r="I7" i="67" s="1"/>
  <c r="L7" i="67" s="1"/>
  <c r="M7" i="67" s="1"/>
  <c r="N7" i="67" s="1"/>
  <c r="K6" i="67"/>
  <c r="G6" i="67"/>
  <c r="H6" i="67" s="1"/>
  <c r="I6" i="67" s="1"/>
  <c r="L6" i="67" s="1"/>
  <c r="M6" i="67" s="1"/>
  <c r="N6" i="67" s="1"/>
  <c r="K5" i="67"/>
  <c r="G5" i="67"/>
  <c r="H5" i="67" s="1"/>
  <c r="I5" i="67" s="1"/>
  <c r="L5" i="67" s="1"/>
  <c r="M5" i="67" s="1"/>
  <c r="N5" i="67" s="1"/>
  <c r="J1" i="67"/>
  <c r="C44" i="65"/>
  <c r="C47" i="65" s="1"/>
  <c r="C32" i="65"/>
  <c r="E15" i="65"/>
  <c r="D15" i="65"/>
  <c r="M13" i="65"/>
  <c r="K13" i="65"/>
  <c r="M12" i="65"/>
  <c r="K12" i="65"/>
  <c r="M11" i="65"/>
  <c r="K11" i="65"/>
  <c r="M10" i="65"/>
  <c r="K10" i="65"/>
  <c r="M9" i="65"/>
  <c r="K9" i="65"/>
  <c r="M8" i="65"/>
  <c r="K8" i="65"/>
  <c r="M7" i="65"/>
  <c r="M14" i="65" s="1"/>
  <c r="N14" i="65" s="1"/>
  <c r="K7" i="65"/>
  <c r="M6" i="65"/>
  <c r="K6" i="65"/>
  <c r="O5" i="65"/>
  <c r="M5" i="65"/>
  <c r="K5" i="65"/>
  <c r="G35" i="56"/>
  <c r="G31" i="56"/>
  <c r="Q50" i="64"/>
  <c r="F29" i="64"/>
  <c r="G29" i="64" s="1"/>
  <c r="F28" i="64"/>
  <c r="G28" i="64" s="1"/>
  <c r="Z61" i="63"/>
  <c r="Z56" i="63"/>
  <c r="F55" i="63"/>
  <c r="E55" i="63"/>
  <c r="I54" i="63"/>
  <c r="H54" i="63"/>
  <c r="G54" i="63"/>
  <c r="H53" i="63"/>
  <c r="I53" i="63" s="1"/>
  <c r="G53" i="63"/>
  <c r="H52" i="63"/>
  <c r="I52" i="63" s="1"/>
  <c r="G52" i="63"/>
  <c r="H51" i="63"/>
  <c r="I51" i="63" s="1"/>
  <c r="G51" i="63"/>
  <c r="I50" i="63"/>
  <c r="H50" i="63"/>
  <c r="G50" i="63"/>
  <c r="H49" i="63"/>
  <c r="I49" i="63" s="1"/>
  <c r="G49" i="63"/>
  <c r="I48" i="63"/>
  <c r="H48" i="63"/>
  <c r="G48" i="63"/>
  <c r="H47" i="63"/>
  <c r="I47" i="63" s="1"/>
  <c r="G47" i="63"/>
  <c r="I46" i="63"/>
  <c r="H46" i="63"/>
  <c r="G46" i="63"/>
  <c r="H45" i="63"/>
  <c r="I45" i="63" s="1"/>
  <c r="G45" i="63"/>
  <c r="I44" i="63"/>
  <c r="H44" i="63"/>
  <c r="G44" i="63"/>
  <c r="H43" i="63"/>
  <c r="I43" i="63" s="1"/>
  <c r="G43" i="63"/>
  <c r="I42" i="63"/>
  <c r="H42" i="63"/>
  <c r="G42" i="63"/>
  <c r="H41" i="63"/>
  <c r="I41" i="63" s="1"/>
  <c r="G41" i="63"/>
  <c r="I40" i="63"/>
  <c r="H40" i="63"/>
  <c r="G40" i="63"/>
  <c r="H39" i="63"/>
  <c r="I39" i="63" s="1"/>
  <c r="G39" i="63"/>
  <c r="I38" i="63"/>
  <c r="H38" i="63"/>
  <c r="G38" i="63"/>
  <c r="H37" i="63"/>
  <c r="I37" i="63" s="1"/>
  <c r="G37" i="63"/>
  <c r="I36" i="63"/>
  <c r="H36" i="63"/>
  <c r="G36" i="63"/>
  <c r="H35" i="63"/>
  <c r="I35" i="63" s="1"/>
  <c r="G35" i="63"/>
  <c r="I34" i="63"/>
  <c r="H34" i="63"/>
  <c r="G34" i="63"/>
  <c r="H33" i="63"/>
  <c r="I33" i="63" s="1"/>
  <c r="G33" i="63"/>
  <c r="I32" i="63"/>
  <c r="H32" i="63"/>
  <c r="G32" i="63"/>
  <c r="H31" i="63"/>
  <c r="I31" i="63" s="1"/>
  <c r="G31" i="63"/>
  <c r="I30" i="63"/>
  <c r="H30" i="63"/>
  <c r="G30" i="63"/>
  <c r="H29" i="63"/>
  <c r="I29" i="63" s="1"/>
  <c r="G29" i="63"/>
  <c r="I28" i="63"/>
  <c r="H28" i="63"/>
  <c r="G28" i="63"/>
  <c r="H27" i="63"/>
  <c r="I27" i="63" s="1"/>
  <c r="G27" i="63"/>
  <c r="I26" i="63"/>
  <c r="H26" i="63"/>
  <c r="G26" i="63"/>
  <c r="H25" i="63"/>
  <c r="I25" i="63" s="1"/>
  <c r="G25" i="63"/>
  <c r="I24" i="63"/>
  <c r="H24" i="63"/>
  <c r="G24" i="63"/>
  <c r="H23" i="63"/>
  <c r="I23" i="63" s="1"/>
  <c r="G23" i="63"/>
  <c r="I22" i="63"/>
  <c r="H22" i="63"/>
  <c r="G22" i="63"/>
  <c r="H21" i="63"/>
  <c r="I21" i="63" s="1"/>
  <c r="G21" i="63"/>
  <c r="I20" i="63"/>
  <c r="H20" i="63"/>
  <c r="G20" i="63"/>
  <c r="H19" i="63"/>
  <c r="I19" i="63" s="1"/>
  <c r="G19" i="63"/>
  <c r="I18" i="63"/>
  <c r="H18" i="63"/>
  <c r="G18" i="63"/>
  <c r="H17" i="63"/>
  <c r="I17" i="63" s="1"/>
  <c r="G17" i="63"/>
  <c r="I16" i="63"/>
  <c r="H16" i="63"/>
  <c r="G16" i="63"/>
  <c r="H15" i="63"/>
  <c r="I15" i="63" s="1"/>
  <c r="G15" i="63"/>
  <c r="G55" i="63" s="1"/>
  <c r="D11" i="63"/>
  <c r="G9" i="63"/>
  <c r="I3" i="63"/>
  <c r="F3" i="63"/>
  <c r="T19" i="67" l="1"/>
  <c r="L19" i="67"/>
  <c r="M19" i="67" s="1"/>
  <c r="N19" i="67" s="1"/>
  <c r="S21" i="67"/>
  <c r="L21" i="67"/>
  <c r="M21" i="67" s="1"/>
  <c r="N21" i="67" s="1"/>
  <c r="S25" i="67"/>
  <c r="L25" i="67"/>
  <c r="M25" i="67" s="1"/>
  <c r="N25" i="67" s="1"/>
  <c r="S33" i="67"/>
  <c r="W33" i="67" s="1"/>
  <c r="L33" i="67"/>
  <c r="M33" i="67" s="1"/>
  <c r="N33" i="67" s="1"/>
  <c r="T17" i="67"/>
  <c r="L17" i="67"/>
  <c r="M17" i="67" s="1"/>
  <c r="N17" i="67" s="1"/>
  <c r="S29" i="67"/>
  <c r="W29" i="67" s="1"/>
  <c r="L29" i="67"/>
  <c r="M29" i="67" s="1"/>
  <c r="N29" i="67" s="1"/>
  <c r="U20" i="67"/>
  <c r="U24" i="67"/>
  <c r="U28" i="67"/>
  <c r="U32" i="67"/>
  <c r="Z32" i="67" s="1"/>
  <c r="AB32" i="67" s="1"/>
  <c r="U36" i="67"/>
  <c r="Z36" i="67" s="1"/>
  <c r="AB36" i="67" s="1"/>
  <c r="T4" i="67"/>
  <c r="S4" i="67"/>
  <c r="N52" i="1"/>
  <c r="N53" i="1" s="1"/>
  <c r="F19" i="66"/>
  <c r="U4" i="67"/>
  <c r="V4" i="67"/>
  <c r="S5" i="67"/>
  <c r="U5" i="67"/>
  <c r="T5" i="67"/>
  <c r="V5" i="67"/>
  <c r="S16" i="67"/>
  <c r="V16" i="67"/>
  <c r="U16" i="67"/>
  <c r="T16" i="67"/>
  <c r="K1" i="67"/>
  <c r="V6" i="67"/>
  <c r="S6" i="67"/>
  <c r="U6" i="67"/>
  <c r="Z6" i="67" s="1"/>
  <c r="AB6" i="67" s="1"/>
  <c r="T6" i="67"/>
  <c r="U10" i="67"/>
  <c r="V10" i="67"/>
  <c r="T10" i="67"/>
  <c r="S10" i="67"/>
  <c r="T11" i="67"/>
  <c r="U11" i="67"/>
  <c r="S11" i="67"/>
  <c r="W11" i="67" s="1"/>
  <c r="V11" i="67"/>
  <c r="U7" i="67"/>
  <c r="V7" i="67"/>
  <c r="T7" i="67"/>
  <c r="S7" i="67"/>
  <c r="V9" i="67"/>
  <c r="S9" i="67"/>
  <c r="V13" i="67"/>
  <c r="S13" i="67"/>
  <c r="T13" i="67"/>
  <c r="U14" i="67"/>
  <c r="V14" i="67"/>
  <c r="T14" i="67"/>
  <c r="T15" i="67"/>
  <c r="V15" i="67"/>
  <c r="U15" i="67"/>
  <c r="Z15" i="67" s="1"/>
  <c r="AB15" i="67" s="1"/>
  <c r="S15" i="67"/>
  <c r="T18" i="67"/>
  <c r="U18" i="67"/>
  <c r="S18" i="67"/>
  <c r="W18" i="67" s="1"/>
  <c r="V18" i="67"/>
  <c r="U26" i="67"/>
  <c r="T26" i="67"/>
  <c r="S26" i="67"/>
  <c r="W26" i="67" s="1"/>
  <c r="V26" i="67"/>
  <c r="T9" i="67"/>
  <c r="U13" i="67"/>
  <c r="U17" i="67"/>
  <c r="S17" i="67"/>
  <c r="W17" i="67" s="1"/>
  <c r="V17" i="67"/>
  <c r="U22" i="67"/>
  <c r="T22" i="67"/>
  <c r="S22" i="67"/>
  <c r="V22" i="67"/>
  <c r="S8" i="67"/>
  <c r="T8" i="67"/>
  <c r="U8" i="67"/>
  <c r="U9" i="67"/>
  <c r="Z9" i="67" s="1"/>
  <c r="AB9" i="67" s="1"/>
  <c r="S12" i="67"/>
  <c r="U12" i="67"/>
  <c r="T12" i="67"/>
  <c r="V12" i="67"/>
  <c r="S19" i="67"/>
  <c r="W19" i="67" s="1"/>
  <c r="V19" i="67"/>
  <c r="U19" i="67"/>
  <c r="AC33" i="67"/>
  <c r="AE33" i="67" s="1"/>
  <c r="AF33" i="67" s="1"/>
  <c r="AG33" i="67" s="1"/>
  <c r="AH33" i="67" s="1"/>
  <c r="Y33" i="67"/>
  <c r="X33" i="67"/>
  <c r="U34" i="67"/>
  <c r="Z34" i="67" s="1"/>
  <c r="AB34" i="67" s="1"/>
  <c r="T34" i="67"/>
  <c r="S34" i="67"/>
  <c r="W34" i="67" s="1"/>
  <c r="V34" i="67"/>
  <c r="V8" i="67"/>
  <c r="S14" i="67"/>
  <c r="AC29" i="67"/>
  <c r="AE29" i="67" s="1"/>
  <c r="AF29" i="67" s="1"/>
  <c r="AG29" i="67" s="1"/>
  <c r="AH29" i="67" s="1"/>
  <c r="Y29" i="67"/>
  <c r="X29" i="67"/>
  <c r="U30" i="67"/>
  <c r="Z30" i="67" s="1"/>
  <c r="AB30" i="67" s="1"/>
  <c r="T30" i="67"/>
  <c r="S30" i="67"/>
  <c r="W30" i="67" s="1"/>
  <c r="V30" i="67"/>
  <c r="V21" i="67"/>
  <c r="U21" i="67"/>
  <c r="T21" i="67"/>
  <c r="W21" i="67" s="1"/>
  <c r="T23" i="67"/>
  <c r="S23" i="67"/>
  <c r="U23" i="67"/>
  <c r="V23" i="67"/>
  <c r="V25" i="67"/>
  <c r="U25" i="67"/>
  <c r="T25" i="67"/>
  <c r="W25" i="67" s="1"/>
  <c r="T27" i="67"/>
  <c r="S27" i="67"/>
  <c r="U27" i="67"/>
  <c r="V27" i="67"/>
  <c r="V29" i="67"/>
  <c r="U29" i="67"/>
  <c r="Z29" i="67" s="1"/>
  <c r="AB29" i="67" s="1"/>
  <c r="T29" i="67"/>
  <c r="T31" i="67"/>
  <c r="S31" i="67"/>
  <c r="W31" i="67" s="1"/>
  <c r="U31" i="67"/>
  <c r="Z31" i="67" s="1"/>
  <c r="AB31" i="67" s="1"/>
  <c r="V31" i="67"/>
  <c r="V33" i="67"/>
  <c r="U33" i="67"/>
  <c r="Z33" i="67" s="1"/>
  <c r="AB33" i="67" s="1"/>
  <c r="T33" i="67"/>
  <c r="T35" i="67"/>
  <c r="S35" i="67"/>
  <c r="W35" i="67" s="1"/>
  <c r="U35" i="67"/>
  <c r="Z35" i="67" s="1"/>
  <c r="AB35" i="67" s="1"/>
  <c r="V35" i="67"/>
  <c r="S20" i="67"/>
  <c r="V20" i="67"/>
  <c r="Z20" i="67" s="1"/>
  <c r="AB20" i="67" s="1"/>
  <c r="T20" i="67"/>
  <c r="S24" i="67"/>
  <c r="V24" i="67"/>
  <c r="Z24" i="67" s="1"/>
  <c r="AB24" i="67" s="1"/>
  <c r="T24" i="67"/>
  <c r="S28" i="67"/>
  <c r="V28" i="67"/>
  <c r="T28" i="67"/>
  <c r="S32" i="67"/>
  <c r="W32" i="67" s="1"/>
  <c r="V32" i="67"/>
  <c r="T32" i="67"/>
  <c r="S36" i="67"/>
  <c r="W36" i="67" s="1"/>
  <c r="V36" i="67"/>
  <c r="T36" i="67"/>
  <c r="I55" i="63"/>
  <c r="J55" i="63" s="1"/>
  <c r="Z21" i="67" l="1"/>
  <c r="AB21" i="67" s="1"/>
  <c r="Z28" i="67"/>
  <c r="AB28" i="67" s="1"/>
  <c r="H19" i="66"/>
  <c r="Z23" i="67"/>
  <c r="AB23" i="67" s="1"/>
  <c r="W14" i="67"/>
  <c r="AC14" i="67" s="1"/>
  <c r="AE14" i="67" s="1"/>
  <c r="AF14" i="67" s="1"/>
  <c r="AG14" i="67" s="1"/>
  <c r="AH14" i="67" s="1"/>
  <c r="W12" i="67"/>
  <c r="Y12" i="67" s="1"/>
  <c r="Z18" i="67"/>
  <c r="AB18" i="67" s="1"/>
  <c r="W27" i="67"/>
  <c r="Z26" i="67"/>
  <c r="AB26" i="67" s="1"/>
  <c r="Z7" i="67"/>
  <c r="AB7" i="67" s="1"/>
  <c r="W20" i="67"/>
  <c r="Y20" i="67" s="1"/>
  <c r="W4" i="67"/>
  <c r="Z25" i="67"/>
  <c r="AB25" i="67" s="1"/>
  <c r="W23" i="67"/>
  <c r="X23" i="67" s="1"/>
  <c r="W8" i="67"/>
  <c r="X8" i="67" s="1"/>
  <c r="Z22" i="67"/>
  <c r="AB22" i="67" s="1"/>
  <c r="Z13" i="67"/>
  <c r="AB13" i="67" s="1"/>
  <c r="Z14" i="67"/>
  <c r="AB14" i="67" s="1"/>
  <c r="Z4" i="67"/>
  <c r="Z5" i="67"/>
  <c r="AB5" i="67" s="1"/>
  <c r="AC4" i="67"/>
  <c r="AE4" i="67" s="1"/>
  <c r="Y4" i="67"/>
  <c r="Z19" i="67"/>
  <c r="AB19" i="67" s="1"/>
  <c r="W22" i="67"/>
  <c r="W7" i="67"/>
  <c r="Y7" i="67" s="1"/>
  <c r="W10" i="67"/>
  <c r="AC10" i="67" s="1"/>
  <c r="AE10" i="67" s="1"/>
  <c r="AF10" i="67" s="1"/>
  <c r="AG10" i="67" s="1"/>
  <c r="AH10" i="67" s="1"/>
  <c r="W16" i="67"/>
  <c r="Y16" i="67" s="1"/>
  <c r="W5" i="67"/>
  <c r="AC21" i="67"/>
  <c r="AE21" i="67" s="1"/>
  <c r="AF21" i="67" s="1"/>
  <c r="AG21" i="67" s="1"/>
  <c r="AH21" i="67" s="1"/>
  <c r="Y21" i="67"/>
  <c r="X21" i="67"/>
  <c r="AC25" i="67"/>
  <c r="AE25" i="67" s="1"/>
  <c r="AF25" i="67" s="1"/>
  <c r="AG25" i="67" s="1"/>
  <c r="AH25" i="67" s="1"/>
  <c r="Y25" i="67"/>
  <c r="X25" i="67"/>
  <c r="Y32" i="67"/>
  <c r="AC32" i="67"/>
  <c r="AE32" i="67" s="1"/>
  <c r="AF32" i="67" s="1"/>
  <c r="AG32" i="67" s="1"/>
  <c r="AH32" i="67" s="1"/>
  <c r="X32" i="67"/>
  <c r="X35" i="67"/>
  <c r="Y35" i="67"/>
  <c r="AC35" i="67"/>
  <c r="AE35" i="67" s="1"/>
  <c r="AF35" i="67" s="1"/>
  <c r="AG35" i="67" s="1"/>
  <c r="AH35" i="67" s="1"/>
  <c r="AC34" i="67"/>
  <c r="AE34" i="67" s="1"/>
  <c r="AF34" i="67" s="1"/>
  <c r="AG34" i="67" s="1"/>
  <c r="AH34" i="67" s="1"/>
  <c r="Y34" i="67"/>
  <c r="X34" i="67"/>
  <c r="X19" i="67"/>
  <c r="Y19" i="67"/>
  <c r="AC19" i="67"/>
  <c r="AE19" i="67" s="1"/>
  <c r="AF19" i="67" s="1"/>
  <c r="AG19" i="67" s="1"/>
  <c r="AH19" i="67" s="1"/>
  <c r="AC12" i="67"/>
  <c r="AE12" i="67" s="1"/>
  <c r="AF12" i="67" s="1"/>
  <c r="AG12" i="67" s="1"/>
  <c r="AH12" i="67" s="1"/>
  <c r="Y8" i="67"/>
  <c r="AC22" i="67"/>
  <c r="AE22" i="67" s="1"/>
  <c r="AF22" i="67" s="1"/>
  <c r="AG22" i="67" s="1"/>
  <c r="AH22" i="67" s="1"/>
  <c r="Y22" i="67"/>
  <c r="X22" i="67"/>
  <c r="X18" i="67"/>
  <c r="AC18" i="67"/>
  <c r="AE18" i="67" s="1"/>
  <c r="AF18" i="67" s="1"/>
  <c r="AG18" i="67" s="1"/>
  <c r="AH18" i="67" s="1"/>
  <c r="Y18" i="67"/>
  <c r="S1" i="67"/>
  <c r="Y36" i="67"/>
  <c r="AC36" i="67"/>
  <c r="AE36" i="67" s="1"/>
  <c r="AF36" i="67" s="1"/>
  <c r="AG36" i="67" s="1"/>
  <c r="AH36" i="67" s="1"/>
  <c r="X36" i="67"/>
  <c r="Z27" i="67"/>
  <c r="AB27" i="67" s="1"/>
  <c r="Y14" i="67"/>
  <c r="X14" i="67"/>
  <c r="W9" i="67"/>
  <c r="AC7" i="67"/>
  <c r="AE7" i="67" s="1"/>
  <c r="AF7" i="67" s="1"/>
  <c r="AG7" i="67" s="1"/>
  <c r="AH7" i="67" s="1"/>
  <c r="X7" i="67"/>
  <c r="X11" i="67"/>
  <c r="Y11" i="67"/>
  <c r="AC11" i="67"/>
  <c r="AE11" i="67" s="1"/>
  <c r="AF11" i="67" s="1"/>
  <c r="AG11" i="67" s="1"/>
  <c r="AH11" i="67" s="1"/>
  <c r="AC5" i="67"/>
  <c r="AE5" i="67" s="1"/>
  <c r="AF5" i="67" s="1"/>
  <c r="AG5" i="67" s="1"/>
  <c r="AH5" i="67" s="1"/>
  <c r="Y5" i="67"/>
  <c r="X5" i="67"/>
  <c r="W24" i="67"/>
  <c r="X27" i="67"/>
  <c r="Y27" i="67"/>
  <c r="AC27" i="67"/>
  <c r="AE27" i="67" s="1"/>
  <c r="AF27" i="67" s="1"/>
  <c r="AG27" i="67" s="1"/>
  <c r="AH27" i="67" s="1"/>
  <c r="Z8" i="67"/>
  <c r="AB8" i="67" s="1"/>
  <c r="AC17" i="67"/>
  <c r="AE17" i="67" s="1"/>
  <c r="AF17" i="67" s="1"/>
  <c r="AG17" i="67" s="1"/>
  <c r="AH17" i="67" s="1"/>
  <c r="Y17" i="67"/>
  <c r="X17" i="67"/>
  <c r="AC26" i="67"/>
  <c r="AE26" i="67" s="1"/>
  <c r="AF26" i="67" s="1"/>
  <c r="AG26" i="67" s="1"/>
  <c r="AH26" i="67" s="1"/>
  <c r="Y26" i="67"/>
  <c r="X26" i="67"/>
  <c r="Z11" i="67"/>
  <c r="AB11" i="67" s="1"/>
  <c r="W6" i="67"/>
  <c r="T1" i="67"/>
  <c r="W28" i="67"/>
  <c r="X31" i="67"/>
  <c r="Y31" i="67"/>
  <c r="AC31" i="67"/>
  <c r="AE31" i="67" s="1"/>
  <c r="AF31" i="67" s="1"/>
  <c r="AG31" i="67" s="1"/>
  <c r="AH31" i="67" s="1"/>
  <c r="AC30" i="67"/>
  <c r="AE30" i="67" s="1"/>
  <c r="AF30" i="67" s="1"/>
  <c r="AG30" i="67" s="1"/>
  <c r="AH30" i="67" s="1"/>
  <c r="Y30" i="67"/>
  <c r="X30" i="67"/>
  <c r="Z12" i="67"/>
  <c r="AB12" i="67" s="1"/>
  <c r="Z17" i="67"/>
  <c r="AB17" i="67" s="1"/>
  <c r="W15" i="67"/>
  <c r="W13" i="67"/>
  <c r="Z10" i="67"/>
  <c r="AB10" i="67" s="1"/>
  <c r="Z16" i="67"/>
  <c r="AB16" i="67" s="1"/>
  <c r="C16" i="34"/>
  <c r="C43" i="34"/>
  <c r="C42" i="34"/>
  <c r="C41" i="34"/>
  <c r="C40" i="34"/>
  <c r="C36" i="34"/>
  <c r="C34" i="34"/>
  <c r="C33" i="34"/>
  <c r="C32" i="34"/>
  <c r="C31" i="34"/>
  <c r="C30" i="34"/>
  <c r="C29" i="34"/>
  <c r="C27" i="34"/>
  <c r="C26" i="34"/>
  <c r="C25" i="34"/>
  <c r="C24" i="34"/>
  <c r="C23" i="34"/>
  <c r="C22" i="34"/>
  <c r="C21" i="34"/>
  <c r="C20" i="34"/>
  <c r="C19" i="34"/>
  <c r="C18" i="34"/>
  <c r="C17" i="34"/>
  <c r="C11" i="34"/>
  <c r="C10" i="34"/>
  <c r="C9" i="34"/>
  <c r="C8" i="34"/>
  <c r="C7" i="34"/>
  <c r="X16" i="67" l="1"/>
  <c r="AC8" i="67"/>
  <c r="AE8" i="67" s="1"/>
  <c r="AF8" i="67" s="1"/>
  <c r="AG8" i="67" s="1"/>
  <c r="AH8" i="67" s="1"/>
  <c r="X12" i="67"/>
  <c r="AB1" i="67"/>
  <c r="X10" i="67"/>
  <c r="AC23" i="67"/>
  <c r="AE23" i="67" s="1"/>
  <c r="AF23" i="67" s="1"/>
  <c r="AG23" i="67" s="1"/>
  <c r="AH23" i="67" s="1"/>
  <c r="X20" i="67"/>
  <c r="Y10" i="67"/>
  <c r="Y23" i="67"/>
  <c r="AC20" i="67"/>
  <c r="AE20" i="67" s="1"/>
  <c r="AF20" i="67" s="1"/>
  <c r="AG20" i="67" s="1"/>
  <c r="AH20" i="67" s="1"/>
  <c r="Z1" i="67"/>
  <c r="W1" i="67"/>
  <c r="AC16" i="67"/>
  <c r="AE16" i="67" s="1"/>
  <c r="AF16" i="67" s="1"/>
  <c r="AG16" i="67" s="1"/>
  <c r="AH16" i="67" s="1"/>
  <c r="AF4" i="67"/>
  <c r="X15" i="67"/>
  <c r="Y15" i="67"/>
  <c r="AC15" i="67"/>
  <c r="AE15" i="67" s="1"/>
  <c r="AF15" i="67" s="1"/>
  <c r="AG15" i="67" s="1"/>
  <c r="AH15" i="67" s="1"/>
  <c r="Y28" i="67"/>
  <c r="AC28" i="67"/>
  <c r="AE28" i="67" s="1"/>
  <c r="AF28" i="67" s="1"/>
  <c r="AG28" i="67" s="1"/>
  <c r="AH28" i="67" s="1"/>
  <c r="X28" i="67"/>
  <c r="X9" i="67"/>
  <c r="AC9" i="67"/>
  <c r="AE9" i="67" s="1"/>
  <c r="AF9" i="67" s="1"/>
  <c r="AG9" i="67" s="1"/>
  <c r="AH9" i="67" s="1"/>
  <c r="Y9" i="67"/>
  <c r="AC13" i="67"/>
  <c r="AE13" i="67" s="1"/>
  <c r="AF13" i="67" s="1"/>
  <c r="AG13" i="67" s="1"/>
  <c r="AH13" i="67" s="1"/>
  <c r="X13" i="67"/>
  <c r="Y13" i="67"/>
  <c r="AC6" i="67"/>
  <c r="AE6" i="67" s="1"/>
  <c r="AF6" i="67" s="1"/>
  <c r="AG6" i="67" s="1"/>
  <c r="AH6" i="67" s="1"/>
  <c r="X6" i="67"/>
  <c r="Y6" i="67"/>
  <c r="Y24" i="67"/>
  <c r="AC24" i="67"/>
  <c r="AE24" i="67" s="1"/>
  <c r="AF24" i="67" s="1"/>
  <c r="AG24" i="67" s="1"/>
  <c r="AH24" i="67" s="1"/>
  <c r="X24" i="67"/>
  <c r="X4" i="67"/>
  <c r="C42" i="67" l="1"/>
  <c r="Y1" i="67"/>
  <c r="AE1" i="67"/>
  <c r="G24" i="54"/>
  <c r="G40" i="54"/>
  <c r="J69" i="1" s="1"/>
  <c r="AC1" i="67"/>
  <c r="X1" i="67"/>
  <c r="F25" i="55"/>
  <c r="F27" i="55" s="1"/>
  <c r="E34" i="1" s="1"/>
  <c r="K82" i="1"/>
  <c r="L82" i="1" s="1"/>
  <c r="L83" i="1" s="1"/>
  <c r="AD1" i="67" l="1"/>
  <c r="E9" i="66"/>
  <c r="M41" i="67"/>
  <c r="C43" i="67"/>
  <c r="C44" i="67" s="1"/>
  <c r="C45" i="67" s="1"/>
  <c r="D42" i="67"/>
  <c r="AJ1" i="67"/>
  <c r="F29" i="55"/>
  <c r="M42" i="67" l="1"/>
  <c r="H42" i="67"/>
  <c r="E42" i="67"/>
  <c r="D43" i="67"/>
  <c r="E10" i="66"/>
  <c r="E21" i="66" s="1"/>
  <c r="E23" i="66" s="1"/>
  <c r="G30" i="55"/>
  <c r="J34" i="1" s="1"/>
  <c r="D22" i="30" s="1"/>
  <c r="F22" i="30" s="1"/>
  <c r="Q22" i="30" s="1"/>
  <c r="R22" i="30" s="1"/>
  <c r="S22" i="30" s="1"/>
  <c r="T22" i="30" s="1"/>
  <c r="I34" i="1"/>
  <c r="N60" i="1"/>
  <c r="AG4" i="67"/>
  <c r="AF1" i="67"/>
  <c r="H43" i="67" l="1"/>
  <c r="M43" i="67"/>
  <c r="E43" i="67"/>
  <c r="D44" i="67"/>
  <c r="N62" i="1"/>
  <c r="N71" i="1"/>
  <c r="AG1" i="67"/>
  <c r="AH4" i="67"/>
  <c r="AH1" i="67" s="1"/>
  <c r="F25" i="30"/>
  <c r="G63" i="1"/>
  <c r="E63" i="1"/>
  <c r="J36" i="1"/>
  <c r="D24" i="30" s="1"/>
  <c r="F24" i="30" s="1"/>
  <c r="H44" i="67" l="1"/>
  <c r="M44" i="67"/>
  <c r="E44" i="67"/>
  <c r="C46" i="67"/>
  <c r="D45" i="67"/>
  <c r="J63" i="1"/>
  <c r="I63" i="1"/>
  <c r="C61" i="4"/>
  <c r="H45" i="67" l="1"/>
  <c r="M45" i="67"/>
  <c r="E45" i="67"/>
  <c r="C47" i="67"/>
  <c r="D46" i="67"/>
  <c r="H46" i="67" s="1"/>
  <c r="D44" i="30"/>
  <c r="F44" i="30" s="1"/>
  <c r="D61" i="4"/>
  <c r="M46" i="67" l="1"/>
  <c r="F7" i="55"/>
  <c r="F87" i="55"/>
  <c r="E46" i="67"/>
  <c r="C48" i="67"/>
  <c r="D47" i="67"/>
  <c r="F8" i="55"/>
  <c r="F29" i="51"/>
  <c r="F13" i="51"/>
  <c r="G14" i="51" s="1"/>
  <c r="J11" i="1" s="1"/>
  <c r="F88" i="55"/>
  <c r="G47" i="1" s="1"/>
  <c r="G68" i="1"/>
  <c r="H47" i="67" l="1"/>
  <c r="M47" i="67"/>
  <c r="E47" i="1"/>
  <c r="D8" i="60"/>
  <c r="F8" i="60" s="1"/>
  <c r="D14" i="60"/>
  <c r="D7" i="60"/>
  <c r="F7" i="60" s="1"/>
  <c r="E47" i="67"/>
  <c r="C49" i="67"/>
  <c r="D48" i="67"/>
  <c r="D6" i="30"/>
  <c r="L26" i="30"/>
  <c r="L25" i="30"/>
  <c r="M25" i="30" s="1"/>
  <c r="N25" i="30" s="1"/>
  <c r="O25" i="30" s="1"/>
  <c r="P25" i="30" s="1"/>
  <c r="Q25" i="30" s="1"/>
  <c r="R25" i="30" s="1"/>
  <c r="S25" i="30" s="1"/>
  <c r="T25" i="30" s="1"/>
  <c r="U25" i="30" s="1"/>
  <c r="N19" i="30"/>
  <c r="O19" i="30" s="1"/>
  <c r="P19" i="30" s="1"/>
  <c r="Q19" i="30" s="1"/>
  <c r="R19" i="30" s="1"/>
  <c r="S19" i="30" s="1"/>
  <c r="T19" i="30" s="1"/>
  <c r="U19" i="30" s="1"/>
  <c r="V19" i="30" s="1"/>
  <c r="W19" i="30" s="1"/>
  <c r="X19" i="30" s="1"/>
  <c r="Y19" i="30" s="1"/>
  <c r="Z19" i="30" s="1"/>
  <c r="AA19" i="30" s="1"/>
  <c r="AB19" i="30" s="1"/>
  <c r="AC19" i="30" s="1"/>
  <c r="AD19" i="30" s="1"/>
  <c r="AE19" i="30" s="1"/>
  <c r="AF19" i="30" s="1"/>
  <c r="AG19" i="30" s="1"/>
  <c r="AH19" i="30" s="1"/>
  <c r="AI19" i="30" s="1"/>
  <c r="AJ19" i="30" s="1"/>
  <c r="AK19" i="30" s="1"/>
  <c r="AL19" i="30" s="1"/>
  <c r="AM19" i="30" s="1"/>
  <c r="AN19" i="30" s="1"/>
  <c r="AO19" i="30" s="1"/>
  <c r="G34" i="60"/>
  <c r="J35" i="60"/>
  <c r="J7" i="60"/>
  <c r="L7" i="60" s="1"/>
  <c r="F89" i="55"/>
  <c r="L44" i="30"/>
  <c r="M44" i="30" s="1"/>
  <c r="N44" i="30" s="1"/>
  <c r="O44" i="30" s="1"/>
  <c r="P44" i="30" s="1"/>
  <c r="Q44" i="30" s="1"/>
  <c r="R44" i="30" s="1"/>
  <c r="J18" i="60"/>
  <c r="D12" i="60"/>
  <c r="D20" i="60"/>
  <c r="D28" i="60"/>
  <c r="D36" i="60"/>
  <c r="J34" i="60"/>
  <c r="J14" i="60"/>
  <c r="J22" i="60"/>
  <c r="J30" i="60"/>
  <c r="J10" i="60"/>
  <c r="J26" i="60"/>
  <c r="D16" i="60"/>
  <c r="D24" i="60"/>
  <c r="D32" i="60"/>
  <c r="G17" i="60"/>
  <c r="G21" i="60"/>
  <c r="G25" i="60"/>
  <c r="J9" i="60"/>
  <c r="D11" i="60"/>
  <c r="G12" i="60"/>
  <c r="J13" i="60"/>
  <c r="D15" i="60"/>
  <c r="G16" i="60"/>
  <c r="J17" i="60"/>
  <c r="D19" i="60"/>
  <c r="G20" i="60"/>
  <c r="J21" i="60"/>
  <c r="D23" i="60"/>
  <c r="G24" i="60"/>
  <c r="J25" i="60"/>
  <c r="D27" i="60"/>
  <c r="G28" i="60"/>
  <c r="J29" i="60"/>
  <c r="D31" i="60"/>
  <c r="G32" i="60"/>
  <c r="J33" i="60"/>
  <c r="D35" i="60"/>
  <c r="G36" i="60"/>
  <c r="G13" i="60"/>
  <c r="G33" i="60"/>
  <c r="J8" i="60"/>
  <c r="D10" i="60"/>
  <c r="G11" i="60"/>
  <c r="J12" i="60"/>
  <c r="G15" i="60"/>
  <c r="J16" i="60"/>
  <c r="D18" i="60"/>
  <c r="G19" i="60"/>
  <c r="J20" i="60"/>
  <c r="D22" i="60"/>
  <c r="G23" i="60"/>
  <c r="J24" i="60"/>
  <c r="D26" i="60"/>
  <c r="G27" i="60"/>
  <c r="J28" i="60"/>
  <c r="D30" i="60"/>
  <c r="G31" i="60"/>
  <c r="J32" i="60"/>
  <c r="D34" i="60"/>
  <c r="G35" i="60"/>
  <c r="J36" i="60"/>
  <c r="G8" i="60"/>
  <c r="G9" i="60"/>
  <c r="G29" i="60"/>
  <c r="D9" i="60"/>
  <c r="F9" i="60" s="1"/>
  <c r="G10" i="60"/>
  <c r="J11" i="60"/>
  <c r="D13" i="60"/>
  <c r="G14" i="60"/>
  <c r="J15" i="60"/>
  <c r="D17" i="60"/>
  <c r="G18" i="60"/>
  <c r="J19" i="60"/>
  <c r="D21" i="60"/>
  <c r="G22" i="60"/>
  <c r="J23" i="60"/>
  <c r="D25" i="60"/>
  <c r="G26" i="60"/>
  <c r="J27" i="60"/>
  <c r="D29" i="60"/>
  <c r="G30" i="60"/>
  <c r="J31" i="60"/>
  <c r="D33" i="60"/>
  <c r="M26" i="30" l="1"/>
  <c r="S44" i="30"/>
  <c r="T44" i="30" s="1"/>
  <c r="U44" i="30" s="1"/>
  <c r="V44" i="30" s="1"/>
  <c r="W44" i="30" s="1"/>
  <c r="X44" i="30" s="1"/>
  <c r="Y44" i="30" s="1"/>
  <c r="Z44" i="30" s="1"/>
  <c r="AA44" i="30" s="1"/>
  <c r="AB44" i="30" s="1"/>
  <c r="AC44" i="30" s="1"/>
  <c r="AD44" i="30" s="1"/>
  <c r="AE44" i="30" s="1"/>
  <c r="AF44" i="30" s="1"/>
  <c r="AG44" i="30" s="1"/>
  <c r="AH44" i="30" s="1"/>
  <c r="AI44" i="30" s="1"/>
  <c r="AJ44" i="30" s="1"/>
  <c r="AK44" i="30" s="1"/>
  <c r="AL44" i="30" s="1"/>
  <c r="AM44" i="30" s="1"/>
  <c r="AN44" i="30" s="1"/>
  <c r="AO44" i="30" s="1"/>
  <c r="N26" i="30"/>
  <c r="O26" i="30" s="1"/>
  <c r="P26" i="30" s="1"/>
  <c r="Q26" i="30" s="1"/>
  <c r="R26" i="30" s="1"/>
  <c r="S26" i="30" s="1"/>
  <c r="T26" i="30" s="1"/>
  <c r="U26" i="30" s="1"/>
  <c r="H48" i="67"/>
  <c r="M48" i="67"/>
  <c r="E48" i="67"/>
  <c r="C50" i="67"/>
  <c r="D49" i="67"/>
  <c r="F90" i="55"/>
  <c r="F10" i="60"/>
  <c r="O9" i="59"/>
  <c r="N46" i="30" s="1"/>
  <c r="H26" i="30" l="1"/>
  <c r="H49" i="67"/>
  <c r="M49" i="67"/>
  <c r="E49" i="67"/>
  <c r="C51" i="67"/>
  <c r="D50" i="67"/>
  <c r="H50" i="67" l="1"/>
  <c r="M50" i="67"/>
  <c r="E50" i="67"/>
  <c r="C52" i="67"/>
  <c r="D51" i="67"/>
  <c r="F11" i="60"/>
  <c r="F12" i="60"/>
  <c r="H51" i="67" l="1"/>
  <c r="M51" i="67"/>
  <c r="E51" i="67"/>
  <c r="C53" i="67"/>
  <c r="D52" i="67"/>
  <c r="F13" i="60"/>
  <c r="H52" i="67" l="1"/>
  <c r="M52" i="67"/>
  <c r="E52" i="67"/>
  <c r="C54" i="67"/>
  <c r="D53" i="67"/>
  <c r="F14" i="60"/>
  <c r="N14" i="59"/>
  <c r="H53" i="67" l="1"/>
  <c r="M53" i="67"/>
  <c r="E53" i="67"/>
  <c r="C55" i="67"/>
  <c r="D54" i="67"/>
  <c r="F15" i="60"/>
  <c r="H54" i="67" l="1"/>
  <c r="M54" i="67"/>
  <c r="E54" i="67"/>
  <c r="C56" i="67"/>
  <c r="D55" i="67"/>
  <c r="F16" i="60"/>
  <c r="N15" i="59"/>
  <c r="H55" i="67" l="1"/>
  <c r="M55" i="67"/>
  <c r="E55" i="67"/>
  <c r="C57" i="67"/>
  <c r="D56" i="67"/>
  <c r="F17" i="60"/>
  <c r="N16" i="59"/>
  <c r="H56" i="67" l="1"/>
  <c r="M56" i="67"/>
  <c r="E56" i="67"/>
  <c r="C58" i="67"/>
  <c r="D57" i="67"/>
  <c r="F18" i="60"/>
  <c r="N17" i="59"/>
  <c r="H57" i="67" l="1"/>
  <c r="M57" i="67"/>
  <c r="E57" i="67"/>
  <c r="C59" i="67"/>
  <c r="D58" i="67"/>
  <c r="F19" i="60"/>
  <c r="N18" i="59"/>
  <c r="H58" i="67" l="1"/>
  <c r="M58" i="67"/>
  <c r="E58" i="67"/>
  <c r="C60" i="67"/>
  <c r="D59" i="67"/>
  <c r="F20" i="60"/>
  <c r="N19" i="59"/>
  <c r="H59" i="67" l="1"/>
  <c r="M59" i="67"/>
  <c r="E59" i="67"/>
  <c r="C61" i="67"/>
  <c r="D60" i="67"/>
  <c r="F21" i="60"/>
  <c r="N20" i="59"/>
  <c r="H60" i="67" l="1"/>
  <c r="M60" i="67"/>
  <c r="E60" i="67"/>
  <c r="C62" i="67"/>
  <c r="D61" i="67"/>
  <c r="F22" i="60"/>
  <c r="N21" i="59"/>
  <c r="H61" i="67" l="1"/>
  <c r="M61" i="67"/>
  <c r="E61" i="67"/>
  <c r="C63" i="67"/>
  <c r="C64" i="67" s="1"/>
  <c r="C65" i="67" s="1"/>
  <c r="C66" i="67" s="1"/>
  <c r="C67" i="67" s="1"/>
  <c r="C68" i="67" s="1"/>
  <c r="C69" i="67" s="1"/>
  <c r="C70" i="67" s="1"/>
  <c r="C71" i="67" s="1"/>
  <c r="C72" i="67" s="1"/>
  <c r="C73" i="67" s="1"/>
  <c r="C74" i="67" s="1"/>
  <c r="C75" i="67" s="1"/>
  <c r="C76" i="67" s="1"/>
  <c r="C77" i="67" s="1"/>
  <c r="C78" i="67" s="1"/>
  <c r="C79" i="67" s="1"/>
  <c r="C80" i="67" s="1"/>
  <c r="C81" i="67" s="1"/>
  <c r="C82" i="67" s="1"/>
  <c r="C83" i="67" s="1"/>
  <c r="C84" i="67" s="1"/>
  <c r="C85" i="67" s="1"/>
  <c r="C86" i="67" s="1"/>
  <c r="C87" i="67" s="1"/>
  <c r="C88" i="67" s="1"/>
  <c r="C89" i="67" s="1"/>
  <c r="C90" i="67" s="1"/>
  <c r="C91" i="67" s="1"/>
  <c r="C92" i="67" s="1"/>
  <c r="C93" i="67" s="1"/>
  <c r="C94" i="67" s="1"/>
  <c r="D62" i="67"/>
  <c r="F23" i="60"/>
  <c r="N22" i="59"/>
  <c r="H62" i="67" l="1"/>
  <c r="M62" i="67"/>
  <c r="E62" i="67"/>
  <c r="D63" i="67"/>
  <c r="F24" i="60"/>
  <c r="N23" i="59"/>
  <c r="N24" i="59" s="1"/>
  <c r="H63" i="67" l="1"/>
  <c r="M63" i="67"/>
  <c r="E63" i="67"/>
  <c r="D64" i="67"/>
  <c r="F25" i="60"/>
  <c r="H64" i="67" l="1"/>
  <c r="M64" i="67"/>
  <c r="E64" i="67"/>
  <c r="D65" i="67"/>
  <c r="F26" i="60"/>
  <c r="N25" i="59"/>
  <c r="H65" i="67" l="1"/>
  <c r="M65" i="67"/>
  <c r="E65" i="67"/>
  <c r="D66" i="67"/>
  <c r="F27" i="60"/>
  <c r="N26" i="59"/>
  <c r="H66" i="67" l="1"/>
  <c r="M66" i="67"/>
  <c r="E66" i="67"/>
  <c r="D67" i="67"/>
  <c r="F28" i="60"/>
  <c r="N27" i="59"/>
  <c r="H67" i="67" l="1"/>
  <c r="M67" i="67"/>
  <c r="E67" i="67"/>
  <c r="D68" i="67"/>
  <c r="F29" i="60"/>
  <c r="N28" i="59"/>
  <c r="H68" i="67" l="1"/>
  <c r="M68" i="67"/>
  <c r="E68" i="67"/>
  <c r="D69" i="67"/>
  <c r="F30" i="60"/>
  <c r="N29" i="59"/>
  <c r="H69" i="67" l="1"/>
  <c r="M69" i="67"/>
  <c r="E69" i="67"/>
  <c r="D70" i="67"/>
  <c r="F31" i="60"/>
  <c r="N30" i="59"/>
  <c r="H70" i="67" l="1"/>
  <c r="M70" i="67"/>
  <c r="E70" i="67"/>
  <c r="D71" i="67"/>
  <c r="M71" i="67" s="1"/>
  <c r="F32" i="60"/>
  <c r="N31" i="59"/>
  <c r="G9" i="66" l="1"/>
  <c r="H9" i="66" s="1"/>
  <c r="H10" i="66" s="1"/>
  <c r="U46" i="67"/>
  <c r="U47" i="67" s="1"/>
  <c r="F9" i="66"/>
  <c r="H71" i="67"/>
  <c r="E71" i="67"/>
  <c r="D72" i="67"/>
  <c r="F33" i="60"/>
  <c r="N32" i="59"/>
  <c r="H72" i="67" l="1"/>
  <c r="M72" i="67"/>
  <c r="E72" i="67"/>
  <c r="D73" i="67"/>
  <c r="F34" i="60"/>
  <c r="N33" i="59"/>
  <c r="N34" i="59" s="1"/>
  <c r="H73" i="67" l="1"/>
  <c r="M73" i="67"/>
  <c r="E73" i="67"/>
  <c r="D74" i="67"/>
  <c r="F35" i="60"/>
  <c r="F36" i="60"/>
  <c r="H74" i="67" l="1"/>
  <c r="M74" i="67"/>
  <c r="E74" i="67"/>
  <c r="D75" i="67"/>
  <c r="F37" i="60"/>
  <c r="N35" i="59"/>
  <c r="N36" i="59" s="1"/>
  <c r="H75" i="67" l="1"/>
  <c r="M75" i="67"/>
  <c r="E75" i="67"/>
  <c r="D76" i="67"/>
  <c r="H76" i="67" l="1"/>
  <c r="M76" i="67"/>
  <c r="E76" i="67"/>
  <c r="D77" i="67"/>
  <c r="F17" i="54"/>
  <c r="I61" i="1" s="1"/>
  <c r="F9" i="54"/>
  <c r="G10" i="54" s="1"/>
  <c r="J59" i="1" s="1"/>
  <c r="E40" i="59" a="1"/>
  <c r="E40" i="59" s="1"/>
  <c r="F14" i="54" s="1"/>
  <c r="D37" i="59"/>
  <c r="E37" i="59"/>
  <c r="H77" i="67" l="1"/>
  <c r="M77" i="67"/>
  <c r="E77" i="67"/>
  <c r="D78" i="67"/>
  <c r="F7" i="54"/>
  <c r="F30" i="54" s="1"/>
  <c r="E68" i="1" s="1"/>
  <c r="G18" i="54"/>
  <c r="J61" i="1" s="1"/>
  <c r="I60" i="1"/>
  <c r="G15" i="54"/>
  <c r="J60" i="1" s="1"/>
  <c r="I59" i="1"/>
  <c r="H78" i="67" l="1"/>
  <c r="M78" i="67"/>
  <c r="D41" i="30"/>
  <c r="F41" i="30" s="1"/>
  <c r="L41" i="30" s="1"/>
  <c r="M41" i="30" s="1"/>
  <c r="N41" i="30" s="1"/>
  <c r="O41" i="30" s="1"/>
  <c r="P41" i="30" s="1"/>
  <c r="Q41" i="30" s="1"/>
  <c r="R41" i="30" s="1"/>
  <c r="S41" i="30" s="1"/>
  <c r="T41" i="30" s="1"/>
  <c r="U41" i="30" s="1"/>
  <c r="V41" i="30" s="1"/>
  <c r="W41" i="30" s="1"/>
  <c r="X41" i="30" s="1"/>
  <c r="Y41" i="30" s="1"/>
  <c r="Z41" i="30" s="1"/>
  <c r="AA41" i="30" s="1"/>
  <c r="AB41" i="30" s="1"/>
  <c r="AC41" i="30" s="1"/>
  <c r="AD41" i="30" s="1"/>
  <c r="AE41" i="30" s="1"/>
  <c r="AF41" i="30" s="1"/>
  <c r="AG41" i="30" s="1"/>
  <c r="AH41" i="30" s="1"/>
  <c r="AI41" i="30" s="1"/>
  <c r="AJ41" i="30" s="1"/>
  <c r="AK41" i="30" s="1"/>
  <c r="AL41" i="30" s="1"/>
  <c r="AM41" i="30" s="1"/>
  <c r="AN41" i="30" s="1"/>
  <c r="AO41" i="30" s="1"/>
  <c r="J64" i="1"/>
  <c r="E78" i="67"/>
  <c r="D79" i="67"/>
  <c r="E59" i="1"/>
  <c r="G25" i="54"/>
  <c r="G26" i="54" s="1"/>
  <c r="G27" i="54" s="1"/>
  <c r="G8" i="57"/>
  <c r="G9" i="57" s="1"/>
  <c r="I77" i="1"/>
  <c r="F8" i="54"/>
  <c r="G59" i="1" s="1"/>
  <c r="D42" i="30"/>
  <c r="F42" i="30" s="1"/>
  <c r="H79" i="67" l="1"/>
  <c r="M79" i="67"/>
  <c r="G10" i="57"/>
  <c r="G11" i="57" s="1"/>
  <c r="G15" i="57" s="1"/>
  <c r="E79" i="67"/>
  <c r="D80" i="67"/>
  <c r="L42" i="30"/>
  <c r="M42" i="30" s="1"/>
  <c r="N42" i="30" s="1"/>
  <c r="O42" i="30" s="1"/>
  <c r="P42" i="30" s="1"/>
  <c r="Q42" i="30" s="1"/>
  <c r="R42" i="30" s="1"/>
  <c r="S42" i="30" s="1"/>
  <c r="T42" i="30" s="1"/>
  <c r="U42" i="30" s="1"/>
  <c r="V42" i="30" s="1"/>
  <c r="W42" i="30" s="1"/>
  <c r="X42" i="30" s="1"/>
  <c r="Y42" i="30" s="1"/>
  <c r="Z42" i="30" s="1"/>
  <c r="AA42" i="30" s="1"/>
  <c r="AB42" i="30" s="1"/>
  <c r="AC42" i="30" s="1"/>
  <c r="AD42" i="30" s="1"/>
  <c r="AE42" i="30" s="1"/>
  <c r="AF42" i="30" s="1"/>
  <c r="AG42" i="30" s="1"/>
  <c r="AH42" i="30" s="1"/>
  <c r="AI42" i="30" s="1"/>
  <c r="AJ42" i="30" s="1"/>
  <c r="AK42" i="30" s="1"/>
  <c r="AL42" i="30" s="1"/>
  <c r="AM42" i="30" s="1"/>
  <c r="AN42" i="30" s="1"/>
  <c r="AO42" i="30" s="1"/>
  <c r="F37" i="59"/>
  <c r="H80" i="67" l="1"/>
  <c r="M80" i="67"/>
  <c r="E80" i="67"/>
  <c r="D81" i="67"/>
  <c r="G37" i="59"/>
  <c r="H81" i="67" l="1"/>
  <c r="M81" i="67"/>
  <c r="E81" i="67"/>
  <c r="D82" i="67"/>
  <c r="O33" i="59"/>
  <c r="AL46" i="30" s="1"/>
  <c r="O16" i="59"/>
  <c r="U46" i="30" s="1"/>
  <c r="O24" i="59"/>
  <c r="AC46" i="30" s="1"/>
  <c r="O20" i="59"/>
  <c r="Y46" i="30" s="1"/>
  <c r="O27" i="59"/>
  <c r="AF46" i="30" s="1"/>
  <c r="O32" i="59"/>
  <c r="AK46" i="30" s="1"/>
  <c r="O15" i="59"/>
  <c r="T46" i="30" s="1"/>
  <c r="O11" i="59"/>
  <c r="P46" i="30" s="1"/>
  <c r="O10" i="59"/>
  <c r="O46" i="30" s="1"/>
  <c r="O29" i="59"/>
  <c r="AH46" i="30" s="1"/>
  <c r="O28" i="59"/>
  <c r="AG46" i="30" s="1"/>
  <c r="F12" i="54"/>
  <c r="H82" i="67" l="1"/>
  <c r="M82" i="67"/>
  <c r="E82" i="67"/>
  <c r="D83" i="67"/>
  <c r="O26" i="59"/>
  <c r="AE46" i="30" s="1"/>
  <c r="O34" i="59"/>
  <c r="AM46" i="30" s="1"/>
  <c r="O23" i="59"/>
  <c r="AB46" i="30" s="1"/>
  <c r="O8" i="59"/>
  <c r="M46" i="30" s="1"/>
  <c r="O36" i="59"/>
  <c r="AO46" i="30" s="1"/>
  <c r="O13" i="59"/>
  <c r="R46" i="30" s="1"/>
  <c r="O14" i="59"/>
  <c r="S46" i="30" s="1"/>
  <c r="O22" i="59"/>
  <c r="AA46" i="30" s="1"/>
  <c r="O21" i="59"/>
  <c r="Z46" i="30" s="1"/>
  <c r="O30" i="59"/>
  <c r="AI46" i="30" s="1"/>
  <c r="O35" i="59"/>
  <c r="AN46" i="30" s="1"/>
  <c r="O19" i="59"/>
  <c r="X46" i="30" s="1"/>
  <c r="O31" i="59"/>
  <c r="AJ46" i="30" s="1"/>
  <c r="O12" i="59"/>
  <c r="Q46" i="30" s="1"/>
  <c r="O17" i="59"/>
  <c r="V46" i="30" s="1"/>
  <c r="O18" i="59"/>
  <c r="W46" i="30" s="1"/>
  <c r="O25" i="59"/>
  <c r="AD46" i="30" s="1"/>
  <c r="E60" i="1"/>
  <c r="F13" i="54"/>
  <c r="F31" i="54"/>
  <c r="G34" i="54" s="1"/>
  <c r="J83" i="1"/>
  <c r="J77" i="1"/>
  <c r="G101" i="1"/>
  <c r="E101" i="1"/>
  <c r="G100" i="1"/>
  <c r="E98" i="1"/>
  <c r="G93" i="1"/>
  <c r="E93" i="1"/>
  <c r="E92" i="1"/>
  <c r="G91" i="1"/>
  <c r="E91" i="1"/>
  <c r="E90" i="1"/>
  <c r="G43" i="56"/>
  <c r="I101" i="1" s="1"/>
  <c r="E100" i="1"/>
  <c r="H83" i="67" l="1"/>
  <c r="M83" i="67"/>
  <c r="D51" i="30"/>
  <c r="F51" i="30" s="1"/>
  <c r="J78" i="1"/>
  <c r="H46" i="30"/>
  <c r="I46" i="30" s="1"/>
  <c r="K68" i="1" s="1"/>
  <c r="K70" i="1" s="1"/>
  <c r="E83" i="67"/>
  <c r="D84" i="67"/>
  <c r="O37" i="59"/>
  <c r="G60" i="1"/>
  <c r="I68" i="1"/>
  <c r="K83" i="1"/>
  <c r="H44" i="56"/>
  <c r="J101" i="1" s="1"/>
  <c r="H84" i="67" l="1"/>
  <c r="M84" i="67"/>
  <c r="J79" i="1"/>
  <c r="J80" i="1" s="1"/>
  <c r="E84" i="67"/>
  <c r="D85" i="67"/>
  <c r="F54" i="30"/>
  <c r="F65" i="30"/>
  <c r="V65" i="30" s="1"/>
  <c r="W65" i="30" s="1"/>
  <c r="X65" i="30" s="1"/>
  <c r="Y65" i="30" s="1"/>
  <c r="Z65" i="30" s="1"/>
  <c r="AA65" i="30" s="1"/>
  <c r="AB65" i="30" s="1"/>
  <c r="AC65" i="30" s="1"/>
  <c r="AD65" i="30" s="1"/>
  <c r="AE65" i="30" s="1"/>
  <c r="AF65" i="30" s="1"/>
  <c r="AG65" i="30" s="1"/>
  <c r="AH65" i="30" s="1"/>
  <c r="AI65" i="30" s="1"/>
  <c r="AJ65" i="30" s="1"/>
  <c r="AK65" i="30" s="1"/>
  <c r="AL65" i="30" s="1"/>
  <c r="AM65" i="30" s="1"/>
  <c r="AN65" i="30" s="1"/>
  <c r="AO65" i="30" s="1"/>
  <c r="H63" i="30"/>
  <c r="I63" i="30" s="1"/>
  <c r="H85" i="67" l="1"/>
  <c r="M85" i="67"/>
  <c r="E85" i="67"/>
  <c r="D86" i="67"/>
  <c r="J84" i="1"/>
  <c r="J68" i="1"/>
  <c r="J70" i="1" s="1"/>
  <c r="G41" i="54"/>
  <c r="H86" i="67" l="1"/>
  <c r="M86" i="67"/>
  <c r="E86" i="67"/>
  <c r="D87" i="67"/>
  <c r="H87" i="67" l="1"/>
  <c r="M87" i="67"/>
  <c r="E87" i="67"/>
  <c r="D88" i="67"/>
  <c r="L68" i="1"/>
  <c r="L70" i="1" l="1"/>
  <c r="M70" i="1" s="1"/>
  <c r="M68" i="1"/>
  <c r="H88" i="67"/>
  <c r="M88" i="67"/>
  <c r="E88" i="67"/>
  <c r="D89" i="67"/>
  <c r="G23" i="56"/>
  <c r="H24" i="56" s="1"/>
  <c r="G17" i="56"/>
  <c r="G8" i="56"/>
  <c r="H89" i="67" l="1"/>
  <c r="M89" i="67"/>
  <c r="E89" i="67"/>
  <c r="D90" i="67"/>
  <c r="J93" i="1"/>
  <c r="I93" i="1"/>
  <c r="G32" i="56"/>
  <c r="G98" i="1"/>
  <c r="G9" i="56"/>
  <c r="I90" i="1" s="1"/>
  <c r="G90" i="1"/>
  <c r="J91" i="1"/>
  <c r="I91" i="1"/>
  <c r="G18" i="56"/>
  <c r="G92" i="1"/>
  <c r="H10" i="56"/>
  <c r="H90" i="67" l="1"/>
  <c r="M90" i="67"/>
  <c r="E90" i="67"/>
  <c r="D91" i="67"/>
  <c r="D58" i="30"/>
  <c r="F58" i="30" s="1"/>
  <c r="L58" i="30" s="1"/>
  <c r="M58" i="30" s="1"/>
  <c r="N58" i="30" s="1"/>
  <c r="O58" i="30" s="1"/>
  <c r="P58" i="30" s="1"/>
  <c r="Q58" i="30" s="1"/>
  <c r="R58" i="30" s="1"/>
  <c r="S58" i="30" s="1"/>
  <c r="T58" i="30" s="1"/>
  <c r="U58" i="30" s="1"/>
  <c r="V58" i="30" s="1"/>
  <c r="W58" i="30" s="1"/>
  <c r="X58" i="30" s="1"/>
  <c r="Y58" i="30" s="1"/>
  <c r="Z58" i="30" s="1"/>
  <c r="AA58" i="30" s="1"/>
  <c r="AB58" i="30" s="1"/>
  <c r="AC58" i="30" s="1"/>
  <c r="AD58" i="30" s="1"/>
  <c r="AE58" i="30" s="1"/>
  <c r="H33" i="56"/>
  <c r="I98" i="1"/>
  <c r="J90" i="1"/>
  <c r="H19" i="56"/>
  <c r="J92" i="1" s="1"/>
  <c r="I92" i="1"/>
  <c r="D60" i="30"/>
  <c r="F60" i="30" s="1"/>
  <c r="H91" i="67" l="1"/>
  <c r="M91" i="67"/>
  <c r="E91" i="67"/>
  <c r="D92" i="67"/>
  <c r="D59" i="30"/>
  <c r="F59" i="30" s="1"/>
  <c r="J98" i="1"/>
  <c r="H25" i="56"/>
  <c r="H26" i="56" s="1"/>
  <c r="H27" i="56" s="1"/>
  <c r="D57" i="30"/>
  <c r="F57" i="30" s="1"/>
  <c r="L57" i="30" s="1"/>
  <c r="M57" i="30" s="1"/>
  <c r="N57" i="30" s="1"/>
  <c r="O57" i="30" s="1"/>
  <c r="P57" i="30" s="1"/>
  <c r="Q57" i="30" s="1"/>
  <c r="J94" i="1"/>
  <c r="G37" i="56"/>
  <c r="R57" i="30" l="1"/>
  <c r="H92" i="67"/>
  <c r="M92" i="67"/>
  <c r="L61" i="30"/>
  <c r="L66" i="30" s="1"/>
  <c r="E92" i="67"/>
  <c r="D94" i="67"/>
  <c r="D93" i="67"/>
  <c r="J95" i="1"/>
  <c r="F62" i="30"/>
  <c r="H38" i="56"/>
  <c r="I100" i="1"/>
  <c r="S57" i="30" l="1"/>
  <c r="T57" i="30" s="1"/>
  <c r="U57" i="30" s="1"/>
  <c r="V57" i="30" s="1"/>
  <c r="H93" i="67"/>
  <c r="M93" i="67"/>
  <c r="H94" i="67"/>
  <c r="M94" i="67"/>
  <c r="F10" i="66"/>
  <c r="F21" i="66" s="1"/>
  <c r="E93" i="67"/>
  <c r="E94" i="67" s="1"/>
  <c r="J96" i="1"/>
  <c r="J100" i="1"/>
  <c r="H45" i="56"/>
  <c r="H46" i="56" s="1"/>
  <c r="W57" i="30" l="1"/>
  <c r="X57" i="30" s="1"/>
  <c r="Y57" i="30" s="1"/>
  <c r="Z57" i="30" s="1"/>
  <c r="AA57" i="30" s="1"/>
  <c r="AB57" i="30" s="1"/>
  <c r="AC57" i="30" s="1"/>
  <c r="AD57" i="30" s="1"/>
  <c r="AE57" i="30" s="1"/>
  <c r="AF57" i="30" s="1"/>
  <c r="AG57" i="30" s="1"/>
  <c r="AH57" i="30" s="1"/>
  <c r="AI57" i="30" s="1"/>
  <c r="AJ57" i="30" s="1"/>
  <c r="AK57" i="30" s="1"/>
  <c r="AL57" i="30" s="1"/>
  <c r="AM57" i="30" s="1"/>
  <c r="AN57" i="30" s="1"/>
  <c r="AO57" i="30" s="1"/>
  <c r="D55" i="34"/>
  <c r="H47" i="56"/>
  <c r="H48" i="56" s="1"/>
  <c r="F64" i="30"/>
  <c r="J102" i="1"/>
  <c r="J103" i="1" s="1"/>
  <c r="F66" i="30" l="1"/>
  <c r="V64" i="30"/>
  <c r="W64" i="30" s="1"/>
  <c r="X64" i="30" s="1"/>
  <c r="Y64" i="30" s="1"/>
  <c r="Z64" i="30" s="1"/>
  <c r="AA64" i="30" s="1"/>
  <c r="AB64" i="30" s="1"/>
  <c r="AC64" i="30" s="1"/>
  <c r="AD64" i="30" s="1"/>
  <c r="AE64" i="30" s="1"/>
  <c r="AF64" i="30" s="1"/>
  <c r="AG64" i="30" s="1"/>
  <c r="AH64" i="30" s="1"/>
  <c r="AI64" i="30" s="1"/>
  <c r="AJ64" i="30" s="1"/>
  <c r="AK64" i="30" s="1"/>
  <c r="AL64" i="30" s="1"/>
  <c r="AM64" i="30" s="1"/>
  <c r="AN64" i="30" s="1"/>
  <c r="AO64" i="30" s="1"/>
  <c r="E55" i="34"/>
  <c r="H21" i="66"/>
  <c r="F107" i="55"/>
  <c r="G108" i="55" s="1"/>
  <c r="F96" i="55"/>
  <c r="F92" i="55"/>
  <c r="F78" i="55"/>
  <c r="F66" i="55"/>
  <c r="J39" i="1"/>
  <c r="D27" i="30" s="1"/>
  <c r="F27" i="30" s="1"/>
  <c r="L27" i="30" s="1"/>
  <c r="M27" i="30" s="1"/>
  <c r="N27" i="30" s="1"/>
  <c r="O27" i="30" s="1"/>
  <c r="P27" i="30" s="1"/>
  <c r="Q27" i="30" s="1"/>
  <c r="R27" i="30" s="1"/>
  <c r="S27" i="30" s="1"/>
  <c r="T27" i="30" s="1"/>
  <c r="U27" i="30" s="1"/>
  <c r="I36" i="1"/>
  <c r="F20" i="55"/>
  <c r="F19" i="55"/>
  <c r="F18" i="55"/>
  <c r="F10" i="55"/>
  <c r="I42" i="1" l="1"/>
  <c r="E42" i="1"/>
  <c r="F67" i="55"/>
  <c r="I41" i="1"/>
  <c r="L34" i="30"/>
  <c r="M34" i="30" s="1"/>
  <c r="N34" i="30" s="1"/>
  <c r="O34" i="30" s="1"/>
  <c r="P34" i="30" s="1"/>
  <c r="Q34" i="30" s="1"/>
  <c r="R34" i="30" s="1"/>
  <c r="S34" i="30" s="1"/>
  <c r="T34" i="30" s="1"/>
  <c r="U34" i="30" s="1"/>
  <c r="V34" i="30" s="1"/>
  <c r="W34" i="30" s="1"/>
  <c r="X34" i="30" s="1"/>
  <c r="Y34" i="30" s="1"/>
  <c r="Z34" i="30" s="1"/>
  <c r="AA34" i="30" s="1"/>
  <c r="AB34" i="30" s="1"/>
  <c r="AC34" i="30" s="1"/>
  <c r="AD34" i="30" s="1"/>
  <c r="AE34" i="30" s="1"/>
  <c r="AF34" i="30" s="1"/>
  <c r="AG34" i="30" s="1"/>
  <c r="AH34" i="30" s="1"/>
  <c r="AI34" i="30" s="1"/>
  <c r="AJ34" i="30" s="1"/>
  <c r="AK34" i="30" s="1"/>
  <c r="AL34" i="30" s="1"/>
  <c r="AM34" i="30" s="1"/>
  <c r="AN34" i="30" s="1"/>
  <c r="AO34" i="30" s="1"/>
  <c r="F11" i="55"/>
  <c r="G31" i="1" s="1"/>
  <c r="E31" i="1"/>
  <c r="E32" i="1"/>
  <c r="G22" i="55"/>
  <c r="J32" i="1" s="1"/>
  <c r="D20" i="30" s="1"/>
  <c r="F20" i="30" s="1"/>
  <c r="G81" i="55"/>
  <c r="J42" i="1" s="1"/>
  <c r="H8" i="60"/>
  <c r="I7" i="60"/>
  <c r="M7" i="60" s="1"/>
  <c r="L32" i="30" s="1"/>
  <c r="F93" i="55"/>
  <c r="F112" i="55"/>
  <c r="F21" i="55"/>
  <c r="I32" i="1" s="1"/>
  <c r="F97" i="55"/>
  <c r="F98" i="55" s="1"/>
  <c r="I47" i="1" l="1"/>
  <c r="L20" i="30"/>
  <c r="D30" i="30"/>
  <c r="F30" i="30" s="1"/>
  <c r="F72" i="55"/>
  <c r="G74" i="55" s="1"/>
  <c r="F115" i="55" s="1"/>
  <c r="F117" i="55" s="1"/>
  <c r="G118" i="55" s="1"/>
  <c r="H9" i="60"/>
  <c r="I8" i="60"/>
  <c r="K8" i="60"/>
  <c r="G113" i="55"/>
  <c r="F94" i="55"/>
  <c r="M20" i="30" l="1"/>
  <c r="N20" i="30" s="1"/>
  <c r="O20" i="30" s="1"/>
  <c r="P20" i="30" s="1"/>
  <c r="Q20" i="30" s="1"/>
  <c r="R20" i="30" s="1"/>
  <c r="S20" i="30" s="1"/>
  <c r="T20" i="30" s="1"/>
  <c r="U20" i="30" s="1"/>
  <c r="V20" i="30" s="1"/>
  <c r="W20" i="30" s="1"/>
  <c r="X20" i="30" s="1"/>
  <c r="Y20" i="30" s="1"/>
  <c r="Z20" i="30" s="1"/>
  <c r="AA20" i="30" s="1"/>
  <c r="AB20" i="30" s="1"/>
  <c r="AC20" i="30" s="1"/>
  <c r="AD20" i="30" s="1"/>
  <c r="AE20" i="30" s="1"/>
  <c r="G82" i="55"/>
  <c r="G83" i="55" s="1"/>
  <c r="D29" i="30"/>
  <c r="F29" i="30" s="1"/>
  <c r="L29" i="30" s="1"/>
  <c r="M29" i="30" s="1"/>
  <c r="L30" i="30"/>
  <c r="M30" i="30" s="1"/>
  <c r="N30" i="30" s="1"/>
  <c r="O30" i="30" s="1"/>
  <c r="P30" i="30" s="1"/>
  <c r="J50" i="1"/>
  <c r="I50" i="1"/>
  <c r="J51" i="1"/>
  <c r="I51" i="1"/>
  <c r="G99" i="55"/>
  <c r="J47" i="1" s="1"/>
  <c r="J43" i="1"/>
  <c r="J44" i="1" s="1"/>
  <c r="J45" i="1" s="1"/>
  <c r="L24" i="30"/>
  <c r="M24" i="30" s="1"/>
  <c r="H10" i="60"/>
  <c r="I9" i="60"/>
  <c r="K9" i="60"/>
  <c r="L8" i="60"/>
  <c r="N24" i="30" l="1"/>
  <c r="O24" i="30" s="1"/>
  <c r="N29" i="30"/>
  <c r="O29" i="30" s="1"/>
  <c r="P29" i="30" s="1"/>
  <c r="L31" i="30"/>
  <c r="M8" i="60"/>
  <c r="M32" i="30" s="1"/>
  <c r="L35" i="30"/>
  <c r="M35" i="30" s="1"/>
  <c r="N35" i="30" s="1"/>
  <c r="M36" i="30"/>
  <c r="N36" i="30" s="1"/>
  <c r="O36" i="30" s="1"/>
  <c r="P36" i="30" s="1"/>
  <c r="G119" i="55"/>
  <c r="H11" i="60"/>
  <c r="I10" i="60"/>
  <c r="K10" i="60"/>
  <c r="L9" i="60"/>
  <c r="G84" i="55"/>
  <c r="Q36" i="30" l="1"/>
  <c r="R36" i="30" s="1"/>
  <c r="S36" i="30" s="1"/>
  <c r="T36" i="30" s="1"/>
  <c r="U36" i="30" s="1"/>
  <c r="V36" i="30" s="1"/>
  <c r="W36" i="30" s="1"/>
  <c r="X36" i="30" s="1"/>
  <c r="Y36" i="30" s="1"/>
  <c r="Z36" i="30" s="1"/>
  <c r="AA36" i="30" s="1"/>
  <c r="AB36" i="30" s="1"/>
  <c r="AC36" i="30" s="1"/>
  <c r="AD36" i="30" s="1"/>
  <c r="AE36" i="30" s="1"/>
  <c r="AF36" i="30" s="1"/>
  <c r="AG36" i="30" s="1"/>
  <c r="AH36" i="30" s="1"/>
  <c r="AI36" i="30" s="1"/>
  <c r="AJ36" i="30" s="1"/>
  <c r="AK36" i="30" s="1"/>
  <c r="AL36" i="30" s="1"/>
  <c r="AM36" i="30" s="1"/>
  <c r="AN36" i="30" s="1"/>
  <c r="AO36" i="30" s="1"/>
  <c r="O35" i="30"/>
  <c r="P35" i="30" s="1"/>
  <c r="Q35" i="30" s="1"/>
  <c r="R35" i="30" s="1"/>
  <c r="S35" i="30" s="1"/>
  <c r="T35" i="30" s="1"/>
  <c r="U35" i="30" s="1"/>
  <c r="V35" i="30" s="1"/>
  <c r="W35" i="30" s="1"/>
  <c r="X35" i="30" s="1"/>
  <c r="Y35" i="30" s="1"/>
  <c r="Z35" i="30" s="1"/>
  <c r="AA35" i="30" s="1"/>
  <c r="AB35" i="30" s="1"/>
  <c r="AC35" i="30" s="1"/>
  <c r="AD35" i="30" s="1"/>
  <c r="AE35" i="30" s="1"/>
  <c r="AF35" i="30" s="1"/>
  <c r="AG35" i="30" s="1"/>
  <c r="AH35" i="30" s="1"/>
  <c r="AI35" i="30" s="1"/>
  <c r="AJ35" i="30" s="1"/>
  <c r="AK35" i="30" s="1"/>
  <c r="AL35" i="30" s="1"/>
  <c r="AM35" i="30" s="1"/>
  <c r="AN35" i="30" s="1"/>
  <c r="AO35" i="30" s="1"/>
  <c r="M9" i="60"/>
  <c r="N32" i="30" s="1"/>
  <c r="L37" i="30"/>
  <c r="J52" i="1"/>
  <c r="J53" i="1" s="1"/>
  <c r="G120" i="55"/>
  <c r="K11" i="60"/>
  <c r="L10" i="60"/>
  <c r="M10" i="60" s="1"/>
  <c r="O32" i="30" s="1"/>
  <c r="H12" i="60"/>
  <c r="I11" i="60"/>
  <c r="G42" i="54" l="1"/>
  <c r="H13" i="60"/>
  <c r="I12" i="60"/>
  <c r="K12" i="60"/>
  <c r="L11" i="60"/>
  <c r="M11" i="60" s="1"/>
  <c r="P32" i="30" s="1"/>
  <c r="H14" i="60" l="1"/>
  <c r="I13" i="60"/>
  <c r="L12" i="60"/>
  <c r="M12" i="60" s="1"/>
  <c r="Q32" i="30" s="1"/>
  <c r="K13" i="60"/>
  <c r="H15" i="60" l="1"/>
  <c r="I14" i="60"/>
  <c r="K14" i="60"/>
  <c r="L13" i="60"/>
  <c r="M13" i="60" s="1"/>
  <c r="R32" i="30" s="1"/>
  <c r="K15" i="60" l="1"/>
  <c r="L14" i="60"/>
  <c r="M14" i="60" s="1"/>
  <c r="S32" i="30" s="1"/>
  <c r="H16" i="60"/>
  <c r="I15" i="60"/>
  <c r="I16" i="60" l="1"/>
  <c r="H17" i="60"/>
  <c r="L15" i="60"/>
  <c r="M15" i="60" s="1"/>
  <c r="T32" i="30" s="1"/>
  <c r="K16" i="60"/>
  <c r="E23" i="1"/>
  <c r="K17" i="60" l="1"/>
  <c r="L16" i="60"/>
  <c r="M16" i="60" s="1"/>
  <c r="U32" i="30" s="1"/>
  <c r="H18" i="60"/>
  <c r="I17" i="60"/>
  <c r="H19" i="60" l="1"/>
  <c r="I18" i="60"/>
  <c r="K18" i="60"/>
  <c r="L17" i="60"/>
  <c r="M17" i="60" s="1"/>
  <c r="V32" i="30" s="1"/>
  <c r="G15" i="1"/>
  <c r="G16" i="1"/>
  <c r="E16" i="1"/>
  <c r="E15" i="1"/>
  <c r="G13" i="1"/>
  <c r="E13" i="1"/>
  <c r="G12" i="1"/>
  <c r="E12" i="1"/>
  <c r="F34" i="51"/>
  <c r="F53" i="51" s="1"/>
  <c r="G55" i="51" s="1"/>
  <c r="G56" i="51" s="1"/>
  <c r="F23" i="51"/>
  <c r="G24" i="51" s="1"/>
  <c r="F18" i="51"/>
  <c r="G19" i="51" s="1"/>
  <c r="J12" i="1" l="1"/>
  <c r="F54" i="51"/>
  <c r="G23" i="1" s="1"/>
  <c r="M52" i="30"/>
  <c r="L18" i="60"/>
  <c r="M18" i="60" s="1"/>
  <c r="W32" i="30" s="1"/>
  <c r="K19" i="60"/>
  <c r="I19" i="60"/>
  <c r="H20" i="60"/>
  <c r="G35" i="51"/>
  <c r="J16" i="1" s="1"/>
  <c r="D11" i="30" s="1"/>
  <c r="F11" i="30" s="1"/>
  <c r="N62" i="30"/>
  <c r="O62" i="30" s="1"/>
  <c r="P62" i="30" s="1"/>
  <c r="Q62" i="30" s="1"/>
  <c r="R62" i="30" s="1"/>
  <c r="S62" i="30" s="1"/>
  <c r="T62" i="30" s="1"/>
  <c r="U62" i="30" s="1"/>
  <c r="V62" i="30" s="1"/>
  <c r="W62" i="30" s="1"/>
  <c r="X62" i="30" s="1"/>
  <c r="Y62" i="30" s="1"/>
  <c r="Z62" i="30" s="1"/>
  <c r="AA62" i="30" s="1"/>
  <c r="AB62" i="30" s="1"/>
  <c r="AC62" i="30" s="1"/>
  <c r="AD62" i="30" s="1"/>
  <c r="AE62" i="30" s="1"/>
  <c r="AF62" i="30" s="1"/>
  <c r="AG62" i="30" s="1"/>
  <c r="AH62" i="30" s="1"/>
  <c r="AI62" i="30" s="1"/>
  <c r="AJ62" i="30" s="1"/>
  <c r="AK62" i="30" s="1"/>
  <c r="AL62" i="30" s="1"/>
  <c r="AM62" i="30" s="1"/>
  <c r="AN62" i="30" s="1"/>
  <c r="AO62" i="30" s="1"/>
  <c r="N52" i="30"/>
  <c r="J13" i="1"/>
  <c r="D8" i="30" s="1"/>
  <c r="F8" i="30" s="1"/>
  <c r="L8" i="30" s="1"/>
  <c r="M8" i="30" s="1"/>
  <c r="N8" i="30" s="1"/>
  <c r="O8" i="30" s="1"/>
  <c r="P8" i="30" s="1"/>
  <c r="Q8" i="30" s="1"/>
  <c r="R8" i="30" s="1"/>
  <c r="S8" i="30" s="1"/>
  <c r="T8" i="30" s="1"/>
  <c r="U8" i="30" s="1"/>
  <c r="V8" i="30" s="1"/>
  <c r="W8" i="30" s="1"/>
  <c r="X8" i="30" s="1"/>
  <c r="Y8" i="30" s="1"/>
  <c r="Z8" i="30" s="1"/>
  <c r="AA8" i="30" s="1"/>
  <c r="AB8" i="30" s="1"/>
  <c r="AC8" i="30" s="1"/>
  <c r="AD8" i="30" s="1"/>
  <c r="AE8" i="30" s="1"/>
  <c r="AF8" i="30" s="1"/>
  <c r="AG8" i="30" s="1"/>
  <c r="AH8" i="30" s="1"/>
  <c r="AI8" i="30" s="1"/>
  <c r="AJ8" i="30" s="1"/>
  <c r="AK8" i="30" s="1"/>
  <c r="AL8" i="30" s="1"/>
  <c r="AM8" i="30" s="1"/>
  <c r="AN8" i="30" s="1"/>
  <c r="AO8" i="30" s="1"/>
  <c r="G30" i="51"/>
  <c r="I15" i="1"/>
  <c r="I16" i="1"/>
  <c r="I12" i="1"/>
  <c r="I13" i="1"/>
  <c r="F7" i="51"/>
  <c r="D7" i="30" l="1"/>
  <c r="F7" i="30" s="1"/>
  <c r="L7" i="30" s="1"/>
  <c r="M7" i="30" s="1"/>
  <c r="N7" i="30" s="1"/>
  <c r="O7" i="30" s="1"/>
  <c r="P7" i="30" s="1"/>
  <c r="Q7" i="30" s="1"/>
  <c r="R7" i="30" s="1"/>
  <c r="S7" i="30" s="1"/>
  <c r="T7" i="30" s="1"/>
  <c r="U7" i="30" s="1"/>
  <c r="I23" i="1"/>
  <c r="M54" i="30"/>
  <c r="H21" i="60"/>
  <c r="I20" i="60"/>
  <c r="K20" i="60"/>
  <c r="L19" i="60"/>
  <c r="M19" i="60" s="1"/>
  <c r="X32" i="30" s="1"/>
  <c r="E11" i="1"/>
  <c r="F12" i="51"/>
  <c r="G11" i="1" s="1"/>
  <c r="J15" i="1"/>
  <c r="J18" i="1" l="1"/>
  <c r="J19" i="1" s="1"/>
  <c r="G46" i="51"/>
  <c r="G47" i="51" s="1"/>
  <c r="G48" i="51" s="1"/>
  <c r="G57" i="51" s="1"/>
  <c r="D10" i="30"/>
  <c r="F10" i="30" s="1"/>
  <c r="L10" i="30" s="1"/>
  <c r="M10" i="30" s="1"/>
  <c r="N10" i="30" s="1"/>
  <c r="O10" i="30" s="1"/>
  <c r="P10" i="30" s="1"/>
  <c r="Q10" i="30" s="1"/>
  <c r="R10" i="30" s="1"/>
  <c r="S10" i="30" s="1"/>
  <c r="T10" i="30" s="1"/>
  <c r="U10" i="30" s="1"/>
  <c r="K21" i="60"/>
  <c r="L20" i="60"/>
  <c r="M20" i="60" s="1"/>
  <c r="Y32" i="30" s="1"/>
  <c r="H22" i="60"/>
  <c r="I21" i="60"/>
  <c r="J23" i="1"/>
  <c r="F15" i="30" s="1"/>
  <c r="L15" i="30" s="1"/>
  <c r="M15" i="30" s="1"/>
  <c r="N15" i="30" s="1"/>
  <c r="O15" i="30" s="1"/>
  <c r="P15" i="30" s="1"/>
  <c r="Q15" i="30" s="1"/>
  <c r="R15" i="30" s="1"/>
  <c r="S15" i="30" s="1"/>
  <c r="T15" i="30" s="1"/>
  <c r="U15" i="30" s="1"/>
  <c r="V15" i="30" s="1"/>
  <c r="W15" i="30" s="1"/>
  <c r="X15" i="30" s="1"/>
  <c r="Y15" i="30" s="1"/>
  <c r="Z15" i="30" s="1"/>
  <c r="AA15" i="30" s="1"/>
  <c r="AB15" i="30" s="1"/>
  <c r="AC15" i="30" s="1"/>
  <c r="AD15" i="30" s="1"/>
  <c r="AE15" i="30" s="1"/>
  <c r="AF15" i="30" s="1"/>
  <c r="AG15" i="30" s="1"/>
  <c r="AH15" i="30" s="1"/>
  <c r="AI15" i="30" s="1"/>
  <c r="AJ15" i="30" s="1"/>
  <c r="AK15" i="30" s="1"/>
  <c r="AL15" i="30" s="1"/>
  <c r="AM15" i="30" s="1"/>
  <c r="AN15" i="30" s="1"/>
  <c r="AO15" i="30" s="1"/>
  <c r="F6" i="30"/>
  <c r="L6" i="30" s="1"/>
  <c r="M6" i="30" s="1"/>
  <c r="N6" i="30" s="1"/>
  <c r="O6" i="30" s="1"/>
  <c r="P6" i="30" s="1"/>
  <c r="N54" i="30"/>
  <c r="F16" i="30" l="1"/>
  <c r="D13" i="30"/>
  <c r="F13" i="30" s="1"/>
  <c r="N13" i="30" s="1"/>
  <c r="O13" i="30" s="1"/>
  <c r="P13" i="30" s="1"/>
  <c r="Q13" i="30" s="1"/>
  <c r="R13" i="30" s="1"/>
  <c r="J20" i="1"/>
  <c r="J21" i="1" s="1"/>
  <c r="I22" i="60"/>
  <c r="H23" i="60"/>
  <c r="K22" i="60"/>
  <c r="L21" i="60"/>
  <c r="M21" i="60" s="1"/>
  <c r="Z32" i="30" s="1"/>
  <c r="K23" i="60" l="1"/>
  <c r="L22" i="60"/>
  <c r="M22" i="60" s="1"/>
  <c r="AA32" i="30" s="1"/>
  <c r="H24" i="60"/>
  <c r="I23" i="60"/>
  <c r="J24" i="1" l="1"/>
  <c r="J25" i="1" s="1"/>
  <c r="H25" i="60"/>
  <c r="I24" i="60"/>
  <c r="L23" i="60"/>
  <c r="M23" i="60" s="1"/>
  <c r="AB32" i="30" s="1"/>
  <c r="K24" i="60"/>
  <c r="L24" i="60" l="1"/>
  <c r="M24" i="60" s="1"/>
  <c r="AC32" i="30" s="1"/>
  <c r="K25" i="60"/>
  <c r="I25" i="60"/>
  <c r="H26" i="60"/>
  <c r="H27" i="60" l="1"/>
  <c r="I26" i="60"/>
  <c r="K26" i="60"/>
  <c r="K27" i="60" s="1"/>
  <c r="L25" i="60"/>
  <c r="M25" i="60" s="1"/>
  <c r="AD32" i="30" s="1"/>
  <c r="L26" i="60" l="1"/>
  <c r="M26" i="60" s="1"/>
  <c r="AE32" i="30" s="1"/>
  <c r="H28" i="60"/>
  <c r="I27" i="60"/>
  <c r="B31" i="50"/>
  <c r="B32" i="50"/>
  <c r="B33" i="50"/>
  <c r="B30" i="50"/>
  <c r="B26" i="50"/>
  <c r="B27" i="50"/>
  <c r="B28" i="50"/>
  <c r="B29" i="50"/>
  <c r="B17" i="50"/>
  <c r="B18" i="50"/>
  <c r="B19" i="50"/>
  <c r="B20" i="50"/>
  <c r="B21" i="50"/>
  <c r="B22" i="50"/>
  <c r="B23" i="50"/>
  <c r="B24" i="50"/>
  <c r="B25" i="50"/>
  <c r="B16" i="50"/>
  <c r="B3" i="50"/>
  <c r="B4" i="50"/>
  <c r="B5" i="50"/>
  <c r="B6" i="50"/>
  <c r="B7" i="50"/>
  <c r="B8" i="50"/>
  <c r="B9" i="50"/>
  <c r="B10" i="50"/>
  <c r="B11" i="50"/>
  <c r="B12" i="50"/>
  <c r="B13" i="50"/>
  <c r="B14" i="50"/>
  <c r="B15" i="50"/>
  <c r="B2" i="50"/>
  <c r="C6" i="4"/>
  <c r="C7" i="4"/>
  <c r="C8" i="4"/>
  <c r="C9" i="4"/>
  <c r="C10" i="4"/>
  <c r="C11" i="4"/>
  <c r="C12" i="4"/>
  <c r="C13" i="4"/>
  <c r="C14" i="4"/>
  <c r="C15" i="4"/>
  <c r="C16" i="4"/>
  <c r="C17" i="4"/>
  <c r="C18" i="4"/>
  <c r="C19" i="4"/>
  <c r="C20" i="4"/>
  <c r="C21" i="4"/>
  <c r="C22" i="4"/>
  <c r="C23" i="4"/>
  <c r="C24" i="4"/>
  <c r="C25" i="4"/>
  <c r="C26" i="4"/>
  <c r="C27" i="4"/>
  <c r="C28" i="4"/>
  <c r="C29" i="4"/>
  <c r="C30" i="4"/>
  <c r="C31" i="4"/>
  <c r="C32" i="4"/>
  <c r="C33" i="4"/>
  <c r="C34" i="4"/>
  <c r="C35" i="4"/>
  <c r="C36" i="4"/>
  <c r="C37" i="4"/>
  <c r="C38" i="4"/>
  <c r="C39" i="4"/>
  <c r="C40" i="4"/>
  <c r="C41" i="4"/>
  <c r="C42" i="4"/>
  <c r="C43" i="4"/>
  <c r="C44" i="4"/>
  <c r="C45" i="4"/>
  <c r="C46" i="4"/>
  <c r="C47" i="4"/>
  <c r="C48" i="4"/>
  <c r="C49" i="4"/>
  <c r="C50" i="4"/>
  <c r="C51" i="4"/>
  <c r="C52" i="4"/>
  <c r="C53" i="4"/>
  <c r="C54" i="4"/>
  <c r="C55" i="4"/>
  <c r="C56" i="4"/>
  <c r="C57" i="4"/>
  <c r="C58" i="4"/>
  <c r="C59" i="4"/>
  <c r="C60" i="4"/>
  <c r="D37" i="41"/>
  <c r="D38" i="41"/>
  <c r="D39" i="41"/>
  <c r="D40" i="41"/>
  <c r="D41" i="41"/>
  <c r="D42" i="41"/>
  <c r="D43" i="41"/>
  <c r="D44" i="41"/>
  <c r="D45" i="41"/>
  <c r="D46" i="41"/>
  <c r="D47" i="41"/>
  <c r="D48" i="41"/>
  <c r="D49" i="41"/>
  <c r="D50" i="41"/>
  <c r="D51" i="41"/>
  <c r="D52" i="41"/>
  <c r="D53" i="41"/>
  <c r="D54" i="41"/>
  <c r="D55" i="41"/>
  <c r="D56" i="41"/>
  <c r="D57" i="41"/>
  <c r="D58" i="41"/>
  <c r="D59" i="41"/>
  <c r="D60" i="41"/>
  <c r="D61" i="41"/>
  <c r="D62" i="41"/>
  <c r="D63" i="41"/>
  <c r="D64" i="41"/>
  <c r="D65" i="41"/>
  <c r="D66" i="41"/>
  <c r="D67" i="41"/>
  <c r="D68" i="41"/>
  <c r="D69" i="41"/>
  <c r="D70" i="41"/>
  <c r="D71" i="41"/>
  <c r="D72" i="41"/>
  <c r="D73" i="41"/>
  <c r="D74" i="41"/>
  <c r="D75" i="41"/>
  <c r="D76" i="41"/>
  <c r="D77" i="41"/>
  <c r="D78" i="41"/>
  <c r="D79" i="41"/>
  <c r="D80" i="41"/>
  <c r="D81" i="41"/>
  <c r="D82" i="41"/>
  <c r="D83" i="41"/>
  <c r="D84" i="41"/>
  <c r="D85" i="41"/>
  <c r="D86" i="41"/>
  <c r="D87" i="41"/>
  <c r="D36" i="41"/>
  <c r="C104" i="47"/>
  <c r="M61" i="4"/>
  <c r="F61" i="4"/>
  <c r="E61" i="4"/>
  <c r="O88" i="41"/>
  <c r="E88" i="41"/>
  <c r="F88" i="41"/>
  <c r="C88" i="41"/>
  <c r="I28" i="41"/>
  <c r="H28" i="41"/>
  <c r="G28" i="41"/>
  <c r="F28" i="41"/>
  <c r="E28" i="41"/>
  <c r="C28" i="41"/>
  <c r="B28" i="41"/>
  <c r="D60" i="15"/>
  <c r="C33" i="15"/>
  <c r="D92" i="15"/>
  <c r="C92" i="15"/>
  <c r="C91" i="15"/>
  <c r="E201" i="22"/>
  <c r="Q13" i="22"/>
  <c r="P13" i="22"/>
  <c r="O14" i="22"/>
  <c r="C69" i="15"/>
  <c r="H210" i="22"/>
  <c r="F92" i="15"/>
  <c r="E92" i="15"/>
  <c r="A81" i="4"/>
  <c r="E110" i="15"/>
  <c r="E216" i="18" s="1"/>
  <c r="D110" i="15"/>
  <c r="D201" i="22" s="1"/>
  <c r="D113" i="15"/>
  <c r="E113" i="15"/>
  <c r="F225" i="18"/>
  <c r="C113" i="15"/>
  <c r="C114" i="15"/>
  <c r="F88" i="15"/>
  <c r="C96" i="15"/>
  <c r="C95" i="15"/>
  <c r="E112" i="15"/>
  <c r="G189" i="22" s="1"/>
  <c r="D112" i="15"/>
  <c r="D114" i="15"/>
  <c r="D208" i="18" s="1"/>
  <c r="E114" i="15"/>
  <c r="G193" i="22" s="1"/>
  <c r="I193" i="22" s="1"/>
  <c r="F114" i="15"/>
  <c r="H193" i="22" s="1"/>
  <c r="E88" i="15"/>
  <c r="C84" i="15"/>
  <c r="C85" i="15"/>
  <c r="C86" i="15"/>
  <c r="C87" i="15"/>
  <c r="C88" i="15"/>
  <c r="C89" i="15"/>
  <c r="C90" i="15"/>
  <c r="C93" i="15"/>
  <c r="C94" i="15"/>
  <c r="D88" i="15"/>
  <c r="D93" i="15"/>
  <c r="C102" i="15"/>
  <c r="C103" i="15"/>
  <c r="C101" i="15"/>
  <c r="C112" i="15"/>
  <c r="D87" i="15"/>
  <c r="D91" i="15"/>
  <c r="F87" i="15"/>
  <c r="E87" i="15"/>
  <c r="F113" i="15"/>
  <c r="H205" i="22" s="1"/>
  <c r="D85" i="15"/>
  <c r="F91" i="15"/>
  <c r="E91" i="15"/>
  <c r="C21" i="15"/>
  <c r="C20" i="15"/>
  <c r="D21" i="15"/>
  <c r="E21" i="15"/>
  <c r="F21" i="15" s="1"/>
  <c r="E19" i="15"/>
  <c r="F19" i="15" s="1"/>
  <c r="D19" i="15"/>
  <c r="C62" i="15"/>
  <c r="C63" i="15"/>
  <c r="C66" i="15"/>
  <c r="C15" i="15"/>
  <c r="C31" i="15"/>
  <c r="C51" i="15"/>
  <c r="C52" i="15"/>
  <c r="C53" i="15"/>
  <c r="C50" i="15"/>
  <c r="C45" i="15"/>
  <c r="C41" i="15"/>
  <c r="C42" i="15"/>
  <c r="C43" i="15"/>
  <c r="C44" i="15"/>
  <c r="C40" i="15"/>
  <c r="D42" i="15"/>
  <c r="D131" i="18" s="1"/>
  <c r="D150" i="18"/>
  <c r="E89" i="15"/>
  <c r="G166" i="22" s="1"/>
  <c r="F166" i="22" s="1"/>
  <c r="D89" i="15"/>
  <c r="D181" i="18" s="1"/>
  <c r="F42" i="15"/>
  <c r="H124" i="22" s="1"/>
  <c r="E42" i="15"/>
  <c r="C19" i="15"/>
  <c r="D135" i="18"/>
  <c r="E135" i="18"/>
  <c r="F135" i="18"/>
  <c r="C83" i="15"/>
  <c r="C120" i="15"/>
  <c r="C111" i="15"/>
  <c r="C115" i="15"/>
  <c r="C116" i="15"/>
  <c r="C110" i="15"/>
  <c r="C76" i="15"/>
  <c r="C75" i="15"/>
  <c r="C61" i="15"/>
  <c r="C64" i="15"/>
  <c r="C65" i="15"/>
  <c r="C67" i="15"/>
  <c r="C68" i="15"/>
  <c r="C70" i="15"/>
  <c r="C60" i="15"/>
  <c r="C32" i="15"/>
  <c r="C30" i="15"/>
  <c r="C10" i="15"/>
  <c r="C11" i="15"/>
  <c r="C12" i="15"/>
  <c r="C13" i="15"/>
  <c r="C14" i="15"/>
  <c r="C16" i="15"/>
  <c r="C17" i="15"/>
  <c r="C18" i="15"/>
  <c r="C22" i="15"/>
  <c r="C23" i="15"/>
  <c r="C24" i="15"/>
  <c r="C25" i="15"/>
  <c r="C9" i="15"/>
  <c r="D10" i="15"/>
  <c r="D13" i="15"/>
  <c r="F89" i="15"/>
  <c r="H166" i="22" s="1"/>
  <c r="F110" i="15"/>
  <c r="F216" i="18" s="1"/>
  <c r="F112" i="15"/>
  <c r="F204" i="18" s="1"/>
  <c r="F223" i="18" s="1"/>
  <c r="D111" i="15"/>
  <c r="D197" i="22" s="1"/>
  <c r="D115" i="15"/>
  <c r="E111" i="15"/>
  <c r="F111" i="15"/>
  <c r="F212" i="18" s="1"/>
  <c r="E115" i="15"/>
  <c r="E51" i="15"/>
  <c r="F51" i="15" s="1"/>
  <c r="E52" i="15"/>
  <c r="F52" i="15"/>
  <c r="D45" i="15"/>
  <c r="E150" i="18"/>
  <c r="F150" i="18"/>
  <c r="J132" i="10"/>
  <c r="K132" i="10" s="1"/>
  <c r="J131" i="10"/>
  <c r="J130" i="10"/>
  <c r="K130" i="10" s="1"/>
  <c r="K129" i="10"/>
  <c r="K125" i="10"/>
  <c r="J125" i="10"/>
  <c r="J126" i="10" s="1"/>
  <c r="I125" i="10"/>
  <c r="I126" i="10" s="1"/>
  <c r="I127" i="10" s="1"/>
  <c r="J116" i="10"/>
  <c r="K116" i="10" s="1"/>
  <c r="J115" i="10"/>
  <c r="K115" i="10" s="1"/>
  <c r="J114" i="10"/>
  <c r="K114" i="10" s="1"/>
  <c r="J113" i="10"/>
  <c r="K113" i="10" s="1"/>
  <c r="J112" i="10"/>
  <c r="K111" i="10"/>
  <c r="I102" i="10"/>
  <c r="C102" i="10"/>
  <c r="G102" i="10" s="1"/>
  <c r="J95" i="10"/>
  <c r="K95" i="10" s="1"/>
  <c r="J94" i="10"/>
  <c r="K94" i="10" s="1"/>
  <c r="J93" i="10"/>
  <c r="K93" i="10" s="1"/>
  <c r="J92" i="10"/>
  <c r="K92" i="10" s="1"/>
  <c r="C91" i="10"/>
  <c r="G91" i="10" s="1"/>
  <c r="J91" i="10" s="1"/>
  <c r="C86" i="10"/>
  <c r="C96" i="10" s="1"/>
  <c r="G96" i="10" s="1"/>
  <c r="J96" i="10" s="1"/>
  <c r="K96" i="10" s="1"/>
  <c r="J85" i="10"/>
  <c r="K85" i="10" s="1"/>
  <c r="G85" i="10"/>
  <c r="J84" i="10"/>
  <c r="K84" i="10" s="1"/>
  <c r="G84" i="10"/>
  <c r="J83" i="10"/>
  <c r="K83" i="10" s="1"/>
  <c r="G83" i="10"/>
  <c r="C82" i="10"/>
  <c r="G82" i="10" s="1"/>
  <c r="I82" i="10" s="1"/>
  <c r="J82" i="10" s="1"/>
  <c r="K82" i="10" s="1"/>
  <c r="E80" i="10"/>
  <c r="C80" i="10"/>
  <c r="J74" i="10"/>
  <c r="K74" i="10" s="1"/>
  <c r="C74" i="10"/>
  <c r="G74" i="10" s="1"/>
  <c r="G73" i="10"/>
  <c r="J73" i="10" s="1"/>
  <c r="J70" i="10"/>
  <c r="K70" i="10" s="1"/>
  <c r="G70" i="10"/>
  <c r="G69" i="10"/>
  <c r="J69" i="10" s="1"/>
  <c r="K69" i="10" s="1"/>
  <c r="J68" i="10"/>
  <c r="G68" i="10"/>
  <c r="I63" i="10"/>
  <c r="C8" i="10" s="1"/>
  <c r="D8" i="10" s="1"/>
  <c r="K62" i="10"/>
  <c r="K61" i="10"/>
  <c r="G61" i="10"/>
  <c r="K60" i="10"/>
  <c r="G60" i="10"/>
  <c r="I59" i="10"/>
  <c r="G59" i="10"/>
  <c r="K58" i="10"/>
  <c r="I57" i="10"/>
  <c r="J57" i="10" s="1"/>
  <c r="J52" i="10"/>
  <c r="D19" i="10" s="1"/>
  <c r="E19" i="10" s="1"/>
  <c r="K51" i="10"/>
  <c r="E51" i="10"/>
  <c r="C51" i="10"/>
  <c r="G51" i="10" s="1"/>
  <c r="K50" i="10"/>
  <c r="G50" i="10"/>
  <c r="K49" i="10"/>
  <c r="G49" i="10"/>
  <c r="J44" i="10"/>
  <c r="K44" i="10" s="1"/>
  <c r="C44" i="10"/>
  <c r="G44" i="10" s="1"/>
  <c r="J43" i="10"/>
  <c r="K43" i="10" s="1"/>
  <c r="G43" i="10"/>
  <c r="J42" i="10"/>
  <c r="K42" i="10" s="1"/>
  <c r="C42" i="10"/>
  <c r="G42" i="10" s="1"/>
  <c r="J41" i="10"/>
  <c r="K41" i="10" s="1"/>
  <c r="G41" i="10"/>
  <c r="G40" i="10"/>
  <c r="I40" i="10" s="1"/>
  <c r="J40" i="10" s="1"/>
  <c r="K40" i="10" s="1"/>
  <c r="I39" i="10"/>
  <c r="J39" i="10" s="1"/>
  <c r="K39" i="10" s="1"/>
  <c r="G39" i="10"/>
  <c r="C38" i="10"/>
  <c r="G38" i="10" s="1"/>
  <c r="I38" i="10" s="1"/>
  <c r="J38" i="10" s="1"/>
  <c r="K38" i="10" s="1"/>
  <c r="J37" i="10"/>
  <c r="K37" i="10" s="1"/>
  <c r="C37" i="10"/>
  <c r="G37" i="10" s="1"/>
  <c r="G36" i="10"/>
  <c r="I36" i="10" s="1"/>
  <c r="J36" i="10" s="1"/>
  <c r="K36" i="10" s="1"/>
  <c r="J35" i="10"/>
  <c r="K35" i="10" s="1"/>
  <c r="G35" i="10"/>
  <c r="J34" i="10"/>
  <c r="K34" i="10" s="1"/>
  <c r="G34" i="10"/>
  <c r="J33" i="10"/>
  <c r="K33" i="10" s="1"/>
  <c r="C33" i="10"/>
  <c r="G33" i="10" s="1"/>
  <c r="J32" i="10"/>
  <c r="K32" i="10" s="1"/>
  <c r="G32" i="10"/>
  <c r="J31" i="10"/>
  <c r="K31" i="10" s="1"/>
  <c r="G31" i="10"/>
  <c r="J30" i="10"/>
  <c r="G30" i="10"/>
  <c r="E22" i="10"/>
  <c r="D12" i="10"/>
  <c r="C22" i="10" s="1"/>
  <c r="D11" i="10"/>
  <c r="C21" i="10" s="1"/>
  <c r="D21" i="10" s="1"/>
  <c r="E21" i="10" s="1"/>
  <c r="D10" i="10"/>
  <c r="E12" i="15"/>
  <c r="F12" i="15" s="1"/>
  <c r="D12" i="15"/>
  <c r="E120" i="15"/>
  <c r="E121" i="15" s="1"/>
  <c r="G210" i="22" s="1"/>
  <c r="I210" i="22" s="1"/>
  <c r="F115" i="15"/>
  <c r="E75" i="15"/>
  <c r="F120" i="15"/>
  <c r="F121" i="15" s="1"/>
  <c r="D116" i="15"/>
  <c r="E76" i="15"/>
  <c r="F76" i="15" s="1"/>
  <c r="E116" i="15"/>
  <c r="F116" i="15"/>
  <c r="F53" i="15"/>
  <c r="H129" i="22" s="1"/>
  <c r="D44" i="15"/>
  <c r="D139" i="22" s="1"/>
  <c r="D146" i="22" s="1"/>
  <c r="E50" i="15"/>
  <c r="E54" i="15" s="1"/>
  <c r="E44" i="15"/>
  <c r="G139" i="22" s="1"/>
  <c r="F139" i="22" s="1"/>
  <c r="F146" i="22" s="1"/>
  <c r="E45" i="15"/>
  <c r="G143" i="22" s="1"/>
  <c r="E143" i="22" s="1"/>
  <c r="F50" i="15"/>
  <c r="F54" i="15" s="1"/>
  <c r="D161" i="18"/>
  <c r="C63" i="10"/>
  <c r="G63" i="10" s="1"/>
  <c r="E161" i="18"/>
  <c r="F45" i="15"/>
  <c r="H143" i="22" s="1"/>
  <c r="F44" i="15"/>
  <c r="F154" i="18" s="1"/>
  <c r="D15" i="15"/>
  <c r="E15" i="15"/>
  <c r="F15" i="15" s="1"/>
  <c r="E13" i="15"/>
  <c r="D11" i="15"/>
  <c r="F161" i="18"/>
  <c r="F23" i="18" s="1"/>
  <c r="D14" i="15"/>
  <c r="E14" i="15"/>
  <c r="F14" i="15" s="1"/>
  <c r="E11" i="15"/>
  <c r="F11" i="15" s="1"/>
  <c r="D43" i="15"/>
  <c r="D127" i="18" s="1"/>
  <c r="E43" i="15"/>
  <c r="E127" i="18" s="1"/>
  <c r="F43" i="15"/>
  <c r="H120" i="22" s="1"/>
  <c r="L11" i="30" l="1"/>
  <c r="M11" i="30" s="1"/>
  <c r="I28" i="60"/>
  <c r="H29" i="60"/>
  <c r="L27" i="60"/>
  <c r="M27" i="60" s="1"/>
  <c r="AF32" i="30" s="1"/>
  <c r="K28" i="60"/>
  <c r="D64" i="15"/>
  <c r="E69" i="15"/>
  <c r="F69" i="15" s="1"/>
  <c r="D69" i="15"/>
  <c r="D154" i="18"/>
  <c r="E61" i="15"/>
  <c r="F61" i="15" s="1"/>
  <c r="E12" i="10"/>
  <c r="D17" i="15"/>
  <c r="D89" i="22" s="1"/>
  <c r="D70" i="15"/>
  <c r="D46" i="22" s="1"/>
  <c r="E10" i="15"/>
  <c r="F10" i="15" s="1"/>
  <c r="D67" i="15"/>
  <c r="D9" i="15"/>
  <c r="D26" i="15" s="1"/>
  <c r="D27" i="15" s="1"/>
  <c r="E27" i="15" s="1"/>
  <c r="F27" i="15" s="1"/>
  <c r="F127" i="18"/>
  <c r="D61" i="15"/>
  <c r="D63" i="15"/>
  <c r="D23" i="15"/>
  <c r="D68" i="15"/>
  <c r="E210" i="22"/>
  <c r="D117" i="15"/>
  <c r="F117" i="15"/>
  <c r="F122" i="15" s="1"/>
  <c r="D66" i="15"/>
  <c r="D22" i="15"/>
  <c r="E65" i="15"/>
  <c r="F65" i="15" s="1"/>
  <c r="E22" i="15"/>
  <c r="F22" i="15" s="1"/>
  <c r="D18" i="15"/>
  <c r="I139" i="22"/>
  <c r="I146" i="22" s="1"/>
  <c r="E154" i="18"/>
  <c r="D62" i="15"/>
  <c r="D124" i="22"/>
  <c r="F140" i="18"/>
  <c r="D163" i="18"/>
  <c r="D166" i="18" s="1"/>
  <c r="F163" i="18"/>
  <c r="F166" i="18" s="1"/>
  <c r="D148" i="22"/>
  <c r="D151" i="22" s="1"/>
  <c r="D25" i="22" s="1"/>
  <c r="E158" i="18"/>
  <c r="D41" i="15"/>
  <c r="D119" i="18" s="1"/>
  <c r="E163" i="18"/>
  <c r="E166" i="18" s="1"/>
  <c r="G148" i="22"/>
  <c r="J148" i="22" s="1"/>
  <c r="E139" i="22"/>
  <c r="E146" i="22" s="1"/>
  <c r="J166" i="22"/>
  <c r="J139" i="22"/>
  <c r="J146" i="22" s="1"/>
  <c r="F210" i="22"/>
  <c r="J210" i="22"/>
  <c r="H139" i="22"/>
  <c r="H146" i="22" s="1"/>
  <c r="G146" i="22"/>
  <c r="G120" i="22"/>
  <c r="J120" i="22" s="1"/>
  <c r="J133" i="10"/>
  <c r="K131" i="10"/>
  <c r="K133" i="10" s="1"/>
  <c r="E11" i="10"/>
  <c r="I166" i="22"/>
  <c r="F181" i="18"/>
  <c r="E166" i="22"/>
  <c r="D16" i="15"/>
  <c r="E93" i="15"/>
  <c r="E77" i="15"/>
  <c r="G67" i="22" s="1"/>
  <c r="E9" i="15"/>
  <c r="D220" i="18"/>
  <c r="D205" i="22"/>
  <c r="G197" i="22"/>
  <c r="J197" i="22" s="1"/>
  <c r="E212" i="18"/>
  <c r="G124" i="22"/>
  <c r="E124" i="22" s="1"/>
  <c r="E131" i="18"/>
  <c r="H107" i="15"/>
  <c r="D189" i="22"/>
  <c r="D208" i="22" s="1"/>
  <c r="D204" i="18"/>
  <c r="D223" i="18" s="1"/>
  <c r="D31" i="18" s="1"/>
  <c r="E32" i="15"/>
  <c r="F131" i="18"/>
  <c r="K52" i="10"/>
  <c r="C7" i="10"/>
  <c r="D7" i="10" s="1"/>
  <c r="D88" i="41"/>
  <c r="E101" i="15"/>
  <c r="D40" i="15"/>
  <c r="D86" i="15"/>
  <c r="F189" i="22"/>
  <c r="F208" i="22" s="1"/>
  <c r="G208" i="22"/>
  <c r="G213" i="22" s="1"/>
  <c r="G33" i="22" s="1"/>
  <c r="J189" i="22"/>
  <c r="J208" i="22" s="1"/>
  <c r="E204" i="18"/>
  <c r="E223" i="18" s="1"/>
  <c r="E31" i="18" s="1"/>
  <c r="G31" i="18" s="1"/>
  <c r="H148" i="22"/>
  <c r="D210" i="22"/>
  <c r="F75" i="15"/>
  <c r="F77" i="15" s="1"/>
  <c r="H67" i="22" s="1"/>
  <c r="E208" i="18"/>
  <c r="E23" i="15"/>
  <c r="F23" i="15" s="1"/>
  <c r="E23" i="18"/>
  <c r="G23" i="18" s="1"/>
  <c r="J143" i="22"/>
  <c r="D65" i="15"/>
  <c r="D193" i="22"/>
  <c r="D20" i="15"/>
  <c r="D96" i="18" s="1"/>
  <c r="I143" i="22"/>
  <c r="F143" i="22"/>
  <c r="E117" i="15"/>
  <c r="E122" i="15" s="1"/>
  <c r="D94" i="15"/>
  <c r="D24" i="15"/>
  <c r="D23" i="18"/>
  <c r="D120" i="22"/>
  <c r="F158" i="18"/>
  <c r="F13" i="15"/>
  <c r="K91" i="10"/>
  <c r="K97" i="10" s="1"/>
  <c r="J97" i="10"/>
  <c r="D23" i="10" s="1"/>
  <c r="E23" i="10" s="1"/>
  <c r="K68" i="10"/>
  <c r="J75" i="10"/>
  <c r="D18" i="10"/>
  <c r="E18" i="10" s="1"/>
  <c r="J117" i="10"/>
  <c r="K112" i="10"/>
  <c r="K117" i="10" s="1"/>
  <c r="G80" i="10"/>
  <c r="I80" i="10" s="1"/>
  <c r="J127" i="10"/>
  <c r="K127" i="10"/>
  <c r="I45" i="10"/>
  <c r="D83" i="15"/>
  <c r="K30" i="10"/>
  <c r="K45" i="10" s="1"/>
  <c r="J45" i="10"/>
  <c r="F228" i="18"/>
  <c r="F31" i="18"/>
  <c r="C20" i="10"/>
  <c r="D20" i="10" s="1"/>
  <c r="E20" i="10" s="1"/>
  <c r="E10" i="10"/>
  <c r="K57" i="10"/>
  <c r="D143" i="22"/>
  <c r="D158" i="18"/>
  <c r="E8" i="10"/>
  <c r="C18" i="10"/>
  <c r="D17" i="10"/>
  <c r="K73" i="10"/>
  <c r="I107" i="10"/>
  <c r="I108" i="10" s="1"/>
  <c r="I109" i="10" s="1"/>
  <c r="J102" i="10"/>
  <c r="D96" i="15"/>
  <c r="E225" i="18"/>
  <c r="D225" i="18"/>
  <c r="I64" i="10"/>
  <c r="I65" i="10" s="1"/>
  <c r="I66" i="10" s="1"/>
  <c r="J59" i="10"/>
  <c r="K59" i="10" s="1"/>
  <c r="G86" i="10"/>
  <c r="I86" i="10" s="1"/>
  <c r="J86" i="10" s="1"/>
  <c r="K86" i="10" s="1"/>
  <c r="D212" i="18"/>
  <c r="D166" i="22"/>
  <c r="D84" i="15"/>
  <c r="E220" i="18"/>
  <c r="G205" i="22"/>
  <c r="H197" i="22"/>
  <c r="H189" i="22"/>
  <c r="H208" i="22" s="1"/>
  <c r="H213" i="22" s="1"/>
  <c r="H33" i="22" s="1"/>
  <c r="E193" i="22"/>
  <c r="F193" i="22"/>
  <c r="J193" i="22"/>
  <c r="J63" i="10"/>
  <c r="K63" i="10" s="1"/>
  <c r="E189" i="22"/>
  <c r="E208" i="22" s="1"/>
  <c r="I189" i="22"/>
  <c r="I208" i="22" s="1"/>
  <c r="I213" i="22" s="1"/>
  <c r="D90" i="15"/>
  <c r="E181" i="18"/>
  <c r="E85" i="15"/>
  <c r="F208" i="18"/>
  <c r="F220" i="18"/>
  <c r="D216" i="18"/>
  <c r="D95" i="15"/>
  <c r="N11" i="30" l="1"/>
  <c r="O11" i="30" s="1"/>
  <c r="P11" i="30" s="1"/>
  <c r="Q11" i="30" s="1"/>
  <c r="R11" i="30" s="1"/>
  <c r="S11" i="30" s="1"/>
  <c r="T11" i="30" s="1"/>
  <c r="U11" i="30" s="1"/>
  <c r="K29" i="60"/>
  <c r="L28" i="60"/>
  <c r="M28" i="60" s="1"/>
  <c r="AG32" i="30" s="1"/>
  <c r="H30" i="60"/>
  <c r="I29" i="60"/>
  <c r="E70" i="15"/>
  <c r="F70" i="15" s="1"/>
  <c r="F49" i="18" s="1"/>
  <c r="E31" i="15"/>
  <c r="F31" i="15" s="1"/>
  <c r="E63" i="15"/>
  <c r="F63" i="15" s="1"/>
  <c r="E64" i="15"/>
  <c r="F64" i="15" s="1"/>
  <c r="E62" i="15"/>
  <c r="F124" i="22"/>
  <c r="D49" i="18"/>
  <c r="D54" i="22"/>
  <c r="D92" i="18"/>
  <c r="E17" i="15"/>
  <c r="D84" i="18"/>
  <c r="E26" i="15"/>
  <c r="E28" i="15" s="1"/>
  <c r="D112" i="22"/>
  <c r="J151" i="22"/>
  <c r="F148" i="22"/>
  <c r="F151" i="22" s="1"/>
  <c r="F25" i="22" s="1"/>
  <c r="D53" i="18"/>
  <c r="E228" i="18"/>
  <c r="D57" i="18"/>
  <c r="D213" i="22"/>
  <c r="D33" i="22" s="1"/>
  <c r="F93" i="15"/>
  <c r="D228" i="18"/>
  <c r="I197" i="22"/>
  <c r="E67" i="15"/>
  <c r="F67" i="15" s="1"/>
  <c r="E66" i="15"/>
  <c r="F66" i="15" s="1"/>
  <c r="F70" i="18" s="1"/>
  <c r="D61" i="18"/>
  <c r="E213" i="22"/>
  <c r="E33" i="22" s="1"/>
  <c r="E41" i="15"/>
  <c r="G112" i="22" s="1"/>
  <c r="J213" i="22"/>
  <c r="E103" i="15"/>
  <c r="F103" i="15" s="1"/>
  <c r="E18" i="15"/>
  <c r="F18" i="15" s="1"/>
  <c r="D62" i="22"/>
  <c r="D50" i="22"/>
  <c r="D65" i="18"/>
  <c r="E100" i="18"/>
  <c r="F9" i="15"/>
  <c r="F84" i="18" s="1"/>
  <c r="E68" i="15"/>
  <c r="D71" i="15"/>
  <c r="D72" i="15" s="1"/>
  <c r="D73" i="15" s="1"/>
  <c r="D93" i="22"/>
  <c r="G151" i="22"/>
  <c r="G25" i="22" s="1"/>
  <c r="I25" i="22" s="1"/>
  <c r="D58" i="22"/>
  <c r="I120" i="22"/>
  <c r="D100" i="18"/>
  <c r="F197" i="22"/>
  <c r="D88" i="18"/>
  <c r="F213" i="22"/>
  <c r="F33" i="22" s="1"/>
  <c r="E84" i="18"/>
  <c r="E148" i="22"/>
  <c r="E151" i="22" s="1"/>
  <c r="E25" i="22" s="1"/>
  <c r="D85" i="22"/>
  <c r="I124" i="22"/>
  <c r="E33" i="15"/>
  <c r="E197" i="22"/>
  <c r="J124" i="22"/>
  <c r="H151" i="22"/>
  <c r="H25" i="22" s="1"/>
  <c r="I148" i="22"/>
  <c r="I151" i="22" s="1"/>
  <c r="I67" i="22"/>
  <c r="J67" i="22"/>
  <c r="E67" i="22"/>
  <c r="F67" i="22"/>
  <c r="D67" i="22"/>
  <c r="E70" i="18"/>
  <c r="D70" i="18" s="1"/>
  <c r="F120" i="22"/>
  <c r="E120" i="22"/>
  <c r="D28" i="15"/>
  <c r="E16" i="15"/>
  <c r="D185" i="18"/>
  <c r="G93" i="22"/>
  <c r="E93" i="22" s="1"/>
  <c r="E24" i="15"/>
  <c r="E40" i="15"/>
  <c r="E20" i="15"/>
  <c r="D77" i="22"/>
  <c r="D80" i="18"/>
  <c r="D81" i="22"/>
  <c r="D170" i="22"/>
  <c r="I33" i="22"/>
  <c r="J33" i="22"/>
  <c r="D46" i="15"/>
  <c r="D47" i="15" s="1"/>
  <c r="D48" i="15" s="1"/>
  <c r="D116" i="22"/>
  <c r="D123" i="18"/>
  <c r="D138" i="18" s="1"/>
  <c r="K102" i="10"/>
  <c r="K107" i="10" s="1"/>
  <c r="J107" i="10"/>
  <c r="J108" i="10" s="1"/>
  <c r="E83" i="15"/>
  <c r="F85" i="15"/>
  <c r="E90" i="15"/>
  <c r="D177" i="18"/>
  <c r="D162" i="22"/>
  <c r="D173" i="18"/>
  <c r="D97" i="15"/>
  <c r="D98" i="15" s="1"/>
  <c r="D99" i="15" s="1"/>
  <c r="D158" i="22"/>
  <c r="K75" i="10"/>
  <c r="E86" i="15"/>
  <c r="D174" i="22"/>
  <c r="D189" i="18"/>
  <c r="E84" i="15"/>
  <c r="D24" i="10"/>
  <c r="E17" i="10"/>
  <c r="E24" i="10" s="1"/>
  <c r="I46" i="10"/>
  <c r="J46" i="10" s="1"/>
  <c r="K46" i="10" s="1"/>
  <c r="K47" i="10" s="1"/>
  <c r="E60" i="15"/>
  <c r="J205" i="22"/>
  <c r="E205" i="22"/>
  <c r="F205" i="22"/>
  <c r="I205" i="22"/>
  <c r="E96" i="15"/>
  <c r="J64" i="10"/>
  <c r="J65" i="10" s="1"/>
  <c r="J80" i="10"/>
  <c r="I87" i="10"/>
  <c r="I88" i="10" s="1"/>
  <c r="I89" i="10" s="1"/>
  <c r="C13" i="10" s="1"/>
  <c r="D13" i="10" s="1"/>
  <c r="F100" i="18"/>
  <c r="H93" i="22"/>
  <c r="E95" i="15"/>
  <c r="F101" i="15"/>
  <c r="K64" i="10"/>
  <c r="C17" i="10"/>
  <c r="E7" i="10"/>
  <c r="H31" i="60" l="1"/>
  <c r="I30" i="60"/>
  <c r="K30" i="60"/>
  <c r="L29" i="60"/>
  <c r="M29" i="60" s="1"/>
  <c r="AH32" i="30" s="1"/>
  <c r="G46" i="22"/>
  <c r="I46" i="22" s="1"/>
  <c r="E49" i="18"/>
  <c r="H46" i="22"/>
  <c r="F37" i="30"/>
  <c r="G62" i="22"/>
  <c r="F62" i="22" s="1"/>
  <c r="H24" i="30"/>
  <c r="I24" i="30" s="1"/>
  <c r="K36" i="1" s="1"/>
  <c r="L36" i="1" s="1"/>
  <c r="M36" i="1" s="1"/>
  <c r="E21" i="34" s="1"/>
  <c r="F62" i="15"/>
  <c r="F65" i="18" s="1"/>
  <c r="E65" i="18"/>
  <c r="D107" i="18"/>
  <c r="D10" i="18" s="1"/>
  <c r="F17" i="15"/>
  <c r="E92" i="18"/>
  <c r="G89" i="22"/>
  <c r="D127" i="22"/>
  <c r="F33" i="15"/>
  <c r="F26" i="15"/>
  <c r="F28" i="15" s="1"/>
  <c r="E53" i="15"/>
  <c r="D140" i="18" s="1"/>
  <c r="E140" i="18" s="1"/>
  <c r="D68" i="18"/>
  <c r="D6" i="18" s="1"/>
  <c r="J25" i="22"/>
  <c r="G58" i="22"/>
  <c r="E58" i="22" s="1"/>
  <c r="F61" i="18"/>
  <c r="E61" i="18"/>
  <c r="M61" i="30"/>
  <c r="E119" i="18"/>
  <c r="D65" i="22"/>
  <c r="D70" i="22" s="1"/>
  <c r="D8" i="22" s="1"/>
  <c r="H58" i="22"/>
  <c r="F41" i="15"/>
  <c r="E94" i="15"/>
  <c r="G170" i="22" s="1"/>
  <c r="D3" i="15"/>
  <c r="D4" i="15" s="1"/>
  <c r="E53" i="18"/>
  <c r="F68" i="15"/>
  <c r="G50" i="22"/>
  <c r="N31" i="30"/>
  <c r="F93" i="22"/>
  <c r="I93" i="22"/>
  <c r="E30" i="15"/>
  <c r="E34" i="15" s="1"/>
  <c r="E109" i="18" s="1"/>
  <c r="F30" i="15"/>
  <c r="J93" i="22"/>
  <c r="F16" i="15"/>
  <c r="G85" i="22"/>
  <c r="E88" i="18"/>
  <c r="D100" i="22"/>
  <c r="F24" i="15"/>
  <c r="E80" i="18"/>
  <c r="E107" i="18" s="1"/>
  <c r="E10" i="18" s="1"/>
  <c r="G10" i="18" s="1"/>
  <c r="G77" i="22"/>
  <c r="F32" i="15"/>
  <c r="I112" i="22"/>
  <c r="J112" i="22"/>
  <c r="F112" i="22"/>
  <c r="E112" i="22"/>
  <c r="F20" i="15"/>
  <c r="G81" i="22"/>
  <c r="E96" i="18"/>
  <c r="D192" i="18"/>
  <c r="D27" i="18" s="1"/>
  <c r="F40" i="15"/>
  <c r="G116" i="22"/>
  <c r="G127" i="22" s="1"/>
  <c r="E123" i="18"/>
  <c r="D19" i="18"/>
  <c r="K109" i="10"/>
  <c r="J109" i="10"/>
  <c r="E13" i="10"/>
  <c r="C23" i="10"/>
  <c r="E57" i="18"/>
  <c r="E71" i="15"/>
  <c r="E72" i="15" s="1"/>
  <c r="G54" i="22"/>
  <c r="F60" i="15"/>
  <c r="I47" i="10"/>
  <c r="C9" i="10" s="1"/>
  <c r="J87" i="10"/>
  <c r="J88" i="10" s="1"/>
  <c r="K80" i="10"/>
  <c r="K87" i="10" s="1"/>
  <c r="E102" i="15"/>
  <c r="F84" i="15"/>
  <c r="E46" i="15"/>
  <c r="K66" i="10"/>
  <c r="J66" i="10"/>
  <c r="F83" i="15"/>
  <c r="G162" i="22"/>
  <c r="E177" i="18"/>
  <c r="F95" i="15"/>
  <c r="F96" i="15"/>
  <c r="F46" i="15"/>
  <c r="F86" i="15"/>
  <c r="D25" i="15"/>
  <c r="D177" i="22"/>
  <c r="E97" i="15"/>
  <c r="E98" i="15" s="1"/>
  <c r="G158" i="22"/>
  <c r="E173" i="18"/>
  <c r="F90" i="15"/>
  <c r="E189" i="18"/>
  <c r="G174" i="22"/>
  <c r="J47" i="10"/>
  <c r="D21" i="34" l="1"/>
  <c r="O14" i="30"/>
  <c r="N14" i="30"/>
  <c r="L14" i="30"/>
  <c r="L16" i="30" s="1"/>
  <c r="M14" i="30"/>
  <c r="H6" i="30"/>
  <c r="O31" i="30"/>
  <c r="O52" i="30"/>
  <c r="L30" i="60"/>
  <c r="M30" i="60" s="1"/>
  <c r="AI32" i="30" s="1"/>
  <c r="K31" i="60"/>
  <c r="I31" i="60"/>
  <c r="H32" i="60"/>
  <c r="F46" i="22"/>
  <c r="J62" i="22"/>
  <c r="E46" i="22"/>
  <c r="M31" i="30"/>
  <c r="J46" i="22"/>
  <c r="P52" i="30"/>
  <c r="I62" i="22"/>
  <c r="E62" i="22"/>
  <c r="N61" i="30"/>
  <c r="N66" i="30" s="1"/>
  <c r="M66" i="30"/>
  <c r="O61" i="30"/>
  <c r="D34" i="18"/>
  <c r="H62" i="22"/>
  <c r="D129" i="22"/>
  <c r="G129" i="22" s="1"/>
  <c r="E129" i="22" s="1"/>
  <c r="E89" i="22"/>
  <c r="I89" i="22"/>
  <c r="J89" i="22"/>
  <c r="F89" i="22"/>
  <c r="H89" i="22"/>
  <c r="F92" i="18"/>
  <c r="D109" i="18"/>
  <c r="D112" i="18" s="1"/>
  <c r="F94" i="15"/>
  <c r="H80" i="15" s="1"/>
  <c r="E138" i="18"/>
  <c r="E19" i="18" s="1"/>
  <c r="G19" i="18" s="1"/>
  <c r="J58" i="22"/>
  <c r="E185" i="18"/>
  <c r="F58" i="22"/>
  <c r="I58" i="22"/>
  <c r="D73" i="18"/>
  <c r="E68" i="18"/>
  <c r="E73" i="18" s="1"/>
  <c r="E35" i="15"/>
  <c r="E112" i="18"/>
  <c r="F119" i="18"/>
  <c r="H112" i="22"/>
  <c r="D102" i="22"/>
  <c r="D105" i="22" s="1"/>
  <c r="D12" i="22" s="1"/>
  <c r="E50" i="22"/>
  <c r="J50" i="22"/>
  <c r="I50" i="22"/>
  <c r="F50" i="22"/>
  <c r="G102" i="22"/>
  <c r="I102" i="22" s="1"/>
  <c r="H50" i="22"/>
  <c r="F53" i="18"/>
  <c r="D143" i="18"/>
  <c r="F34" i="15"/>
  <c r="F35" i="15" s="1"/>
  <c r="E85" i="22"/>
  <c r="J85" i="22"/>
  <c r="F85" i="22"/>
  <c r="I85" i="22"/>
  <c r="F88" i="18"/>
  <c r="H85" i="22"/>
  <c r="E192" i="18"/>
  <c r="E27" i="18" s="1"/>
  <c r="G27" i="18" s="1"/>
  <c r="H77" i="22"/>
  <c r="F80" i="18"/>
  <c r="F107" i="18" s="1"/>
  <c r="F10" i="18" s="1"/>
  <c r="E77" i="22"/>
  <c r="J77" i="22"/>
  <c r="I77" i="22"/>
  <c r="F77" i="22"/>
  <c r="F123" i="18"/>
  <c r="H116" i="22"/>
  <c r="H37" i="15"/>
  <c r="E81" i="22"/>
  <c r="I81" i="22"/>
  <c r="J81" i="22"/>
  <c r="F81" i="22"/>
  <c r="G100" i="22"/>
  <c r="F96" i="18"/>
  <c r="H81" i="22"/>
  <c r="E116" i="22"/>
  <c r="E127" i="22" s="1"/>
  <c r="I116" i="22"/>
  <c r="I127" i="22" s="1"/>
  <c r="F116" i="22"/>
  <c r="F127" i="22" s="1"/>
  <c r="J116" i="22"/>
  <c r="J127" i="22" s="1"/>
  <c r="F189" i="18"/>
  <c r="H174" i="22"/>
  <c r="J174" i="22"/>
  <c r="I174" i="22"/>
  <c r="E174" i="22"/>
  <c r="F174" i="22"/>
  <c r="E158" i="22"/>
  <c r="J158" i="22"/>
  <c r="G177" i="22"/>
  <c r="I158" i="22"/>
  <c r="F158" i="22"/>
  <c r="E99" i="15"/>
  <c r="D104" i="18"/>
  <c r="D97" i="22"/>
  <c r="E25" i="15"/>
  <c r="I170" i="22"/>
  <c r="J170" i="22"/>
  <c r="F170" i="22"/>
  <c r="E170" i="22"/>
  <c r="E73" i="15"/>
  <c r="E78" i="15" s="1"/>
  <c r="I162" i="22"/>
  <c r="F162" i="22"/>
  <c r="E162" i="22"/>
  <c r="J162" i="22"/>
  <c r="F102" i="15"/>
  <c r="F104" i="15" s="1"/>
  <c r="E104" i="15"/>
  <c r="H158" i="22"/>
  <c r="F173" i="18"/>
  <c r="F97" i="15"/>
  <c r="H57" i="15"/>
  <c r="F57" i="18"/>
  <c r="H54" i="22"/>
  <c r="F71" i="15"/>
  <c r="E47" i="15"/>
  <c r="E48" i="15" s="1"/>
  <c r="E55" i="15" s="1"/>
  <c r="H162" i="22"/>
  <c r="F177" i="18"/>
  <c r="J89" i="10"/>
  <c r="K89" i="10"/>
  <c r="D9" i="10"/>
  <c r="C14" i="10"/>
  <c r="F54" i="22"/>
  <c r="J54" i="22"/>
  <c r="I54" i="22"/>
  <c r="E54" i="22"/>
  <c r="G65" i="22"/>
  <c r="G70" i="22" s="1"/>
  <c r="G8" i="22" s="1"/>
  <c r="M37" i="30" l="1"/>
  <c r="I6" i="30"/>
  <c r="P14" i="30"/>
  <c r="O54" i="30"/>
  <c r="P31" i="30"/>
  <c r="P37" i="30" s="1"/>
  <c r="O16" i="30"/>
  <c r="H33" i="60"/>
  <c r="I32" i="60"/>
  <c r="K32" i="60"/>
  <c r="L31" i="60"/>
  <c r="M31" i="60" s="1"/>
  <c r="AJ32" i="30" s="1"/>
  <c r="M16" i="30"/>
  <c r="N16" i="30"/>
  <c r="P54" i="30"/>
  <c r="Q52" i="30"/>
  <c r="O66" i="30"/>
  <c r="Q60" i="30"/>
  <c r="R60" i="30" s="1"/>
  <c r="S60" i="30" s="1"/>
  <c r="T60" i="30" s="1"/>
  <c r="U60" i="30" s="1"/>
  <c r="V60" i="30" s="1"/>
  <c r="W60" i="30" s="1"/>
  <c r="X60" i="30" s="1"/>
  <c r="Y60" i="30" s="1"/>
  <c r="Z60" i="30" s="1"/>
  <c r="AA60" i="30" s="1"/>
  <c r="AB60" i="30" s="1"/>
  <c r="AC60" i="30" s="1"/>
  <c r="AD60" i="30" s="1"/>
  <c r="AE60" i="30" s="1"/>
  <c r="AF60" i="30" s="1"/>
  <c r="AG60" i="30" s="1"/>
  <c r="AH60" i="30" s="1"/>
  <c r="AI60" i="30" s="1"/>
  <c r="AJ60" i="30" s="1"/>
  <c r="AK60" i="30" s="1"/>
  <c r="AL60" i="30" s="1"/>
  <c r="AM60" i="30" s="1"/>
  <c r="AN60" i="30" s="1"/>
  <c r="AO60" i="30" s="1"/>
  <c r="P61" i="30"/>
  <c r="P66" i="30" s="1"/>
  <c r="Q59" i="30"/>
  <c r="R59" i="30" s="1"/>
  <c r="F129" i="22"/>
  <c r="F132" i="22" s="1"/>
  <c r="F21" i="22" s="1"/>
  <c r="F138" i="18"/>
  <c r="F19" i="18" s="1"/>
  <c r="G132" i="22"/>
  <c r="G21" i="22" s="1"/>
  <c r="I21" i="22" s="1"/>
  <c r="I129" i="22"/>
  <c r="I132" i="22" s="1"/>
  <c r="J129" i="22"/>
  <c r="J132" i="22" s="1"/>
  <c r="D132" i="22"/>
  <c r="D21" i="22" s="1"/>
  <c r="F102" i="22"/>
  <c r="E65" i="22"/>
  <c r="E70" i="22" s="1"/>
  <c r="E8" i="22" s="1"/>
  <c r="J102" i="22"/>
  <c r="G105" i="22"/>
  <c r="G12" i="22" s="1"/>
  <c r="I12" i="22" s="1"/>
  <c r="F185" i="18"/>
  <c r="H170" i="22"/>
  <c r="H127" i="22"/>
  <c r="H132" i="22" s="1"/>
  <c r="H21" i="22" s="1"/>
  <c r="E143" i="18"/>
  <c r="E6" i="18"/>
  <c r="G6" i="18" s="1"/>
  <c r="G34" i="18" s="1"/>
  <c r="E102" i="22"/>
  <c r="F65" i="22"/>
  <c r="F70" i="22" s="1"/>
  <c r="F8" i="22" s="1"/>
  <c r="F68" i="18"/>
  <c r="F6" i="18" s="1"/>
  <c r="F34" i="18" s="1"/>
  <c r="I65" i="22"/>
  <c r="I70" i="22" s="1"/>
  <c r="H65" i="22"/>
  <c r="H70" i="22" s="1"/>
  <c r="H8" i="22" s="1"/>
  <c r="J65" i="22"/>
  <c r="J70" i="22" s="1"/>
  <c r="H100" i="22"/>
  <c r="I100" i="22"/>
  <c r="I105" i="22" s="1"/>
  <c r="F100" i="22"/>
  <c r="J100" i="22"/>
  <c r="E132" i="22"/>
  <c r="E21" i="22" s="1"/>
  <c r="E100" i="22"/>
  <c r="J8" i="22"/>
  <c r="I8" i="22"/>
  <c r="E9" i="10"/>
  <c r="E14" i="10" s="1"/>
  <c r="E25" i="10" s="1"/>
  <c r="C19" i="10"/>
  <c r="D14" i="10"/>
  <c r="D25" i="10" s="1"/>
  <c r="F47" i="15"/>
  <c r="F48" i="15" s="1"/>
  <c r="F55" i="15" s="1"/>
  <c r="H179" i="22"/>
  <c r="F194" i="18"/>
  <c r="F177" i="22"/>
  <c r="I177" i="22"/>
  <c r="F192" i="18"/>
  <c r="F27" i="18" s="1"/>
  <c r="F73" i="15"/>
  <c r="F78" i="15" s="1"/>
  <c r="E105" i="15"/>
  <c r="H177" i="22"/>
  <c r="F99" i="15"/>
  <c r="F105" i="15" s="1"/>
  <c r="J177" i="22"/>
  <c r="D194" i="18"/>
  <c r="D179" i="22"/>
  <c r="E3" i="15"/>
  <c r="E177" i="22"/>
  <c r="F25" i="15"/>
  <c r="E104" i="18"/>
  <c r="G97" i="22"/>
  <c r="S59" i="30" l="1"/>
  <c r="T59" i="30" s="1"/>
  <c r="U59" i="30" s="1"/>
  <c r="R61" i="30"/>
  <c r="R52" i="30"/>
  <c r="D6" i="34"/>
  <c r="K11" i="1"/>
  <c r="L11" i="1" s="1"/>
  <c r="M11" i="1" s="1"/>
  <c r="E6" i="34" s="1"/>
  <c r="P16" i="30"/>
  <c r="Q14" i="30"/>
  <c r="Q16" i="30" s="1"/>
  <c r="Q31" i="30"/>
  <c r="Q37" i="30" s="1"/>
  <c r="H13" i="30"/>
  <c r="K33" i="60"/>
  <c r="L32" i="60"/>
  <c r="M32" i="60" s="1"/>
  <c r="AK32" i="30" s="1"/>
  <c r="H34" i="60"/>
  <c r="I33" i="60"/>
  <c r="Q54" i="30"/>
  <c r="F143" i="18"/>
  <c r="Q61" i="30"/>
  <c r="Q66" i="30" s="1"/>
  <c r="J12" i="22"/>
  <c r="J21" i="22"/>
  <c r="F105" i="22"/>
  <c r="F12" i="22" s="1"/>
  <c r="J105" i="22"/>
  <c r="E105" i="22"/>
  <c r="E12" i="22" s="1"/>
  <c r="E34" i="18"/>
  <c r="F73" i="18"/>
  <c r="M7" i="22"/>
  <c r="F109" i="18"/>
  <c r="F36" i="18" s="1"/>
  <c r="F39" i="18" s="1"/>
  <c r="H102" i="22"/>
  <c r="N10" i="22" s="1"/>
  <c r="I97" i="22"/>
  <c r="J97" i="22"/>
  <c r="F97" i="22"/>
  <c r="E97" i="22"/>
  <c r="F197" i="18"/>
  <c r="H182" i="22"/>
  <c r="H29" i="22" s="1"/>
  <c r="H97" i="22"/>
  <c r="F104" i="18"/>
  <c r="H6" i="15"/>
  <c r="H1" i="15" s="1"/>
  <c r="E4" i="15"/>
  <c r="F3" i="15"/>
  <c r="F4" i="15" s="1"/>
  <c r="G179" i="22"/>
  <c r="D182" i="22"/>
  <c r="D29" i="22" s="1"/>
  <c r="D36" i="22" s="1"/>
  <c r="E194" i="18"/>
  <c r="D36" i="18"/>
  <c r="D39" i="18" s="1"/>
  <c r="D197" i="18"/>
  <c r="V59" i="30" l="1"/>
  <c r="I13" i="30"/>
  <c r="R14" i="30"/>
  <c r="S52" i="30"/>
  <c r="I34" i="60"/>
  <c r="H35" i="60"/>
  <c r="L33" i="60"/>
  <c r="M33" i="60" s="1"/>
  <c r="AL32" i="30" s="1"/>
  <c r="K34" i="60"/>
  <c r="R31" i="30"/>
  <c r="R37" i="30" s="1"/>
  <c r="R54" i="30"/>
  <c r="R66" i="30"/>
  <c r="H105" i="22"/>
  <c r="H12" i="22" s="1"/>
  <c r="H36" i="22" s="1"/>
  <c r="N26" i="22" s="1"/>
  <c r="F112" i="18"/>
  <c r="E179" i="22"/>
  <c r="E182" i="22" s="1"/>
  <c r="E29" i="22" s="1"/>
  <c r="E36" i="22" s="1"/>
  <c r="J179" i="22"/>
  <c r="J182" i="22" s="1"/>
  <c r="I179" i="22"/>
  <c r="I182" i="22" s="1"/>
  <c r="F179" i="22"/>
  <c r="M10" i="22"/>
  <c r="M11" i="22" s="1"/>
  <c r="M13" i="22" s="1"/>
  <c r="G182" i="22"/>
  <c r="G29" i="22" s="1"/>
  <c r="E36" i="18"/>
  <c r="E197" i="18"/>
  <c r="W59" i="30" l="1"/>
  <c r="X59" i="30" s="1"/>
  <c r="Y59" i="30" s="1"/>
  <c r="Z59" i="30" s="1"/>
  <c r="AA59" i="30" s="1"/>
  <c r="AB59" i="30" s="1"/>
  <c r="AC59" i="30" s="1"/>
  <c r="AD59" i="30" s="1"/>
  <c r="AE59" i="30" s="1"/>
  <c r="AF59" i="30" s="1"/>
  <c r="AG59" i="30" s="1"/>
  <c r="AH59" i="30" s="1"/>
  <c r="AI59" i="30" s="1"/>
  <c r="AJ59" i="30" s="1"/>
  <c r="R16" i="30"/>
  <c r="K18" i="1"/>
  <c r="L18" i="1" s="1"/>
  <c r="M18" i="1" s="1"/>
  <c r="E13" i="34" s="1"/>
  <c r="D13" i="34"/>
  <c r="S54" i="30"/>
  <c r="T52" i="30"/>
  <c r="S14" i="30"/>
  <c r="S31" i="30"/>
  <c r="S37" i="30" s="1"/>
  <c r="S61" i="30"/>
  <c r="S66" i="30" s="1"/>
  <c r="H36" i="60"/>
  <c r="I36" i="60" s="1"/>
  <c r="I35" i="60"/>
  <c r="K35" i="60"/>
  <c r="L34" i="60"/>
  <c r="M34" i="60" s="1"/>
  <c r="AM32" i="30" s="1"/>
  <c r="N7" i="22"/>
  <c r="O7" i="22" s="1"/>
  <c r="F182" i="22"/>
  <c r="F29" i="22" s="1"/>
  <c r="F36" i="22" s="1"/>
  <c r="G36" i="18"/>
  <c r="G39" i="18" s="1"/>
  <c r="E39" i="18"/>
  <c r="J29" i="22"/>
  <c r="J36" i="22" s="1"/>
  <c r="I29" i="22"/>
  <c r="I36" i="22" s="1"/>
  <c r="G36" i="22"/>
  <c r="N30" i="22" s="1"/>
  <c r="U52" i="30" l="1"/>
  <c r="H7" i="30"/>
  <c r="H25" i="30"/>
  <c r="I25" i="30" s="1"/>
  <c r="K37" i="1" s="1"/>
  <c r="L37" i="1" s="1"/>
  <c r="M37" i="1" s="1"/>
  <c r="E22" i="34" s="1"/>
  <c r="I26" i="30"/>
  <c r="K38" i="1" s="1"/>
  <c r="L38" i="1" s="1"/>
  <c r="M38" i="1" s="1"/>
  <c r="E23" i="34" s="1"/>
  <c r="S16" i="30"/>
  <c r="H11" i="30"/>
  <c r="I11" i="30" s="1"/>
  <c r="K16" i="1" s="1"/>
  <c r="L16" i="1" s="1"/>
  <c r="M16" i="1" s="1"/>
  <c r="E11" i="34" s="1"/>
  <c r="H10" i="30"/>
  <c r="I10" i="30" s="1"/>
  <c r="K15" i="1" s="1"/>
  <c r="L15" i="1" s="1"/>
  <c r="M15" i="1" s="1"/>
  <c r="E10" i="34" s="1"/>
  <c r="T54" i="30"/>
  <c r="T61" i="30"/>
  <c r="T66" i="30" s="1"/>
  <c r="T31" i="30"/>
  <c r="T14" i="30"/>
  <c r="K36" i="60"/>
  <c r="L36" i="60" s="1"/>
  <c r="L35" i="60"/>
  <c r="M35" i="60" s="1"/>
  <c r="AN32" i="30" s="1"/>
  <c r="I37" i="60"/>
  <c r="H30" i="30"/>
  <c r="I30" i="30" s="1"/>
  <c r="V52" i="30" l="1"/>
  <c r="K42" i="1"/>
  <c r="L42" i="1" s="1"/>
  <c r="M42" i="1" s="1"/>
  <c r="E27" i="34" s="1"/>
  <c r="D27" i="34"/>
  <c r="L37" i="60"/>
  <c r="M36" i="60"/>
  <c r="I7" i="30"/>
  <c r="K12" i="1" s="1"/>
  <c r="T16" i="30"/>
  <c r="D23" i="34"/>
  <c r="D22" i="34"/>
  <c r="D10" i="34"/>
  <c r="D11" i="34"/>
  <c r="V14" i="30"/>
  <c r="U61" i="30"/>
  <c r="U66" i="30" s="1"/>
  <c r="U54" i="30"/>
  <c r="U31" i="30"/>
  <c r="U14" i="30"/>
  <c r="U16" i="30" s="1"/>
  <c r="AO32" i="30" l="1"/>
  <c r="H32" i="30" s="1"/>
  <c r="I32" i="30" s="1"/>
  <c r="K47" i="1" s="1"/>
  <c r="L47" i="1" s="1"/>
  <c r="M47" i="1" s="1"/>
  <c r="D7" i="34"/>
  <c r="W14" i="30"/>
  <c r="L12" i="1"/>
  <c r="M12" i="1" s="1"/>
  <c r="E7" i="34" s="1"/>
  <c r="V31" i="30"/>
  <c r="V37" i="30" s="1"/>
  <c r="V61" i="30"/>
  <c r="V66" i="30" s="1"/>
  <c r="V16" i="30"/>
  <c r="W52" i="30"/>
  <c r="V54" i="30"/>
  <c r="X14" i="30" l="1"/>
  <c r="W16" i="30"/>
  <c r="W61" i="30"/>
  <c r="W66" i="30" s="1"/>
  <c r="W54" i="30"/>
  <c r="W31" i="30"/>
  <c r="W37" i="30" s="1"/>
  <c r="X52" i="30"/>
  <c r="X54" i="30" s="1"/>
  <c r="X31" i="30" l="1"/>
  <c r="X37" i="30" s="1"/>
  <c r="Y14" i="30"/>
  <c r="X61" i="30"/>
  <c r="X66" i="30" s="1"/>
  <c r="X16" i="30"/>
  <c r="Y52" i="30"/>
  <c r="Y54" i="30" s="1"/>
  <c r="Y16" i="30" l="1"/>
  <c r="Z14" i="30"/>
  <c r="Y31" i="30"/>
  <c r="Y37" i="30" s="1"/>
  <c r="Y61" i="30"/>
  <c r="Z52" i="30"/>
  <c r="Z31" i="30" l="1"/>
  <c r="Z16" i="30"/>
  <c r="AA14" i="30"/>
  <c r="Z61" i="30"/>
  <c r="Z54" i="30"/>
  <c r="AA52" i="30"/>
  <c r="AA54" i="30" s="1"/>
  <c r="AA16" i="30" l="1"/>
  <c r="AA61" i="30"/>
  <c r="AA66" i="30" s="1"/>
  <c r="AA31" i="30"/>
  <c r="AB14" i="30"/>
  <c r="AB16" i="30" s="1"/>
  <c r="AB52" i="30"/>
  <c r="AB54" i="30" s="1"/>
  <c r="AB61" i="30" l="1"/>
  <c r="AB66" i="30" s="1"/>
  <c r="AB31" i="30"/>
  <c r="AB37" i="30" s="1"/>
  <c r="AC14" i="30"/>
  <c r="AC61" i="30" l="1"/>
  <c r="AC66" i="30" s="1"/>
  <c r="AC31" i="30"/>
  <c r="AC37" i="30" s="1"/>
  <c r="AD14" i="30"/>
  <c r="AC16" i="30"/>
  <c r="AC52" i="30"/>
  <c r="AC54" i="30" s="1"/>
  <c r="AD52" i="30"/>
  <c r="AD54" i="30" s="1"/>
  <c r="AD16" i="30" l="1"/>
  <c r="AD31" i="30"/>
  <c r="AD37" i="30" s="1"/>
  <c r="AD61" i="30"/>
  <c r="AD66" i="30" s="1"/>
  <c r="H58" i="30"/>
  <c r="AE14" i="30"/>
  <c r="H22" i="30"/>
  <c r="AE16" i="30" l="1"/>
  <c r="AE31" i="30"/>
  <c r="AE37" i="30" s="1"/>
  <c r="AF31" i="30"/>
  <c r="AE61" i="30"/>
  <c r="AE66" i="30" s="1"/>
  <c r="AF14" i="30"/>
  <c r="AF52" i="30"/>
  <c r="AF54" i="30" s="1"/>
  <c r="AE52" i="30"/>
  <c r="AE54" i="30" s="1"/>
  <c r="I58" i="30"/>
  <c r="I22" i="30"/>
  <c r="K34" i="1" s="1"/>
  <c r="L34" i="1" s="1"/>
  <c r="M34" i="1" s="1"/>
  <c r="E19" i="34" s="1"/>
  <c r="AF61" i="30" l="1"/>
  <c r="AF66" i="30" s="1"/>
  <c r="AF16" i="30"/>
  <c r="AG14" i="30"/>
  <c r="AG31" i="30"/>
  <c r="K91" i="1"/>
  <c r="L91" i="1" s="1"/>
  <c r="M91" i="1" s="1"/>
  <c r="E41" i="34" s="1"/>
  <c r="D19" i="34"/>
  <c r="D41" i="34"/>
  <c r="AG61" i="30" l="1"/>
  <c r="AG66" i="30" s="1"/>
  <c r="AG16" i="30"/>
  <c r="AH31" i="30"/>
  <c r="AH14" i="30"/>
  <c r="AH16" i="30" s="1"/>
  <c r="AG52" i="30"/>
  <c r="AG54" i="30" s="1"/>
  <c r="AH61" i="30" l="1"/>
  <c r="AH66" i="30" s="1"/>
  <c r="AI31" i="30"/>
  <c r="AI14" i="30"/>
  <c r="AH37" i="30"/>
  <c r="AH52" i="30"/>
  <c r="AH54" i="30" s="1"/>
  <c r="AI61" i="30" l="1"/>
  <c r="AI66" i="30" s="1"/>
  <c r="AJ31" i="30"/>
  <c r="AJ14" i="30"/>
  <c r="AI16" i="30"/>
  <c r="AI52" i="30"/>
  <c r="AI54" i="30" s="1"/>
  <c r="AI37" i="30"/>
  <c r="H59" i="30"/>
  <c r="I59" i="30" s="1"/>
  <c r="AJ61" i="30" l="1"/>
  <c r="AJ66" i="30" s="1"/>
  <c r="AJ37" i="30"/>
  <c r="AK14" i="30"/>
  <c r="AK31" i="30"/>
  <c r="AJ16" i="30"/>
  <c r="K92" i="1"/>
  <c r="L92" i="1" s="1"/>
  <c r="M92" i="1" s="1"/>
  <c r="E42" i="34" s="1"/>
  <c r="AJ52" i="30"/>
  <c r="AJ54" i="30" s="1"/>
  <c r="AK52" i="30"/>
  <c r="AK54" i="30" s="1"/>
  <c r="D42" i="34"/>
  <c r="AK16" i="30" l="1"/>
  <c r="AK61" i="30"/>
  <c r="AK66" i="30" s="1"/>
  <c r="AK37" i="30"/>
  <c r="AL14" i="30"/>
  <c r="AL31" i="30"/>
  <c r="AL52" i="30"/>
  <c r="AM31" i="30" l="1"/>
  <c r="AL16" i="30"/>
  <c r="AM14" i="30"/>
  <c r="AM16" i="30" s="1"/>
  <c r="AL61" i="30"/>
  <c r="AL66" i="30" s="1"/>
  <c r="AM52" i="30"/>
  <c r="AM54" i="30" s="1"/>
  <c r="AL54" i="30"/>
  <c r="AM61" i="30" l="1"/>
  <c r="AM66" i="30" s="1"/>
  <c r="AN14" i="30"/>
  <c r="AN52" i="30"/>
  <c r="AN54" i="30" s="1"/>
  <c r="AN31" i="30"/>
  <c r="H27" i="30"/>
  <c r="I27" i="30" s="1"/>
  <c r="K39" i="1" s="1"/>
  <c r="L39" i="1" s="1"/>
  <c r="M39" i="1" s="1"/>
  <c r="E24" i="34" s="1"/>
  <c r="H29" i="30"/>
  <c r="I29" i="30" s="1"/>
  <c r="K41" i="1" s="1"/>
  <c r="L41" i="1" s="1"/>
  <c r="M41" i="1" s="1"/>
  <c r="E26" i="34" s="1"/>
  <c r="H20" i="30"/>
  <c r="I20" i="30" s="1"/>
  <c r="K32" i="1" s="1"/>
  <c r="L32" i="1" s="1"/>
  <c r="M32" i="1" s="1"/>
  <c r="E17" i="34" s="1"/>
  <c r="AN61" i="30" l="1"/>
  <c r="H57" i="30"/>
  <c r="H60" i="30"/>
  <c r="I60" i="30" s="1"/>
  <c r="H19" i="30"/>
  <c r="AN16" i="30"/>
  <c r="H35" i="30"/>
  <c r="I35" i="30" s="1"/>
  <c r="K50" i="1" s="1"/>
  <c r="L50" i="1" s="1"/>
  <c r="M50" i="1" s="1"/>
  <c r="AN66" i="30"/>
  <c r="H34" i="30"/>
  <c r="I34" i="30" s="1"/>
  <c r="K49" i="1" s="1"/>
  <c r="L49" i="1" s="1"/>
  <c r="M49" i="1" s="1"/>
  <c r="H42" i="30"/>
  <c r="I42" i="30" s="1"/>
  <c r="K61" i="1" s="1"/>
  <c r="L61" i="1" s="1"/>
  <c r="M61" i="1" s="1"/>
  <c r="E32" i="34" s="1"/>
  <c r="H15" i="30"/>
  <c r="H62" i="30"/>
  <c r="I62" i="30" s="1"/>
  <c r="K98" i="1" s="1"/>
  <c r="L98" i="1" s="1"/>
  <c r="M98" i="1" s="1"/>
  <c r="H41" i="30"/>
  <c r="I41" i="30" s="1"/>
  <c r="K60" i="1" s="1"/>
  <c r="L60" i="1" s="1"/>
  <c r="M60" i="1" s="1"/>
  <c r="E31" i="34" s="1"/>
  <c r="H44" i="30"/>
  <c r="I44" i="30" s="1"/>
  <c r="D34" i="34" s="1"/>
  <c r="H51" i="30"/>
  <c r="I51" i="30" s="1"/>
  <c r="D37" i="34" s="1"/>
  <c r="AN37" i="30"/>
  <c r="H36" i="30"/>
  <c r="I36" i="30" s="1"/>
  <c r="K51" i="1" s="1"/>
  <c r="L51" i="1" s="1"/>
  <c r="M51" i="1" s="1"/>
  <c r="D17" i="34"/>
  <c r="D24" i="34"/>
  <c r="AO14" i="30"/>
  <c r="H14" i="30" s="1"/>
  <c r="I14" i="30" s="1"/>
  <c r="H8" i="30"/>
  <c r="I8" i="30" s="1"/>
  <c r="K77" i="1" l="1"/>
  <c r="L77" i="1" s="1"/>
  <c r="AO31" i="30"/>
  <c r="AO61" i="30"/>
  <c r="H61" i="30" s="1"/>
  <c r="I61" i="30" s="1"/>
  <c r="K95" i="1" s="1"/>
  <c r="L95" i="1" s="1"/>
  <c r="M95" i="1" s="1"/>
  <c r="D32" i="34"/>
  <c r="K63" i="1"/>
  <c r="L63" i="1" s="1"/>
  <c r="M63" i="1" s="1"/>
  <c r="E34" i="34" s="1"/>
  <c r="D31" i="34"/>
  <c r="AO52" i="30"/>
  <c r="H52" i="30" s="1"/>
  <c r="H54" i="30" s="1"/>
  <c r="K20" i="1"/>
  <c r="L20" i="1" s="1"/>
  <c r="M20" i="1" s="1"/>
  <c r="I57" i="30"/>
  <c r="K93" i="1"/>
  <c r="L93" i="1" s="1"/>
  <c r="M93" i="1" s="1"/>
  <c r="E43" i="34" s="1"/>
  <c r="H31" i="30"/>
  <c r="I31" i="30" s="1"/>
  <c r="K44" i="1" s="1"/>
  <c r="L44" i="1" s="1"/>
  <c r="M44" i="1" s="1"/>
  <c r="K13" i="1"/>
  <c r="H16" i="30"/>
  <c r="I15" i="30"/>
  <c r="D26" i="34"/>
  <c r="AO37" i="30"/>
  <c r="AO16" i="30"/>
  <c r="D43" i="34"/>
  <c r="D8" i="34"/>
  <c r="I19" i="30"/>
  <c r="K90" i="1" l="1"/>
  <c r="L78" i="1"/>
  <c r="M78" i="1" s="1"/>
  <c r="E38" i="34" s="1"/>
  <c r="M77" i="1"/>
  <c r="E37" i="34" s="1"/>
  <c r="AO66" i="30"/>
  <c r="K78" i="1"/>
  <c r="D38" i="34" s="1"/>
  <c r="I52" i="30"/>
  <c r="I54" i="30" s="1"/>
  <c r="AO54" i="30"/>
  <c r="K23" i="1"/>
  <c r="L23" i="1" s="1"/>
  <c r="L13" i="1"/>
  <c r="M13" i="1" s="1"/>
  <c r="E8" i="34" s="1"/>
  <c r="K19" i="1"/>
  <c r="K31" i="1"/>
  <c r="K94" i="1"/>
  <c r="L90" i="1"/>
  <c r="M90" i="1" s="1"/>
  <c r="E40" i="34" s="1"/>
  <c r="D40" i="34"/>
  <c r="D16" i="34"/>
  <c r="M23" i="1" l="1"/>
  <c r="K79" i="1"/>
  <c r="L79" i="1" s="1"/>
  <c r="K24" i="1"/>
  <c r="K96" i="1"/>
  <c r="K21" i="1"/>
  <c r="L94" i="1"/>
  <c r="K43" i="1"/>
  <c r="L31" i="1"/>
  <c r="M31" i="1" s="1"/>
  <c r="E16" i="34" s="1"/>
  <c r="L19" i="1"/>
  <c r="L24" i="1"/>
  <c r="M24" i="1" s="1"/>
  <c r="H64" i="30"/>
  <c r="L96" i="1" l="1"/>
  <c r="M96" i="1" s="1"/>
  <c r="M94" i="1"/>
  <c r="E44" i="34" s="1"/>
  <c r="L21" i="1"/>
  <c r="M21" i="1" s="1"/>
  <c r="M19" i="1"/>
  <c r="E14" i="34" s="1"/>
  <c r="L80" i="1"/>
  <c r="M79" i="1"/>
  <c r="K80" i="1"/>
  <c r="K84" i="1" s="1"/>
  <c r="K25" i="1"/>
  <c r="K45" i="1"/>
  <c r="D28" i="34"/>
  <c r="L25" i="1"/>
  <c r="M25" i="1" s="1"/>
  <c r="I64" i="30"/>
  <c r="L43" i="1"/>
  <c r="AM37" i="30"/>
  <c r="AL37" i="30"/>
  <c r="AG37" i="30"/>
  <c r="AF37" i="30"/>
  <c r="AA37" i="30"/>
  <c r="Z37" i="30"/>
  <c r="U37" i="30"/>
  <c r="T37" i="30"/>
  <c r="O37" i="30"/>
  <c r="I33" i="30"/>
  <c r="N37" i="30"/>
  <c r="L84" i="1" l="1"/>
  <c r="M84" i="1" s="1"/>
  <c r="M80" i="1"/>
  <c r="L45" i="1"/>
  <c r="M45" i="1" s="1"/>
  <c r="M43" i="1"/>
  <c r="E28" i="34" s="1"/>
  <c r="K100" i="1"/>
  <c r="K48" i="1"/>
  <c r="H37" i="30"/>
  <c r="K52" i="1" l="1"/>
  <c r="L48" i="1"/>
  <c r="L100" i="1"/>
  <c r="M100" i="1" s="1"/>
  <c r="I37" i="30"/>
  <c r="J65" i="1"/>
  <c r="D40" i="30"/>
  <c r="F40" i="30" s="1"/>
  <c r="M48" i="1" l="1"/>
  <c r="L52" i="1"/>
  <c r="K53" i="1"/>
  <c r="F48" i="30"/>
  <c r="L40" i="30"/>
  <c r="M40" i="30" s="1"/>
  <c r="N40" i="30" s="1"/>
  <c r="O40" i="30" s="1"/>
  <c r="P40" i="30" s="1"/>
  <c r="Q40" i="30" s="1"/>
  <c r="R40" i="30" s="1"/>
  <c r="S40" i="30" s="1"/>
  <c r="T40" i="30" s="1"/>
  <c r="U40" i="30" s="1"/>
  <c r="V40" i="30" s="1"/>
  <c r="W40" i="30" s="1"/>
  <c r="X40" i="30" s="1"/>
  <c r="Y40" i="30" s="1"/>
  <c r="Z40" i="30" s="1"/>
  <c r="AA40" i="30" s="1"/>
  <c r="AB40" i="30" s="1"/>
  <c r="AC40" i="30" s="1"/>
  <c r="AD40" i="30" s="1"/>
  <c r="AE40" i="30" s="1"/>
  <c r="AF40" i="30" s="1"/>
  <c r="AG40" i="30" s="1"/>
  <c r="AH40" i="30" s="1"/>
  <c r="AI40" i="30" s="1"/>
  <c r="AJ40" i="30" s="1"/>
  <c r="AK40" i="30" s="1"/>
  <c r="AL40" i="30" s="1"/>
  <c r="AM40" i="30" s="1"/>
  <c r="AN40" i="30" s="1"/>
  <c r="AO40" i="30" s="1"/>
  <c r="J66" i="1"/>
  <c r="J71" i="1" s="1"/>
  <c r="L53" i="1" l="1"/>
  <c r="M53" i="1" s="1"/>
  <c r="M52" i="1"/>
  <c r="AH45" i="30"/>
  <c r="AH48" i="30" s="1"/>
  <c r="AH68" i="30" s="1"/>
  <c r="AH70" i="30" s="1"/>
  <c r="O45" i="30"/>
  <c r="O48" i="30" s="1"/>
  <c r="O68" i="30" s="1"/>
  <c r="O70" i="30" s="1"/>
  <c r="S45" i="30"/>
  <c r="S48" i="30" s="1"/>
  <c r="S68" i="30" s="1"/>
  <c r="S70" i="30" s="1"/>
  <c r="AC45" i="30"/>
  <c r="AC48" i="30" s="1"/>
  <c r="AC68" i="30" s="1"/>
  <c r="AC70" i="30" s="1"/>
  <c r="AG45" i="30"/>
  <c r="AG48" i="30" s="1"/>
  <c r="AG68" i="30" s="1"/>
  <c r="AG70" i="30" s="1"/>
  <c r="AM45" i="30"/>
  <c r="AM48" i="30" s="1"/>
  <c r="AM68" i="30" s="1"/>
  <c r="AM70" i="30" s="1"/>
  <c r="AN45" i="30"/>
  <c r="AN48" i="30" s="1"/>
  <c r="AN68" i="30" s="1"/>
  <c r="AN70" i="30" s="1"/>
  <c r="T45" i="30"/>
  <c r="T48" i="30" s="1"/>
  <c r="T68" i="30" s="1"/>
  <c r="T70" i="30" s="1"/>
  <c r="AL45" i="30"/>
  <c r="AL48" i="30" s="1"/>
  <c r="AL68" i="30" s="1"/>
  <c r="AL70" i="30" s="1"/>
  <c r="AB45" i="30"/>
  <c r="AB48" i="30" s="1"/>
  <c r="AB68" i="30" s="1"/>
  <c r="AB70" i="30" s="1"/>
  <c r="U45" i="30"/>
  <c r="U48" i="30" s="1"/>
  <c r="U68" i="30" s="1"/>
  <c r="U70" i="30" s="1"/>
  <c r="AD45" i="30"/>
  <c r="AD48" i="30" s="1"/>
  <c r="AD68" i="30" s="1"/>
  <c r="AD70" i="30" s="1"/>
  <c r="AI45" i="30"/>
  <c r="AI48" i="30" s="1"/>
  <c r="AI68" i="30" s="1"/>
  <c r="AI70" i="30" s="1"/>
  <c r="M45" i="30"/>
  <c r="M48" i="30" s="1"/>
  <c r="M68" i="30" s="1"/>
  <c r="M70" i="30" s="1"/>
  <c r="V45" i="30"/>
  <c r="V48" i="30" s="1"/>
  <c r="V68" i="30" s="1"/>
  <c r="V70" i="30" s="1"/>
  <c r="L45" i="30"/>
  <c r="L48" i="30" s="1"/>
  <c r="L68" i="30" s="1"/>
  <c r="L70" i="30" s="1"/>
  <c r="H40" i="30"/>
  <c r="AO45" i="30"/>
  <c r="AO48" i="30" s="1"/>
  <c r="AO68" i="30" s="1"/>
  <c r="AO70" i="30" s="1"/>
  <c r="W45" i="30"/>
  <c r="W48" i="30" s="1"/>
  <c r="W68" i="30" s="1"/>
  <c r="W70" i="30" s="1"/>
  <c r="AE45" i="30"/>
  <c r="AE48" i="30" s="1"/>
  <c r="AE68" i="30" s="1"/>
  <c r="AE70" i="30" s="1"/>
  <c r="AJ45" i="30"/>
  <c r="AJ48" i="30" s="1"/>
  <c r="AJ68" i="30" s="1"/>
  <c r="AJ70" i="30" s="1"/>
  <c r="X45" i="30"/>
  <c r="X48" i="30" s="1"/>
  <c r="X68" i="30" s="1"/>
  <c r="X70" i="30" s="1"/>
  <c r="P45" i="30"/>
  <c r="P48" i="30" s="1"/>
  <c r="P68" i="30" s="1"/>
  <c r="P70" i="30" s="1"/>
  <c r="Y45" i="30"/>
  <c r="Y48" i="30" s="1"/>
  <c r="N45" i="30"/>
  <c r="N48" i="30" s="1"/>
  <c r="N68" i="30" s="1"/>
  <c r="N70" i="30" s="1"/>
  <c r="Q45" i="30"/>
  <c r="Q48" i="30" s="1"/>
  <c r="Q68" i="30" s="1"/>
  <c r="Q70" i="30" s="1"/>
  <c r="AA45" i="30"/>
  <c r="AA48" i="30" s="1"/>
  <c r="AA68" i="30" s="1"/>
  <c r="AA70" i="30" s="1"/>
  <c r="AF45" i="30"/>
  <c r="AF48" i="30" s="1"/>
  <c r="AF68" i="30" s="1"/>
  <c r="AF70" i="30" s="1"/>
  <c r="AK45" i="30"/>
  <c r="AK48" i="30" s="1"/>
  <c r="AK68" i="30" s="1"/>
  <c r="AK70" i="30" s="1"/>
  <c r="Z45" i="30"/>
  <c r="Z48" i="30" s="1"/>
  <c r="R45" i="30"/>
  <c r="R48" i="30" s="1"/>
  <c r="R68" i="30" s="1"/>
  <c r="R70" i="30" s="1"/>
  <c r="I47" i="67" l="1"/>
  <c r="N47" i="67"/>
  <c r="I45" i="67"/>
  <c r="N45" i="67"/>
  <c r="I51" i="67"/>
  <c r="N51" i="67"/>
  <c r="N50" i="67"/>
  <c r="I50" i="67"/>
  <c r="N69" i="67"/>
  <c r="O69" i="67" s="1"/>
  <c r="I69" i="67"/>
  <c r="N58" i="67"/>
  <c r="I58" i="67"/>
  <c r="N46" i="67"/>
  <c r="I46" i="67"/>
  <c r="N53" i="67"/>
  <c r="I53" i="67"/>
  <c r="N70" i="67"/>
  <c r="I70" i="67"/>
  <c r="N42" i="67"/>
  <c r="I42" i="67"/>
  <c r="N57" i="67"/>
  <c r="I57" i="67"/>
  <c r="I48" i="67"/>
  <c r="N48" i="67"/>
  <c r="N66" i="67"/>
  <c r="I66" i="67"/>
  <c r="I43" i="67"/>
  <c r="N43" i="67"/>
  <c r="N65" i="67"/>
  <c r="I65" i="67"/>
  <c r="I64" i="67"/>
  <c r="N64" i="67"/>
  <c r="I67" i="67"/>
  <c r="N67" i="67"/>
  <c r="I68" i="67"/>
  <c r="N68" i="67"/>
  <c r="N44" i="67"/>
  <c r="I44" i="67"/>
  <c r="I56" i="67"/>
  <c r="N56" i="67"/>
  <c r="I52" i="67"/>
  <c r="N52" i="67"/>
  <c r="N61" i="67"/>
  <c r="I61" i="67"/>
  <c r="I60" i="67"/>
  <c r="N60" i="67"/>
  <c r="N41" i="67"/>
  <c r="I41" i="67"/>
  <c r="J41" i="67" s="1"/>
  <c r="I59" i="67"/>
  <c r="N59" i="67"/>
  <c r="N49" i="67"/>
  <c r="I49" i="67"/>
  <c r="N62" i="67"/>
  <c r="I62" i="67"/>
  <c r="I63" i="67"/>
  <c r="N63" i="67"/>
  <c r="H45" i="30"/>
  <c r="I45" i="30" s="1"/>
  <c r="I40" i="30"/>
  <c r="K59" i="1" s="1"/>
  <c r="K41" i="67" l="1"/>
  <c r="J65" i="67"/>
  <c r="K65" i="67"/>
  <c r="K45" i="67"/>
  <c r="J45" i="67"/>
  <c r="K49" i="67"/>
  <c r="J49" i="67"/>
  <c r="P52" i="67"/>
  <c r="O52" i="67"/>
  <c r="K44" i="67"/>
  <c r="J44" i="67"/>
  <c r="J70" i="67"/>
  <c r="K70" i="67"/>
  <c r="J46" i="67"/>
  <c r="K46" i="67"/>
  <c r="J50" i="67"/>
  <c r="K50" i="67"/>
  <c r="K63" i="67"/>
  <c r="J63" i="67"/>
  <c r="O49" i="67"/>
  <c r="P49" i="67"/>
  <c r="K52" i="67"/>
  <c r="J52" i="67"/>
  <c r="P65" i="67"/>
  <c r="O65" i="67"/>
  <c r="O57" i="67"/>
  <c r="P57" i="67"/>
  <c r="O70" i="67"/>
  <c r="P70" i="67"/>
  <c r="O46" i="67"/>
  <c r="P46" i="67"/>
  <c r="O58" i="67"/>
  <c r="P58" i="67"/>
  <c r="O50" i="67"/>
  <c r="P50" i="67"/>
  <c r="J62" i="67"/>
  <c r="K62" i="67"/>
  <c r="P59" i="67"/>
  <c r="O59" i="67"/>
  <c r="O60" i="67"/>
  <c r="P60" i="67"/>
  <c r="K61" i="67"/>
  <c r="J61" i="67"/>
  <c r="P56" i="67"/>
  <c r="O56" i="67"/>
  <c r="P68" i="67"/>
  <c r="O68" i="67"/>
  <c r="P64" i="67"/>
  <c r="O64" i="67"/>
  <c r="O43" i="67"/>
  <c r="P43" i="67"/>
  <c r="P48" i="67"/>
  <c r="O48" i="67"/>
  <c r="K42" i="67"/>
  <c r="J42" i="67"/>
  <c r="K53" i="67"/>
  <c r="J53" i="67"/>
  <c r="J69" i="67"/>
  <c r="K69" i="67"/>
  <c r="P51" i="67"/>
  <c r="O51" i="67"/>
  <c r="P47" i="67"/>
  <c r="O47" i="67"/>
  <c r="P63" i="67"/>
  <c r="O63" i="67"/>
  <c r="P67" i="67"/>
  <c r="O67" i="67"/>
  <c r="J66" i="67"/>
  <c r="K66" i="67"/>
  <c r="K57" i="67"/>
  <c r="J57" i="67"/>
  <c r="J58" i="67"/>
  <c r="K58" i="67"/>
  <c r="P45" i="67"/>
  <c r="O45" i="67"/>
  <c r="O41" i="67"/>
  <c r="P41" i="67"/>
  <c r="O44" i="67"/>
  <c r="P44" i="67"/>
  <c r="K67" i="67"/>
  <c r="J67" i="67"/>
  <c r="O66" i="67"/>
  <c r="P66" i="67"/>
  <c r="O62" i="67"/>
  <c r="P62" i="67"/>
  <c r="K59" i="67"/>
  <c r="J59" i="67"/>
  <c r="K60" i="67"/>
  <c r="J60" i="67"/>
  <c r="O61" i="67"/>
  <c r="P61" i="67"/>
  <c r="K56" i="67"/>
  <c r="J56" i="67"/>
  <c r="K68" i="67"/>
  <c r="J68" i="67"/>
  <c r="K64" i="67"/>
  <c r="J64" i="67"/>
  <c r="K43" i="67"/>
  <c r="J43" i="67"/>
  <c r="K48" i="67"/>
  <c r="J48" i="67"/>
  <c r="O42" i="67"/>
  <c r="P42" i="67"/>
  <c r="P53" i="67"/>
  <c r="O53" i="67"/>
  <c r="P69" i="67"/>
  <c r="K51" i="67"/>
  <c r="J51" i="67"/>
  <c r="K47" i="67"/>
  <c r="J47" i="67"/>
  <c r="K65" i="1"/>
  <c r="L65" i="1" s="1"/>
  <c r="M65" i="1" s="1"/>
  <c r="D46" i="34"/>
  <c r="K64" i="1"/>
  <c r="L59" i="1"/>
  <c r="M59" i="1" s="1"/>
  <c r="E30" i="34" s="1"/>
  <c r="H48" i="30"/>
  <c r="D30" i="34"/>
  <c r="I48" i="30" l="1"/>
  <c r="K66" i="1"/>
  <c r="K71" i="1" s="1"/>
  <c r="D35" i="34"/>
  <c r="D45" i="34" s="1"/>
  <c r="D47" i="34" s="1"/>
  <c r="L64" i="1"/>
  <c r="F4" i="1"/>
  <c r="Y66" i="30"/>
  <c r="Y68" i="30" s="1"/>
  <c r="Z66" i="30"/>
  <c r="Z68" i="30" s="1"/>
  <c r="H65" i="30"/>
  <c r="I65" i="30" s="1"/>
  <c r="N54" i="67" l="1"/>
  <c r="P54" i="67" s="1"/>
  <c r="Y70" i="30"/>
  <c r="K101" i="1"/>
  <c r="K102" i="1" s="1"/>
  <c r="I66" i="30"/>
  <c r="I68" i="30" s="1"/>
  <c r="L66" i="1"/>
  <c r="M64" i="1"/>
  <c r="E35" i="34" s="1"/>
  <c r="E45" i="34"/>
  <c r="I55" i="67"/>
  <c r="K55" i="67" s="1"/>
  <c r="Z70" i="30"/>
  <c r="N55" i="67"/>
  <c r="O55" i="67" s="1"/>
  <c r="H66" i="30"/>
  <c r="O54" i="67"/>
  <c r="D50" i="34"/>
  <c r="D51" i="34" s="1"/>
  <c r="D53" i="34" s="1"/>
  <c r="D57" i="34" s="1"/>
  <c r="P55" i="67"/>
  <c r="I54" i="67"/>
  <c r="L101" i="1" l="1"/>
  <c r="J55" i="67"/>
  <c r="E46" i="34"/>
  <c r="E47" i="34" s="1"/>
  <c r="M101" i="1"/>
  <c r="E50" i="34"/>
  <c r="E51" i="34" s="1"/>
  <c r="H68" i="30"/>
  <c r="I9" i="66" s="1"/>
  <c r="L71" i="1"/>
  <c r="M71" i="1" s="1"/>
  <c r="M66" i="1"/>
  <c r="U48" i="67"/>
  <c r="G4" i="1"/>
  <c r="H4" i="1" s="1"/>
  <c r="E57" i="34" s="1"/>
  <c r="K103" i="1"/>
  <c r="J54" i="67"/>
  <c r="K54" i="67"/>
  <c r="L102" i="1"/>
  <c r="T49" i="67"/>
  <c r="U49" i="67"/>
  <c r="T48" i="67" l="1"/>
  <c r="E53" i="34"/>
  <c r="L103" i="1"/>
  <c r="M102" i="1"/>
  <c r="I4" i="1" l="1"/>
  <c r="M103"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6" authorId="0" shapeId="0" xr:uid="{00000000-0006-0000-0700-000001000000}">
      <text>
        <r>
          <rPr>
            <b/>
            <sz val="9"/>
            <color indexed="81"/>
            <rFont val="Tahoma"/>
            <family val="2"/>
          </rPr>
          <t>author:</t>
        </r>
        <r>
          <rPr>
            <sz val="9"/>
            <color indexed="81"/>
            <rFont val="Tahoma"/>
            <family val="2"/>
          </rPr>
          <t xml:space="preserve">
Edwards 2013 - Investing in Nature</t>
        </r>
      </text>
    </comment>
    <comment ref="F6" authorId="0" shapeId="0" xr:uid="{00000000-0006-0000-0700-000002000000}">
      <text>
        <r>
          <rPr>
            <b/>
            <sz val="9"/>
            <color indexed="81"/>
            <rFont val="Tahoma"/>
            <family val="2"/>
          </rPr>
          <t>author:</t>
        </r>
        <r>
          <rPr>
            <sz val="9"/>
            <color indexed="81"/>
            <rFont val="Tahoma"/>
            <family val="2"/>
          </rPr>
          <t xml:space="preserve">
Edwards 2013 - Investing in Nature</t>
        </r>
      </text>
    </comment>
    <comment ref="E44" authorId="0" shapeId="0" xr:uid="{00000000-0006-0000-0700-000003000000}">
      <text>
        <r>
          <rPr>
            <b/>
            <sz val="9"/>
            <color indexed="81"/>
            <rFont val="Tahoma"/>
            <family val="2"/>
          </rPr>
          <t>author:</t>
        </r>
        <r>
          <rPr>
            <sz val="9"/>
            <color indexed="81"/>
            <rFont val="Tahoma"/>
            <family val="2"/>
          </rPr>
          <t xml:space="preserve">
Edwards 2013 - Investing in Nature</t>
        </r>
      </text>
    </comment>
    <comment ref="F44" authorId="0" shapeId="0" xr:uid="{00000000-0006-0000-0700-000004000000}">
      <text>
        <r>
          <rPr>
            <b/>
            <sz val="9"/>
            <color indexed="81"/>
            <rFont val="Tahoma"/>
            <family val="2"/>
          </rPr>
          <t>author:</t>
        </r>
        <r>
          <rPr>
            <sz val="9"/>
            <color indexed="81"/>
            <rFont val="Tahoma"/>
            <family val="2"/>
          </rPr>
          <t xml:space="preserve">
Edwards 2013 - Investing in Nature</t>
        </r>
      </text>
    </comment>
    <comment ref="E75" authorId="0" shapeId="0" xr:uid="{00000000-0006-0000-0700-000005000000}">
      <text>
        <r>
          <rPr>
            <b/>
            <sz val="9"/>
            <color indexed="81"/>
            <rFont val="Tahoma"/>
            <family val="2"/>
          </rPr>
          <t>author:</t>
        </r>
        <r>
          <rPr>
            <sz val="9"/>
            <color indexed="81"/>
            <rFont val="Tahoma"/>
            <family val="2"/>
          </rPr>
          <t xml:space="preserve">
Edwards 2013 - Investing in Nature</t>
        </r>
      </text>
    </comment>
    <comment ref="F75" authorId="0" shapeId="0" xr:uid="{00000000-0006-0000-0700-000006000000}">
      <text>
        <r>
          <rPr>
            <b/>
            <sz val="9"/>
            <color indexed="81"/>
            <rFont val="Tahoma"/>
            <family val="2"/>
          </rPr>
          <t>author:</t>
        </r>
        <r>
          <rPr>
            <sz val="9"/>
            <color indexed="81"/>
            <rFont val="Tahoma"/>
            <family val="2"/>
          </rPr>
          <t xml:space="preserve">
Edwards 2013 - Investing in Nature</t>
        </r>
      </text>
    </comment>
    <comment ref="E110" authorId="0" shapeId="0" xr:uid="{00000000-0006-0000-0700-000007000000}">
      <text>
        <r>
          <rPr>
            <b/>
            <sz val="9"/>
            <color indexed="81"/>
            <rFont val="Tahoma"/>
            <family val="2"/>
          </rPr>
          <t>author:</t>
        </r>
        <r>
          <rPr>
            <sz val="9"/>
            <color indexed="81"/>
            <rFont val="Tahoma"/>
            <family val="2"/>
          </rPr>
          <t xml:space="preserve">
Edwards 2013 - Investing in Nature</t>
        </r>
      </text>
    </comment>
    <comment ref="F110" authorId="0" shapeId="0" xr:uid="{00000000-0006-0000-0700-000008000000}">
      <text>
        <r>
          <rPr>
            <b/>
            <sz val="9"/>
            <color indexed="81"/>
            <rFont val="Tahoma"/>
            <family val="2"/>
          </rPr>
          <t>author:</t>
        </r>
        <r>
          <rPr>
            <sz val="9"/>
            <color indexed="81"/>
            <rFont val="Tahoma"/>
            <family val="2"/>
          </rPr>
          <t xml:space="preserve">
Edwards 2013 - Investing in Nature</t>
        </r>
      </text>
    </comment>
    <comment ref="E137" authorId="0" shapeId="0" xr:uid="{00000000-0006-0000-0700-000009000000}">
      <text>
        <r>
          <rPr>
            <b/>
            <sz val="9"/>
            <color indexed="81"/>
            <rFont val="Tahoma"/>
            <family val="2"/>
          </rPr>
          <t>author:</t>
        </r>
        <r>
          <rPr>
            <sz val="9"/>
            <color indexed="81"/>
            <rFont val="Tahoma"/>
            <family val="2"/>
          </rPr>
          <t xml:space="preserve">
Edwards 2013 - Investing in Nature</t>
        </r>
      </text>
    </comment>
    <comment ref="F137" authorId="0" shapeId="0" xr:uid="{00000000-0006-0000-0700-00000A000000}">
      <text>
        <r>
          <rPr>
            <b/>
            <sz val="9"/>
            <color indexed="81"/>
            <rFont val="Tahoma"/>
            <family val="2"/>
          </rPr>
          <t>author:</t>
        </r>
        <r>
          <rPr>
            <sz val="9"/>
            <color indexed="81"/>
            <rFont val="Tahoma"/>
            <family val="2"/>
          </rPr>
          <t xml:space="preserve">
Edwards 2013 - Investing in Nature</t>
        </r>
      </text>
    </comment>
    <comment ref="E156" authorId="0" shapeId="0" xr:uid="{00000000-0006-0000-0700-00000B000000}">
      <text>
        <r>
          <rPr>
            <b/>
            <sz val="9"/>
            <color indexed="81"/>
            <rFont val="Tahoma"/>
            <family val="2"/>
          </rPr>
          <t>author:</t>
        </r>
        <r>
          <rPr>
            <sz val="9"/>
            <color indexed="81"/>
            <rFont val="Tahoma"/>
            <family val="2"/>
          </rPr>
          <t xml:space="preserve">
Edwards 2013 - Investing in Nature</t>
        </r>
      </text>
    </comment>
    <comment ref="F156" authorId="0" shapeId="0" xr:uid="{00000000-0006-0000-0700-00000C000000}">
      <text>
        <r>
          <rPr>
            <b/>
            <sz val="9"/>
            <color indexed="81"/>
            <rFont val="Tahoma"/>
            <family val="2"/>
          </rPr>
          <t>author:</t>
        </r>
        <r>
          <rPr>
            <sz val="9"/>
            <color indexed="81"/>
            <rFont val="Tahoma"/>
            <family val="2"/>
          </rPr>
          <t xml:space="preserve">
Edwards 2013 - Investing in Nature</t>
        </r>
      </text>
    </comment>
    <comment ref="E187" authorId="0" shapeId="0" xr:uid="{00000000-0006-0000-0700-00000D000000}">
      <text>
        <r>
          <rPr>
            <b/>
            <sz val="9"/>
            <color indexed="81"/>
            <rFont val="Tahoma"/>
            <family val="2"/>
          </rPr>
          <t>author:</t>
        </r>
        <r>
          <rPr>
            <sz val="9"/>
            <color indexed="81"/>
            <rFont val="Tahoma"/>
            <family val="2"/>
          </rPr>
          <t xml:space="preserve">
Edwards 2013 - Investing in Nature</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6" authorId="0" shapeId="0" xr:uid="{00000000-0006-0000-0900-000001000000}">
      <text>
        <r>
          <rPr>
            <b/>
            <sz val="9"/>
            <color indexed="81"/>
            <rFont val="Tahoma"/>
            <family val="2"/>
          </rPr>
          <t>author:</t>
        </r>
        <r>
          <rPr>
            <sz val="9"/>
            <color indexed="81"/>
            <rFont val="Tahoma"/>
            <family val="2"/>
          </rPr>
          <t xml:space="preserve">
$1 668 711 @ end 2015, http://www.abs.gov.au/AUSSTATS/abs@.nsf/mf/1345.0?opendocument?opendocument#from-banner=LN </t>
        </r>
      </text>
    </comment>
    <comment ref="E16" authorId="0" shapeId="0" xr:uid="{00000000-0006-0000-0900-000002000000}">
      <text>
        <r>
          <rPr>
            <b/>
            <sz val="9"/>
            <color indexed="81"/>
            <rFont val="Tahoma"/>
            <family val="2"/>
          </rPr>
          <t>author:</t>
        </r>
        <r>
          <rPr>
            <sz val="9"/>
            <color indexed="81"/>
            <rFont val="Tahoma"/>
            <family val="2"/>
          </rPr>
          <t xml:space="preserve">
$1 668 711 @ end 2015, http://www.abs.gov.au/AUSSTATS/abs@.nsf/mf/1345.0?opendocument?opendocument#from-banner=LN </t>
        </r>
      </text>
    </comment>
    <comment ref="E38" authorId="0" shapeId="0" xr:uid="{00000000-0006-0000-0900-000003000000}">
      <text>
        <r>
          <rPr>
            <b/>
            <sz val="9"/>
            <color indexed="81"/>
            <rFont val="Tahoma"/>
            <family val="2"/>
          </rPr>
          <t>author:</t>
        </r>
        <r>
          <rPr>
            <sz val="9"/>
            <color indexed="81"/>
            <rFont val="Tahoma"/>
            <family val="2"/>
          </rPr>
          <t xml:space="preserve">
Explanation of screen options and estimated costs: Small Pump Screens (200-300mm) - 4 pumps x 5 catchments @$15,000 each; Large Pump Screen (150ML/d) 2 @ $700,000; Farmer Screen TM (300ML/d) 2@ $1million; Brush Vertical Panel Screen 1@ $1million; Vertical Travelling Belt 1@ $1million</t>
        </r>
      </text>
    </comment>
    <comment ref="C39" authorId="0" shapeId="0" xr:uid="{00000000-0006-0000-0900-000004000000}">
      <text>
        <r>
          <rPr>
            <b/>
            <sz val="9"/>
            <color indexed="81"/>
            <rFont val="Tahoma"/>
            <family val="2"/>
          </rPr>
          <t>author:</t>
        </r>
        <r>
          <rPr>
            <sz val="9"/>
            <color indexed="81"/>
            <rFont val="Tahoma"/>
            <family val="2"/>
          </rPr>
          <t xml:space="preserve">
This is MDB only. According to NWI 2014 A 2012 investigation of the levels of stress in Australia’s water systems revealed that several systems were
under high levels of stress and were thus likely to be at a high level of risk of overallocation or overuse. Of the
10 surface water systems in this category, six were inside the Murray–Darling Basin and therefore required to be
managed to the sustainable diversion limits (SDLs) defined by the Basin plan by 2019. Of the four surface water
systems with high levels of stress outside of the Murray–Darling Basin, all had water planning arrangements in
place including extraction limits and environmental watering arrangements. Likewise, all 44 of the most stressed
groundwater management units had water plans in place or in draft20.
Outside the Murray–Darling Basin, water recovery efforts have been limited to a small number of systems where
overallocation or overuse has been identified by the relevant jurisdiction. In most of these cases pathways have
been developed with substantial community input to enable a return to sustainable levels of extraction. While
the timeframes for full implementation of these pathways often remains unclear, interim arrangements such as
annual allocations have generally enabled extractions to be managed within targeted limits (NWC 2013b).
</t>
        </r>
      </text>
    </comment>
    <comment ref="E39" authorId="0" shapeId="0" xr:uid="{00000000-0006-0000-0900-000005000000}">
      <text>
        <r>
          <rPr>
            <b/>
            <sz val="9"/>
            <color indexed="81"/>
            <rFont val="Tahoma"/>
            <family val="2"/>
          </rPr>
          <t>author:</t>
        </r>
        <r>
          <rPr>
            <sz val="9"/>
            <color indexed="81"/>
            <rFont val="Tahoma"/>
            <family val="2"/>
          </rPr>
          <t xml:space="preserve">
Includes cost of tech</t>
        </r>
      </text>
    </comment>
    <comment ref="C41" authorId="0" shapeId="0" xr:uid="{00000000-0006-0000-0900-000006000000}">
      <text>
        <r>
          <rPr>
            <b/>
            <sz val="9"/>
            <color indexed="81"/>
            <rFont val="Tahoma"/>
            <family val="2"/>
          </rPr>
          <t>author:</t>
        </r>
        <r>
          <rPr>
            <sz val="9"/>
            <color indexed="81"/>
            <rFont val="Tahoma"/>
            <family val="2"/>
          </rPr>
          <t xml:space="preserve">
Estimated (GAB - 150 in QLd, 150 in NSW, 50 in SA)
</t>
        </r>
      </text>
    </comment>
    <comment ref="E41" authorId="0" shapeId="0" xr:uid="{00000000-0006-0000-0900-000007000000}">
      <text>
        <r>
          <rPr>
            <b/>
            <sz val="9"/>
            <color indexed="81"/>
            <rFont val="Tahoma"/>
            <family val="2"/>
          </rPr>
          <t>author:</t>
        </r>
        <r>
          <rPr>
            <sz val="9"/>
            <color indexed="81"/>
            <rFont val="Tahoma"/>
            <family val="2"/>
          </rPr>
          <t xml:space="preserve">
Ranges from 10k to 1m, 245k is the most commonly cited cost</t>
        </r>
      </text>
    </comment>
    <comment ref="G41" authorId="0" shapeId="0" xr:uid="{00000000-0006-0000-0900-000008000000}">
      <text>
        <r>
          <rPr>
            <b/>
            <sz val="9"/>
            <color indexed="81"/>
            <rFont val="Tahoma"/>
            <family val="2"/>
          </rPr>
          <t>author:</t>
        </r>
        <r>
          <rPr>
            <sz val="9"/>
            <color indexed="81"/>
            <rFont val="Tahoma"/>
            <family val="2"/>
          </rPr>
          <t xml:space="preserve">
Takes into account $15m committed to GABI 4</t>
        </r>
      </text>
    </comment>
    <comment ref="C42" authorId="0" shapeId="0" xr:uid="{00000000-0006-0000-0900-000009000000}">
      <text>
        <r>
          <rPr>
            <b/>
            <sz val="9"/>
            <color indexed="81"/>
            <rFont val="Tahoma"/>
            <family val="2"/>
          </rPr>
          <t>author:</t>
        </r>
        <r>
          <rPr>
            <sz val="9"/>
            <color indexed="81"/>
            <rFont val="Tahoma"/>
            <family val="2"/>
          </rPr>
          <t xml:space="preserve">
Estimated 10,000 km based on 2013 report and others for GAB
</t>
        </r>
      </text>
    </comment>
    <comment ref="C43" authorId="0" shapeId="0" xr:uid="{00000000-0006-0000-0900-00000A000000}">
      <text>
        <r>
          <rPr>
            <b/>
            <sz val="9"/>
            <color indexed="81"/>
            <rFont val="Tahoma"/>
            <family val="2"/>
          </rPr>
          <t>author:</t>
        </r>
        <r>
          <rPr>
            <sz val="9"/>
            <color indexed="81"/>
            <rFont val="Tahoma"/>
            <family val="2"/>
          </rPr>
          <t xml:space="preserve">
Existing building stock until end 2016. 90% assumed to be already restrofitted. 40% assumed to be units @ 40% of the cost. Assume new units will be required to have WSUD.</t>
        </r>
      </text>
    </comment>
    <comment ref="I55" authorId="0" shapeId="0" xr:uid="{00000000-0006-0000-0900-00000B000000}">
      <text>
        <r>
          <rPr>
            <b/>
            <sz val="9"/>
            <color indexed="81"/>
            <rFont val="Tahoma"/>
            <family val="2"/>
          </rPr>
          <t xml:space="preserve">author: </t>
        </r>
        <r>
          <rPr>
            <sz val="9"/>
            <color indexed="81"/>
            <rFont val="Tahoma"/>
            <family val="2"/>
          </rPr>
          <t>2016 avg expected to be 1.3%</t>
        </r>
      </text>
    </comment>
    <comment ref="I78" authorId="0" shapeId="0" xr:uid="{00000000-0006-0000-0900-00000C000000}">
      <text>
        <r>
          <rPr>
            <b/>
            <sz val="9"/>
            <color indexed="81"/>
            <rFont val="Tahoma"/>
            <family val="2"/>
          </rPr>
          <t xml:space="preserve">author: </t>
        </r>
        <r>
          <rPr>
            <sz val="9"/>
            <color indexed="81"/>
            <rFont val="Tahoma"/>
            <family val="2"/>
          </rPr>
          <t>2016 avg expected to be 1.3%</t>
        </r>
      </text>
    </comment>
    <comment ref="B81" authorId="0" shapeId="0" xr:uid="{00000000-0006-0000-0900-00000D000000}">
      <text>
        <r>
          <rPr>
            <b/>
            <sz val="9"/>
            <color indexed="81"/>
            <rFont val="Tahoma"/>
            <family val="2"/>
          </rPr>
          <t>author:</t>
        </r>
        <r>
          <rPr>
            <sz val="9"/>
            <color indexed="81"/>
            <rFont val="Tahoma"/>
            <family val="2"/>
          </rPr>
          <t xml:space="preserve">
Negative balances, signifying soil nutrient depletion, existed in
major regions of Queensland (all nutrients); the Victorian
Wimmera (nitrogen, phosphorus and potassium); and parts of
northern New South Wales and the Riverina (phosphorus). To gain
a more precise spatial understanding of these findings, further
regional scale investigations would be required.</t>
        </r>
      </text>
    </comment>
    <comment ref="E82" authorId="0" shapeId="0" xr:uid="{00000000-0006-0000-0900-00000E000000}">
      <text>
        <r>
          <rPr>
            <b/>
            <sz val="9"/>
            <color indexed="81"/>
            <rFont val="Tahoma"/>
            <family val="2"/>
          </rPr>
          <t>author:</t>
        </r>
        <r>
          <rPr>
            <sz val="9"/>
            <color indexed="81"/>
            <rFont val="Tahoma"/>
            <family val="2"/>
          </rPr>
          <t xml:space="preserve">
https://www.agric.wa.gov.au/soil-acidity/comparing-limes?page=0%2C2</t>
        </r>
      </text>
    </comment>
    <comment ref="C86" authorId="0" shapeId="0" xr:uid="{00000000-0006-0000-0900-00000F000000}">
      <text>
        <r>
          <rPr>
            <b/>
            <sz val="9"/>
            <color indexed="81"/>
            <rFont val="Tahoma"/>
            <family val="2"/>
          </rPr>
          <t>author:</t>
        </r>
        <r>
          <rPr>
            <sz val="9"/>
            <color indexed="81"/>
            <rFont val="Tahoma"/>
            <family val="2"/>
          </rPr>
          <t xml:space="preserve">
http://www.abs.gov.au/ausstats/abs@.nsf/Lookup/7106.0Main+Features22013 </t>
        </r>
      </text>
    </comment>
    <comment ref="E91" authorId="0" shapeId="0" xr:uid="{00000000-0006-0000-0900-000010000000}">
      <text>
        <r>
          <rPr>
            <b/>
            <sz val="9"/>
            <color indexed="81"/>
            <rFont val="Tahoma"/>
            <family val="2"/>
          </rPr>
          <t>author:</t>
        </r>
        <r>
          <rPr>
            <sz val="9"/>
            <color indexed="81"/>
            <rFont val="Tahoma"/>
            <family val="2"/>
          </rPr>
          <t xml:space="preserve">
per tonne lime spread
https://www.agric.wa.gov.au/soil-acidity/comparing-limes?page=0%2C2</t>
        </r>
      </text>
    </comment>
    <comment ref="I100" authorId="0" shapeId="0" xr:uid="{00000000-0006-0000-0900-000011000000}">
      <text>
        <r>
          <rPr>
            <b/>
            <sz val="9"/>
            <color indexed="81"/>
            <rFont val="Tahoma"/>
            <family val="2"/>
          </rPr>
          <t xml:space="preserve">author: </t>
        </r>
        <r>
          <rPr>
            <sz val="9"/>
            <color indexed="81"/>
            <rFont val="Tahoma"/>
            <family val="2"/>
          </rPr>
          <t>2016 avg expected to be 1.3%</t>
        </r>
      </text>
    </comment>
    <comment ref="E102" authorId="0" shapeId="0" xr:uid="{00000000-0006-0000-0900-000012000000}">
      <text>
        <r>
          <rPr>
            <b/>
            <sz val="9"/>
            <color indexed="81"/>
            <rFont val="Tahoma"/>
            <family val="2"/>
          </rPr>
          <t>author:</t>
        </r>
        <r>
          <rPr>
            <sz val="9"/>
            <color indexed="81"/>
            <rFont val="Tahoma"/>
            <family val="2"/>
          </rPr>
          <t xml:space="preserve">
Ranges from 10k to 200k</t>
        </r>
      </text>
    </comment>
    <comment ref="I120" authorId="0" shapeId="0" xr:uid="{00000000-0006-0000-0900-000013000000}">
      <text>
        <r>
          <rPr>
            <b/>
            <sz val="9"/>
            <color indexed="81"/>
            <rFont val="Tahoma"/>
            <family val="2"/>
          </rPr>
          <t xml:space="preserve">author: </t>
        </r>
        <r>
          <rPr>
            <sz val="9"/>
            <color indexed="81"/>
            <rFont val="Tahoma"/>
            <family val="2"/>
          </rPr>
          <t>2016 avg expected to be 1.3%</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D38" authorId="0" shapeId="0" xr:uid="{00000000-0006-0000-0A00-000001000000}">
      <text>
        <r>
          <rPr>
            <b/>
            <sz val="9"/>
            <color indexed="81"/>
            <rFont val="Tahoma"/>
            <family val="2"/>
          </rPr>
          <t xml:space="preserve">author: </t>
        </r>
        <r>
          <rPr>
            <sz val="9"/>
            <color indexed="81"/>
            <rFont val="Tahoma"/>
            <family val="2"/>
          </rPr>
          <t>2016 avg expected to be 1.3%</t>
        </r>
      </text>
    </comment>
    <comment ref="C43" authorId="0" shapeId="0" xr:uid="{00000000-0006-0000-0A00-000002000000}">
      <text>
        <r>
          <rPr>
            <b/>
            <sz val="9"/>
            <color indexed="81"/>
            <rFont val="Tahoma"/>
            <family val="2"/>
          </rPr>
          <t>author:</t>
        </r>
        <r>
          <rPr>
            <sz val="9"/>
            <color indexed="81"/>
            <rFont val="Tahoma"/>
            <family val="2"/>
          </rPr>
          <t xml:space="preserve">
http://www.aph.gov.au/Parliamentary_Business/Committees/Senate/Environment_and_Communications/MiningandResources </t>
        </r>
      </text>
    </comment>
    <comment ref="D58" authorId="0" shapeId="0" xr:uid="{00000000-0006-0000-0A00-000003000000}">
      <text>
        <r>
          <rPr>
            <b/>
            <sz val="9"/>
            <color indexed="81"/>
            <rFont val="Tahoma"/>
            <family val="2"/>
          </rPr>
          <t xml:space="preserve">author: </t>
        </r>
        <r>
          <rPr>
            <sz val="9"/>
            <color indexed="81"/>
            <rFont val="Tahoma"/>
            <family val="2"/>
          </rPr>
          <t>2016 avg expected to be 1.3%</t>
        </r>
      </text>
    </comment>
    <comment ref="D81" authorId="0" shapeId="0" xr:uid="{00000000-0006-0000-0A00-000004000000}">
      <text>
        <r>
          <rPr>
            <b/>
            <sz val="9"/>
            <color indexed="81"/>
            <rFont val="Tahoma"/>
            <family val="2"/>
          </rPr>
          <t xml:space="preserve">author: </t>
        </r>
        <r>
          <rPr>
            <sz val="9"/>
            <color indexed="81"/>
            <rFont val="Tahoma"/>
            <family val="2"/>
          </rPr>
          <t>2016 avg expected to be 1.3%</t>
        </r>
      </text>
    </comment>
    <comment ref="C88" authorId="0" shapeId="0" xr:uid="{00000000-0006-0000-0A00-000005000000}">
      <text>
        <r>
          <rPr>
            <b/>
            <sz val="9"/>
            <color indexed="81"/>
            <rFont val="Tahoma"/>
            <family val="2"/>
          </rPr>
          <t>author:</t>
        </r>
        <r>
          <rPr>
            <sz val="9"/>
            <color indexed="81"/>
            <rFont val="Tahoma"/>
            <family val="2"/>
          </rPr>
          <t xml:space="preserve">
Oyster beds in South Australia (Heidi Alloway), need to be treated first, marine NRM (?)
</t>
        </r>
      </text>
    </comment>
    <comment ref="D108" authorId="0" shapeId="0" xr:uid="{00000000-0006-0000-0A00-000006000000}">
      <text>
        <r>
          <rPr>
            <b/>
            <sz val="9"/>
            <color indexed="81"/>
            <rFont val="Tahoma"/>
            <family val="2"/>
          </rPr>
          <t xml:space="preserve">author: </t>
        </r>
        <r>
          <rPr>
            <sz val="9"/>
            <color indexed="81"/>
            <rFont val="Tahoma"/>
            <family val="2"/>
          </rPr>
          <t>2016 avg expected to be 1.3%</t>
        </r>
      </text>
    </comment>
    <comment ref="C111" authorId="0" shapeId="0" xr:uid="{00000000-0006-0000-0A00-000007000000}">
      <text>
        <r>
          <rPr>
            <b/>
            <sz val="9"/>
            <color indexed="81"/>
            <rFont val="Tahoma"/>
            <family val="2"/>
          </rPr>
          <t>author:</t>
        </r>
        <r>
          <rPr>
            <sz val="9"/>
            <color indexed="81"/>
            <rFont val="Tahoma"/>
            <family val="2"/>
          </rPr>
          <t xml:space="preserve">
http://environmentalenhancements.com/index.html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tc={16D7CA6A-D539-4864-920F-E5F2CF03ECD7}</author>
  </authors>
  <commentList>
    <comment ref="I11" authorId="0" shapeId="0" xr:uid="{16D7CA6A-D539-4864-920F-E5F2CF03ECD7}">
      <text>
        <t>[Threaded comment]
Your version of Excel allows you to read this threaded comment; however, any edits to it will get removed if the file is opened in a newer version of Excel. Learn more: https://go.microsoft.com/fwlink/?linkid=870924
Comment:
    Note: Lime application varies across the landscape depending on pH requirements. See worksheet for detailed calculation.</t>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tc={01176D8A-AF42-49AC-86E3-53A67F3A1784}</author>
  </authors>
  <commentList>
    <comment ref="F12" authorId="0" shapeId="0" xr:uid="{01176D8A-AF42-49AC-86E3-53A67F3A1784}">
      <text>
        <t>[Threaded comment]
Your version of Excel allows you to read this threaded comment; however, any edits to it will get removed if the file is opened in a newer version of Excel. Learn more: https://go.microsoft.com/fwlink/?linkid=870924
Comment:
    Average cost across land requiring pH 4.8 and pH 5.5.</t>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tc={BD5A71A7-787A-4E13-9CE9-E52BB7617635}</author>
    <author>tc={445B8547-8546-4D08-A2A3-D95955A54378}</author>
    <author>tc={3BA496A2-185B-45B6-A988-F47CDCB7A20E}</author>
  </authors>
  <commentList>
    <comment ref="F8" authorId="0" shapeId="0" xr:uid="{BD5A71A7-787A-4E13-9CE9-E52BB7617635}">
      <text>
        <t>[Threaded comment]
Your version of Excel allows you to read this threaded comment; however, any edits to it will get removed if the file is opened in a newer version of Excel. Learn more: https://go.microsoft.com/fwlink/?linkid=870924
Comment:
    Average cost across VAST 3 and 5 classifications</t>
      </text>
    </comment>
    <comment ref="F11" authorId="1" shapeId="0" xr:uid="{445B8547-8546-4D08-A2A3-D95955A54378}">
      <text>
        <t>[Threaded comment]
Your version of Excel allows you to read this threaded comment; however, any edits to it will get removed if the file is opened in a newer version of Excel. Learn more: https://go.microsoft.com/fwlink/?linkid=870924
Comment:
    Average cost across Australia</t>
      </text>
    </comment>
    <comment ref="F14" authorId="2" shapeId="0" xr:uid="{3BA496A2-185B-45B6-A988-F47CDCB7A20E}">
      <text>
        <t>[Threaded comment]
Your version of Excel allows you to read this threaded comment; however, any edits to it will get removed if the file is opened in a newer version of Excel. Learn more: https://go.microsoft.com/fwlink/?linkid=870924
Comment:
    Average cost across Australia</t>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tc={88F08450-8758-4E26-BF14-133FCC47239C}</author>
    <author>tc={368D921E-5A65-45F7-88EF-DC78207CF2AE}</author>
    <author>tc={E4794F33-B0AA-44E3-8B11-A96C16DC8480}</author>
  </authors>
  <commentList>
    <comment ref="L32" authorId="0" shapeId="0" xr:uid="{88F08450-8758-4E26-BF14-133FCC47239C}">
      <text>
        <t>[Threaded comment]
Your version of Excel allows you to read this threaded comment; however, any edits to it will get removed if the file is opened in a newer version of Excel. Learn more: https://go.microsoft.com/fwlink/?linkid=870924
Comment:
    Accounts for annual accumulation of planted area. Inflation already applied (see OpEx spreadsheet)</t>
      </text>
    </comment>
    <comment ref="L46" authorId="1" shapeId="0" xr:uid="{368D921E-5A65-45F7-88EF-DC78207CF2AE}">
      <text>
        <t>[Threaded comment]
Your version of Excel allows you to read this threaded comment; however, any edits to it will get removed if the file is opened in a newer version of Excel. Learn more: https://go.microsoft.com/fwlink/?linkid=870924
Comment:
    Accounts for annual accumulation of planted area. Inflation already applied (see OpEx spreadsheet)</t>
      </text>
    </comment>
    <comment ref="L47" authorId="2" shapeId="0" xr:uid="{E4794F33-B0AA-44E3-8B11-A96C16DC8480}">
      <text>
        <t>[Threaded comment]
Your version of Excel allows you to read this threaded comment; however, any edits to it will get removed if the file is opened in a newer version of Excel. Learn more: https://go.microsoft.com/fwlink/?linkid=870924
Comment:
    Accounts for annual accumulation of managed area. Inflation already applied (see OpEx spreadsheet)</t>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K19" authorId="0" shapeId="0" xr:uid="{2EBEEC63-5309-47C4-A4F7-2893BF49C0A3}">
      <text>
        <r>
          <rPr>
            <b/>
            <sz val="9"/>
            <color indexed="81"/>
            <rFont val="Tahoma"/>
            <family val="2"/>
          </rPr>
          <t>author:</t>
        </r>
        <r>
          <rPr>
            <sz val="9"/>
            <color indexed="81"/>
            <rFont val="Tahoma"/>
            <family val="2"/>
          </rPr>
          <t xml:space="preserve">
Maggini, R, Kujala, H, Taylor, MFJ, Lee, JR, Possingham, HP, Wintle, BA &amp; Fuller, RA 2013, Protecting and restoring habitat to help Australia’s threatened species adapt to climate change, National Climate Change Adaptation Research Facility, Gold Coast, 54 pp</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<sst xmlns="http://schemas.openxmlformats.org/spreadsheetml/2006/main" count="3561" uniqueCount="1413">
  <si>
    <t>Total</t>
  </si>
  <si>
    <t>Years to complete</t>
  </si>
  <si>
    <t>Avg. cost per annum</t>
  </si>
  <si>
    <t>TC</t>
  </si>
  <si>
    <t>Transaction Costs</t>
  </si>
  <si>
    <t>Annual</t>
  </si>
  <si>
    <t>Other</t>
  </si>
  <si>
    <t>NRM Region</t>
  </si>
  <si>
    <t>Fitzroy</t>
  </si>
  <si>
    <t>Maranoa Balonne and Border Rivers</t>
  </si>
  <si>
    <t>Glenelg Hopkins</t>
  </si>
  <si>
    <t>Central West</t>
  </si>
  <si>
    <t>South East</t>
  </si>
  <si>
    <t>Murray</t>
  </si>
  <si>
    <t>Riverina</t>
  </si>
  <si>
    <t>Port Phillip and Western Port</t>
  </si>
  <si>
    <t>North West NSW</t>
  </si>
  <si>
    <t>Central Tablelands</t>
  </si>
  <si>
    <t>Avon River Basin</t>
  </si>
  <si>
    <t>Burdekin</t>
  </si>
  <si>
    <t>West Gippsland</t>
  </si>
  <si>
    <t>Burnett Mary</t>
  </si>
  <si>
    <t>Eyre Peninsula</t>
  </si>
  <si>
    <t>Corangamite</t>
  </si>
  <si>
    <t>North East</t>
  </si>
  <si>
    <t>North Central</t>
  </si>
  <si>
    <t>Condamine</t>
  </si>
  <si>
    <t>Goulburn Broken</t>
  </si>
  <si>
    <t>Northern Tablelands</t>
  </si>
  <si>
    <t>Wimmera</t>
  </si>
  <si>
    <t>South West Queensland</t>
  </si>
  <si>
    <t>Northern Agricultural Region</t>
  </si>
  <si>
    <t>South East NSW</t>
  </si>
  <si>
    <t>Adelaide and Mount Lofty Ranges</t>
  </si>
  <si>
    <t>South West Region</t>
  </si>
  <si>
    <t>Peel-Harvey Region</t>
  </si>
  <si>
    <t>Northern and Yorke</t>
  </si>
  <si>
    <t>North NRM Region</t>
  </si>
  <si>
    <t>South Australian Murray Darling Basin</t>
  </si>
  <si>
    <t>Western</t>
  </si>
  <si>
    <t>Kangaroo Island</t>
  </si>
  <si>
    <t>South East Queensland</t>
  </si>
  <si>
    <t>South Coast Region</t>
  </si>
  <si>
    <t>Desert Channels</t>
  </si>
  <si>
    <t>North West NRM Region</t>
  </si>
  <si>
    <t>Swan Region</t>
  </si>
  <si>
    <t>Mallee</t>
  </si>
  <si>
    <t>Rangelands Region</t>
  </si>
  <si>
    <t>East Gippsland</t>
  </si>
  <si>
    <t>North Coast</t>
  </si>
  <si>
    <t>Mackay Whitsunday</t>
  </si>
  <si>
    <t>South NRM Region</t>
  </si>
  <si>
    <t>ACT</t>
  </si>
  <si>
    <t>South Australian Arid Lands</t>
  </si>
  <si>
    <t>Northern Territory</t>
  </si>
  <si>
    <t>Wet Tropics</t>
  </si>
  <si>
    <t>Hunter</t>
  </si>
  <si>
    <t>Southern Gulf</t>
  </si>
  <si>
    <t>Alinytjara Wilurara</t>
  </si>
  <si>
    <t>Greater Sydney</t>
  </si>
  <si>
    <t>Cape York</t>
  </si>
  <si>
    <t>Torres Strait</t>
  </si>
  <si>
    <t>Co-operative Management Area</t>
  </si>
  <si>
    <t>State</t>
  </si>
  <si>
    <t>Extent of riparian veg to be restored  (km)</t>
  </si>
  <si>
    <t>No. of new jobs required to do this work in this region</t>
  </si>
  <si>
    <t>No. of new jobs required to do this work in this region (per annum)</t>
  </si>
  <si>
    <t>Carbon sequestration potential (tCO2)</t>
  </si>
  <si>
    <t>Carbon revenue at $15/tCO2 (2016$)</t>
  </si>
  <si>
    <t>Avg. carbon revenue per hectare restored, at $15/tCO2 (2016$)</t>
  </si>
  <si>
    <t>Carbon revenue at $30/tCO2 (2016$)</t>
  </si>
  <si>
    <t>Avg. carbon revenue per hectare restored, at $30/tCO2 (2016$)</t>
  </si>
  <si>
    <t>%</t>
  </si>
  <si>
    <t>Notes</t>
  </si>
  <si>
    <t>QLD</t>
  </si>
  <si>
    <t>NSW</t>
  </si>
  <si>
    <t>VIC</t>
  </si>
  <si>
    <t>SA</t>
  </si>
  <si>
    <t>WA</t>
  </si>
  <si>
    <t>NT</t>
  </si>
  <si>
    <t>TAS</t>
  </si>
  <si>
    <t>Degraded land &amp; water restoration and conservation activities proposed by the report</t>
  </si>
  <si>
    <t>Assumed extent of land/ no. farms covered by $ estimates</t>
  </si>
  <si>
    <t>49 million ha</t>
  </si>
  <si>
    <t>250,000 ha</t>
  </si>
  <si>
    <t>6,500kms</t>
  </si>
  <si>
    <t>318,500kms</t>
  </si>
  <si>
    <t>400,000 ha</t>
  </si>
  <si>
    <t>13,800,000 ha</t>
  </si>
  <si>
    <t>4,100,000 ha</t>
  </si>
  <si>
    <t>All farms producing organic slurry e.g. dairies, piggeries</t>
  </si>
  <si>
    <t>114,693 farms</t>
  </si>
  <si>
    <t>19,049kms</t>
  </si>
  <si>
    <t xml:space="preserve">273,183 ha </t>
  </si>
  <si>
    <t>9,399kms</t>
  </si>
  <si>
    <t>Major mine sites - see appendices (needs peer review by expert)</t>
  </si>
  <si>
    <t>5,658,000 ha</t>
  </si>
  <si>
    <t>100m width each bank, all major rivers (kms/ha can be extracted from database if needed)</t>
  </si>
  <si>
    <t>200m width each bank, all natural lakes (kms/ha can be extracted from database if needed)</t>
  </si>
  <si>
    <t>As per WG reports</t>
  </si>
  <si>
    <t>50m width each bank, all minor rivers and streams (kms/ha can be extracted from database if needed)</t>
  </si>
  <si>
    <t>350 bores</t>
  </si>
  <si>
    <t>9000km</t>
  </si>
  <si>
    <t>11.6 million ha</t>
  </si>
  <si>
    <t>285 million ha</t>
  </si>
  <si>
    <t>38,922 ha</t>
  </si>
  <si>
    <t>140,954 ha</t>
  </si>
  <si>
    <t xml:space="preserve">Total </t>
  </si>
  <si>
    <t>% of GDP</t>
  </si>
  <si>
    <t>CAPITAL EXPENDITURE</t>
  </si>
  <si>
    <t>Sub-total</t>
  </si>
  <si>
    <t>Threatened species</t>
  </si>
  <si>
    <t>Sub-total, all capital expenditure</t>
  </si>
  <si>
    <t>Transaction costs</t>
  </si>
  <si>
    <t>OPERATIONAL EXPENDITURE</t>
  </si>
  <si>
    <t>Capital Expenditure</t>
  </si>
  <si>
    <t>Operational Expenditure</t>
  </si>
  <si>
    <t>Start year</t>
  </si>
  <si>
    <t>Present Value</t>
  </si>
  <si>
    <t>Capital expenditure</t>
  </si>
  <si>
    <t>Annual operational expenditure (m$)</t>
  </si>
  <si>
    <t>Total annual expenditure (m$)</t>
  </si>
  <si>
    <t>AGRICULTURAL SOILS &amp; FARMS</t>
  </si>
  <si>
    <t>Unit</t>
  </si>
  <si>
    <t>Cost/Unit</t>
  </si>
  <si>
    <t>YR Dollars</t>
  </si>
  <si>
    <t>Total Cost</t>
  </si>
  <si>
    <t>Project Life</t>
  </si>
  <si>
    <t>tonnes</t>
  </si>
  <si>
    <t>ha</t>
  </si>
  <si>
    <t>kms</t>
  </si>
  <si>
    <t>$</t>
  </si>
  <si>
    <t>No. farms</t>
  </si>
  <si>
    <t>AG-MA1</t>
  </si>
  <si>
    <t>AG-MA2</t>
  </si>
  <si>
    <t>Ongoing management of gully control measures</t>
  </si>
  <si>
    <t>FRESH WATER</t>
  </si>
  <si>
    <t>No.</t>
  </si>
  <si>
    <t>-</t>
  </si>
  <si>
    <t>ML</t>
  </si>
  <si>
    <t>m (height)</t>
  </si>
  <si>
    <t>Transaction costs (research, application fees, administrative work, monitoring etc)</t>
  </si>
  <si>
    <t>Bore system monitoring, operating, licensing and maintenance</t>
  </si>
  <si>
    <t>Diversion screening device monitoring, operating, licensing and maintenance</t>
  </si>
  <si>
    <t xml:space="preserve">NATIVE VEGETATION </t>
  </si>
  <si>
    <t>THREATENED SPECIES</t>
  </si>
  <si>
    <t>Re-establish shellfish reefs in priority locations</t>
  </si>
  <si>
    <t>Monitoring of existing and new seagrass areas</t>
  </si>
  <si>
    <t>Monitoring and management of existing and new shellfish reefs</t>
  </si>
  <si>
    <t>UPDATE RIPARIAN - ENSURE ALL $ FIGURES ARE CORRECT/MATCH</t>
  </si>
  <si>
    <t>Summary</t>
  </si>
  <si>
    <t>$m total</t>
  </si>
  <si>
    <t>No. Direct Jobs</t>
  </si>
  <si>
    <t>No. All Jobs (Direct, Indirect &amp; Induced)</t>
  </si>
  <si>
    <t xml:space="preserve"> AUD $m</t>
  </si>
  <si>
    <t>% of Fed. Budget</t>
  </si>
  <si>
    <t>% of All Gov Budget</t>
  </si>
  <si>
    <t>References</t>
  </si>
  <si>
    <t>Repair jobs</t>
  </si>
  <si>
    <t>Maintenance jobs</t>
  </si>
  <si>
    <t>Healthy and productive soils</t>
  </si>
  <si>
    <t>http://www.abs.gov.au/ausstats/abs@.nsf/productsbytopic/EB58EF0B595318C6CA257B4E0013BB97?OpenDocument</t>
  </si>
  <si>
    <t>Highly productive and sustainably managed agricultural land, free from further degradation, playing an important role in meeting the needs of the world’s population in 2050.</t>
  </si>
  <si>
    <t>Maintenance $</t>
  </si>
  <si>
    <t>Maintenance %</t>
  </si>
  <si>
    <t xml:space="preserve">Clean and abundant freshwater </t>
  </si>
  <si>
    <t>Healthy rivers, wetlands and aquifers - supporting the economies of rural and urban Australia, and our inherant right to swim in and fish from clean rivers and lakes.</t>
  </si>
  <si>
    <r>
      <t>Strategic natural capital investment priorities:</t>
    </r>
    <r>
      <rPr>
        <sz val="14"/>
        <color theme="1"/>
        <rFont val="Calibri Light"/>
        <family val="2"/>
        <scheme val="major"/>
      </rPr>
      <t xml:space="preserve"> </t>
    </r>
  </si>
  <si>
    <r>
      <rPr>
        <b/>
        <sz val="14"/>
        <color theme="1"/>
        <rFont val="Calibri Light"/>
        <family val="2"/>
        <scheme val="major"/>
      </rPr>
      <t>100m riparian buffer zones on all major rivers</t>
    </r>
    <r>
      <rPr>
        <sz val="14"/>
        <color theme="1"/>
        <rFont val="Calibri Light"/>
        <family val="2"/>
        <scheme val="major"/>
      </rPr>
      <t xml:space="preserve"> - bring back biodiversity, reduce erosion and run-off, dramatically improve water quality in rivers, creeks, estuaries, bays and ultimately marine environments, improve production in agriculture and fisheries </t>
    </r>
  </si>
  <si>
    <r>
      <rPr>
        <b/>
        <sz val="14"/>
        <color theme="1"/>
        <rFont val="Calibri Light"/>
        <family val="2"/>
        <scheme val="major"/>
      </rPr>
      <t>200m buffer zones surrounding all major lakes and wetlands</t>
    </r>
    <r>
      <rPr>
        <sz val="14"/>
        <color theme="1"/>
        <rFont val="Calibri Light"/>
        <family val="2"/>
        <scheme val="major"/>
      </rPr>
      <t xml:space="preserve"> - bring back biodiversity, reduce erosion and run-off, dramatically improve water quality in rivers, creeks, estuaries, bays and marine environments </t>
    </r>
  </si>
  <si>
    <t xml:space="preserve">Cost-effective fishways and thermal pollution control devices on all major dams, diversion screening on large irrigation pumps, remediating or removing causeways and other barriers to fish migration - bring back biodiversity,  </t>
  </si>
  <si>
    <t>Native vegetation and forests</t>
  </si>
  <si>
    <t>A mosaic of native forests, woodlands and grasslands across the continent, that support biodiversity while improving farm productivity.</t>
  </si>
  <si>
    <t>Stable and vibrant populations of native wildlife</t>
  </si>
  <si>
    <t>Populations of native mammals, birds, amphibians and other animals are recovered and stabilised, with no further extinctions.</t>
  </si>
  <si>
    <t>Living estuaries and coasts</t>
  </si>
  <si>
    <t>A network of healthy “living” waterways, weaving through our coastal cities and towns, providing adequate habitat for native species, and transport, food and recreation opportunities.</t>
  </si>
  <si>
    <t xml:space="preserve"> </t>
  </si>
  <si>
    <t>Vibrant oceans and sustainable fisheries</t>
  </si>
  <si>
    <t>Productive fisheries, helping to meet the needs of the world’s population in 2050, supported by a comprehensive system of marine protected areas and living estuaries.</t>
  </si>
  <si>
    <t>Total conservation, repair and maintenance costs (2017-2050)</t>
  </si>
  <si>
    <t>Asset-by-asset summary</t>
  </si>
  <si>
    <t>Productive soils</t>
  </si>
  <si>
    <t>Investment required 2017-2050, by repair action</t>
  </si>
  <si>
    <t>Total cost $m</t>
  </si>
  <si>
    <t>Per annum $m</t>
  </si>
  <si>
    <t>References &amp; data sources</t>
  </si>
  <si>
    <t>1. An environmental account for every Australian farm</t>
  </si>
  <si>
    <r>
      <rPr>
        <i/>
        <sz val="14"/>
        <color theme="1"/>
        <rFont val="Calibri Light"/>
        <family val="2"/>
        <scheme val="major"/>
      </rPr>
      <t xml:space="preserve">You can't manage what you haven't measured </t>
    </r>
    <r>
      <rPr>
        <sz val="14"/>
        <color theme="1"/>
        <rFont val="Calibri Light"/>
        <family val="2"/>
        <scheme val="major"/>
      </rPr>
      <t>- first, an environmental account for each of Australia's 114,000+ farms.</t>
    </r>
  </si>
  <si>
    <t>2. Better soil health across the continent</t>
  </si>
  <si>
    <r>
      <rPr>
        <i/>
        <sz val="14"/>
        <color theme="1"/>
        <rFont val="Calibri Light"/>
        <family val="2"/>
        <scheme val="major"/>
      </rPr>
      <t>Improving soil health and farm productivity</t>
    </r>
    <r>
      <rPr>
        <sz val="14"/>
        <color theme="1"/>
        <rFont val="Calibri Light"/>
        <family val="2"/>
        <scheme val="major"/>
      </rPr>
      <t xml:space="preserve"> - Apply 78 million tonnes of lime and gypsum accross Australia to address soil acidification and soil structure decline.</t>
    </r>
  </si>
  <si>
    <t>3. Sustainable and more productive agriculture</t>
  </si>
  <si>
    <r>
      <rPr>
        <i/>
        <sz val="14"/>
        <color theme="1"/>
        <rFont val="Calibri Light"/>
        <family val="2"/>
        <scheme val="major"/>
      </rPr>
      <t>Enhance Australia's reputation as a producer of sustainable and clean agricultural products</t>
    </r>
    <r>
      <rPr>
        <sz val="14"/>
        <color theme="1"/>
        <rFont val="Calibri Light"/>
        <family val="2"/>
        <scheme val="major"/>
      </rPr>
      <t xml:space="preserve"> - Provide incentives to shift farming to pesticide management, and 'best practice' fertiliser (sugar cane farming) and erosion control (grazing), and biogas. </t>
    </r>
  </si>
  <si>
    <t>4. Fix erosion 'hot spots'</t>
  </si>
  <si>
    <r>
      <rPr>
        <i/>
        <sz val="14"/>
        <color theme="1"/>
        <rFont val="Calibri Light"/>
        <family val="2"/>
        <scheme val="major"/>
      </rPr>
      <t>Vastly improve water quality in inland and coastal rivers, safeguard productive land, and provide habitat for biodiversity</t>
    </r>
    <r>
      <rPr>
        <sz val="14"/>
        <color theme="1"/>
        <rFont val="Calibri Light"/>
        <family val="2"/>
        <scheme val="major"/>
      </rPr>
      <t xml:space="preserve"> - Remediate 325,000km of moderate to severe gullly erosion.</t>
    </r>
  </si>
  <si>
    <t>5. Prevent the acidification of land and waterways</t>
  </si>
  <si>
    <r>
      <rPr>
        <i/>
        <sz val="14"/>
        <color theme="1"/>
        <rFont val="Calibri Light"/>
        <family val="2"/>
        <scheme val="major"/>
      </rPr>
      <t>Prevent further damage to rivers and land</t>
    </r>
    <r>
      <rPr>
        <sz val="14"/>
        <color theme="1"/>
        <rFont val="Calibri Light"/>
        <family val="2"/>
        <scheme val="major"/>
      </rPr>
      <t xml:space="preserve"> - Set aside and fence 2.3 million hectares of high Acid Suphate Soil (ASS) risk. </t>
    </r>
  </si>
  <si>
    <t xml:space="preserve">Total investment required to repair soils and farms </t>
  </si>
  <si>
    <t>Operating cost of managing and maintaining productive soils</t>
  </si>
  <si>
    <t>Annual environmental acccounts to monitor soil, native vegetation and freshwater health.  Further application of lime to ensure soil acidification continues to decline.</t>
  </si>
  <si>
    <t>Total investment required to repair and maintain healthy soils and farms (2017-2050)</t>
  </si>
  <si>
    <t>Clean and abundant freshwater</t>
  </si>
  <si>
    <t>6. Water security and clean rivers for regional communities</t>
  </si>
  <si>
    <r>
      <rPr>
        <i/>
        <sz val="14"/>
        <color theme="1"/>
        <rFont val="Calibri Light"/>
        <family val="2"/>
        <scheme val="major"/>
      </rPr>
      <t>Ensure freshwater is clean and abundant</t>
    </r>
    <r>
      <rPr>
        <sz val="14"/>
        <color theme="1"/>
        <rFont val="Calibri Light"/>
        <family val="2"/>
        <scheme val="major"/>
      </rPr>
      <t xml:space="preserve"> - Implement catchment-scale Water Sensitive Urban Design (WSUD) for 629,000+ homes located in regional communities, including: domestic water storage, water recycling, water efficiency technologies, bioretention ponds and advanced stormwater systems.  </t>
    </r>
  </si>
  <si>
    <t>7.1, 7.2, 7.3, 7.4, 7.5, 7.6, 7.7</t>
  </si>
  <si>
    <t>7. Clearer rivers and lakes</t>
  </si>
  <si>
    <r>
      <t>River and lake vegetation is critical to the health of both inland waterways and downstream coastal waters -</t>
    </r>
    <r>
      <rPr>
        <sz val="14"/>
        <color theme="1"/>
        <rFont val="Calibri Light"/>
        <family val="2"/>
        <scheme val="major"/>
      </rPr>
      <t xml:space="preserve"> Protect and replant 100 metre wide strips of native vegetation along all of Australia's major rivers, and 200 metre wide strips around each of its major lakes. This will reduce waterway erosion, improve water quality, help ensure habitat for native wildlife and improve the health and productivity of marine ecosystems and fisheries. </t>
    </r>
  </si>
  <si>
    <t>8. More fish, more life</t>
  </si>
  <si>
    <t>8.1, 8.2, 8.3, 8.4, 8.5</t>
  </si>
  <si>
    <r>
      <rPr>
        <i/>
        <sz val="14"/>
        <color theme="1"/>
        <rFont val="Calibri Light"/>
        <family val="2"/>
        <scheme val="major"/>
      </rPr>
      <t>Fish need room to breed and grow</t>
    </r>
    <r>
      <rPr>
        <sz val="14"/>
        <color theme="1"/>
        <rFont val="Calibri Light"/>
        <family val="2"/>
        <scheme val="major"/>
      </rPr>
      <t xml:space="preserve"> - Install fishways and thermal pollution control devices on priority major dams, remediate causeways, tidal gates and wiers to ensure fish can pass unimpeded. Retrofit irrigation pumps with diversion screens. Control pest species, such as carp, to give native fish a better chance.    </t>
    </r>
  </si>
  <si>
    <t>9. Water for nature</t>
  </si>
  <si>
    <r>
      <rPr>
        <i/>
        <sz val="14"/>
        <color theme="1"/>
        <rFont val="Calibri Light"/>
        <family val="2"/>
        <scheme val="major"/>
      </rPr>
      <t xml:space="preserve">A healthy river system requires a constant flow of water - </t>
    </r>
    <r>
      <rPr>
        <sz val="14"/>
        <color theme="1"/>
        <rFont val="Calibri Light"/>
        <family val="2"/>
        <scheme val="major"/>
      </rPr>
      <t xml:space="preserve">Buy back water use rights from willing license holders in the Murray Darling Basin.  </t>
    </r>
  </si>
  <si>
    <t>10. Recharging our precios underground water resources</t>
  </si>
  <si>
    <t>10.1, 10.2</t>
  </si>
  <si>
    <r>
      <rPr>
        <i/>
        <sz val="14"/>
        <color theme="1"/>
        <rFont val="Calibri Light"/>
        <family val="2"/>
        <scheme val="major"/>
      </rPr>
      <t>Groundwater is essential for the economy, humans and nature</t>
    </r>
    <r>
      <rPr>
        <sz val="14"/>
        <color theme="1"/>
        <rFont val="Calibri Light"/>
        <family val="2"/>
        <scheme val="major"/>
      </rPr>
      <t xml:space="preserve"> - Complete the capping of bores and conversion of bore drains to piping in the Great Artesian Basin, buy-up water use rights for all overallocated groundwater systems. </t>
    </r>
  </si>
  <si>
    <t>11. Manage soil salinity for more productive farms</t>
  </si>
  <si>
    <r>
      <rPr>
        <i/>
        <sz val="14"/>
        <color theme="1"/>
        <rFont val="Calibri Light"/>
        <family val="2"/>
        <scheme val="major"/>
      </rPr>
      <t>Much of Australia is at risk of salinification</t>
    </r>
    <r>
      <rPr>
        <sz val="14"/>
        <color theme="1"/>
        <rFont val="Calibri Light"/>
        <family val="2"/>
        <scheme val="major"/>
      </rPr>
      <t xml:space="preserve"> -  Plant native salt-tolerant vegetation on around 5.5 million hectares of high-salinity risk land to lower the water table, prevent salinity and avoid the loss of productive agricultural land. </t>
    </r>
  </si>
  <si>
    <t>Total investment required to repair inland rivers</t>
  </si>
  <si>
    <t>Operating cost of managing and maintaining freshwater</t>
  </si>
  <si>
    <t>Look after riparian plantings (monitor, replant where dieback occurs during the first 3 years, manage for weeds, pests and fire), provide WSUD for new dwellings, maintenance on bore capping, fishways and thermal pollution control devices).</t>
  </si>
  <si>
    <t>Total investment required to repair and conserve 
healthy rivers (2017-2050)</t>
  </si>
  <si>
    <t xml:space="preserve">Per annum $m </t>
  </si>
  <si>
    <t>12. Native vegetation for farms 
and communities</t>
  </si>
  <si>
    <r>
      <rPr>
        <i/>
        <sz val="14"/>
        <color theme="1"/>
        <rFont val="Calibri Light"/>
        <family val="2"/>
        <scheme val="major"/>
      </rPr>
      <t>Without our unique and diverse forests and grasslands, Australia would not be what it is</t>
    </r>
    <r>
      <rPr>
        <sz val="14"/>
        <color theme="1"/>
        <rFont val="Calibri Light"/>
        <family val="2"/>
        <scheme val="major"/>
      </rPr>
      <t xml:space="preserve"> - Incentivise landholders to set aside 258 million hectares of native vegetation so that at least 30% of each major type is conserved for future generations.</t>
    </r>
  </si>
  <si>
    <t>Repair degarded native vegetation</t>
  </si>
  <si>
    <t xml:space="preserve">Healthy native vegetation supports a healthy environment and productive economy - </t>
  </si>
  <si>
    <t>13. Rehabilitate old mine and landfill sites*</t>
  </si>
  <si>
    <r>
      <rPr>
        <i/>
        <sz val="14"/>
        <color theme="1"/>
        <rFont val="Calibri Light"/>
        <family val="2"/>
        <scheme val="major"/>
      </rPr>
      <t>The mining boom brought great prosperity, but also significant environmental damage. As has population growth and large amount of toxic waste we have produced</t>
    </r>
    <r>
      <rPr>
        <sz val="14"/>
        <color theme="1"/>
        <rFont val="Calibri Light"/>
        <family val="2"/>
        <scheme val="major"/>
      </rPr>
      <t xml:space="preserve"> - Rehabilitate degraded and contaminated major mine and landfill sites by planting trees and cleaning up soils (i.e. removing heavy metals). </t>
    </r>
  </si>
  <si>
    <t>14. Effectively manage Phytophthora*</t>
  </si>
  <si>
    <t xml:space="preserve">Add biosecuity reforms in here… </t>
  </si>
  <si>
    <r>
      <rPr>
        <i/>
        <sz val="14"/>
        <color theme="1"/>
        <rFont val="Calibri Light"/>
        <family val="2"/>
        <scheme val="major"/>
      </rPr>
      <t>Phytophthora is a soil-borne pathogen, a 'biological bulldozer' that has caused widespread damage to Australia's native bushlands, heathlands, woodlands, forests and native species</t>
    </r>
    <r>
      <rPr>
        <sz val="14"/>
        <color theme="1"/>
        <rFont val="Calibri Light"/>
        <family val="2"/>
        <scheme val="major"/>
      </rPr>
      <t xml:space="preserve"> - Detect and strategically manage (use of Phosphite, seed collection, translocation) Phytopthora in priority areas to reduce damage and minimise it spreading. </t>
    </r>
  </si>
  <si>
    <t xml:space="preserve"> chytrid fungus, toxoplasmosis and myrtle rust</t>
  </si>
  <si>
    <t>Total investment required to conserve and repair native vegetation</t>
  </si>
  <si>
    <t>Operating cost of managing and maintaining native vegetation and forests</t>
  </si>
  <si>
    <t xml:space="preserve">Manage expanded native vegetation areas for weeds (e.g. buffal grass) and pests (e.g. feral herbivores), on-going and proactive bushfire management. </t>
  </si>
  <si>
    <t>Total investment required to conserve, repair and maintain native vegetation (2017-2050)</t>
  </si>
  <si>
    <t>Stable populations of native wildlife</t>
  </si>
  <si>
    <t>17. Address the other major threats to birds</t>
  </si>
  <si>
    <r>
      <t xml:space="preserve">In addition to habitat loss, native birds are threatened by numerous other threats such as feral pests, disease, changing wildfire management regimes and climate change </t>
    </r>
    <r>
      <rPr>
        <sz val="14"/>
        <color theme="1"/>
        <rFont val="Calibri Light"/>
        <family val="2"/>
        <scheme val="major"/>
      </rPr>
      <t xml:space="preserve">- Develop better population monitoring and modelling, assist with colonisation where required and implement targetted land management to deal with specific threats. </t>
    </r>
  </si>
  <si>
    <t>18. Address the other major threats to mammals</t>
  </si>
  <si>
    <r>
      <t xml:space="preserve">In addition to habitat loss, native mammals are threatened by numerous other threats such as pests, disease, changing wildfire management regimes and climate change </t>
    </r>
    <r>
      <rPr>
        <sz val="14"/>
        <color theme="1"/>
        <rFont val="Calibri Light"/>
        <family val="2"/>
        <scheme val="major"/>
      </rPr>
      <t xml:space="preserve">- Develop better population monitoring and modelling, assist with colonisation where required and implement targetted land management to deal with specific threats. </t>
    </r>
  </si>
  <si>
    <t>Total investment required to conserve native wildlife</t>
  </si>
  <si>
    <t>Operating cost of managing and maintaining stable populations of native wildlife</t>
  </si>
  <si>
    <t xml:space="preserve">On-going  actions to manage new conservation areas, pests (with a focus on feral cats and foxes), assisted colonisation and other species-specific actions.  </t>
  </si>
  <si>
    <t>Total investment required to conserve native wildlife (2017-2050)</t>
  </si>
  <si>
    <t>REEF LIFE SURVEY!!!!</t>
  </si>
  <si>
    <t>19. Water security and clean estuaries and bays for coastal communities</t>
  </si>
  <si>
    <r>
      <rPr>
        <i/>
        <sz val="14"/>
        <color theme="1"/>
        <rFont val="Calibri Light"/>
        <family val="2"/>
        <scheme val="major"/>
      </rPr>
      <t>Ensure coastal rivers and estuaries are in good health, supporting ecosystems, local fisheries and recreational activities</t>
    </r>
    <r>
      <rPr>
        <sz val="14"/>
        <color theme="1"/>
        <rFont val="Calibri Light"/>
        <family val="2"/>
        <scheme val="major"/>
      </rPr>
      <t xml:space="preserve">- Implement catchment-scale WSUD for 5.6 million homes located in coastal communities, including: domestic water storage, water recycling, water efficiency technologies, bioretention ponds, advanced stormwater systems and microplastic filters.  </t>
    </r>
  </si>
  <si>
    <t>Address barriers and hazards to fish on coastal rivers and estuaries</t>
  </si>
  <si>
    <t>20.1, 20.2, 20.3, 20.4, 20.5</t>
  </si>
  <si>
    <r>
      <rPr>
        <i/>
        <sz val="14"/>
        <color theme="1"/>
        <rFont val="Calibri Light"/>
        <family val="2"/>
        <scheme val="major"/>
      </rPr>
      <t>Fish need room to breed and grow</t>
    </r>
    <r>
      <rPr>
        <sz val="14"/>
        <color theme="1"/>
        <rFont val="Calibri Light"/>
        <family val="2"/>
        <scheme val="major"/>
      </rPr>
      <t xml:space="preserve"> - Remediate priority causeways, tidal gates, barrages and wiers to ensure fish can pass unimpeded through up and down stream. Set aside and remediate ponded pastures.     </t>
    </r>
  </si>
  <si>
    <t>s</t>
  </si>
  <si>
    <t>De-risk seaside realestate and rehabilitate coastal ecosystem buffers</t>
  </si>
  <si>
    <r>
      <rPr>
        <i/>
        <sz val="14"/>
        <color theme="1"/>
        <rFont val="Calibri Light"/>
        <family val="2"/>
        <scheme val="major"/>
      </rPr>
      <t>Sea-level-rise and more frequent storms are a serious threat to coastal realestate</t>
    </r>
    <r>
      <rPr>
        <sz val="14"/>
        <color theme="1"/>
        <rFont val="Calibri Light"/>
        <family val="2"/>
        <scheme val="major"/>
      </rPr>
      <t xml:space="preserve"> - Offer to buy back properties subject to high coastal erosion risk, and repair dune systems to buffer coastal communities against the impacts of climate change.  </t>
    </r>
  </si>
  <si>
    <t>Protect and repair saltmarshes, mangroves and seagrass meadows*</t>
  </si>
  <si>
    <t>22.1, 22.2, 22.3, 22.4,22.5, 22.6</t>
  </si>
  <si>
    <r>
      <rPr>
        <i/>
        <sz val="14"/>
        <color theme="1"/>
        <rFont val="Calibri Light"/>
        <family val="2"/>
        <scheme val="major"/>
      </rPr>
      <t>Saltmarsh, mangroves and seagrass ecosystems are vital to nature, tourism and the productivity of fisheries</t>
    </r>
    <r>
      <rPr>
        <sz val="14"/>
        <color theme="1"/>
        <rFont val="Calibri Light"/>
        <family val="2"/>
        <scheme val="major"/>
      </rPr>
      <t xml:space="preserve"> - Protect remaining X hectares of mangrove forest (including on private land), protect and repair remaining  X hectares of saltmarsh, retrofit X moorings to an "environmentally friendly" design to reduce damage done to seagrass meadows. </t>
    </r>
  </si>
  <si>
    <t>Include repair seagrass</t>
  </si>
  <si>
    <t>Restablish shellfish reefs*</t>
  </si>
  <si>
    <r>
      <t xml:space="preserve">Shellfish are one of the best water filters out there, with every litre of water in Sydney harbour passing through each one every day - </t>
    </r>
    <r>
      <rPr>
        <sz val="14"/>
        <color theme="1"/>
        <rFont val="Calibri Light"/>
        <family val="2"/>
        <scheme val="major"/>
      </rPr>
      <t>Reestablish shellfish reefs in strategic areas to encourage self-proliferation.</t>
    </r>
  </si>
  <si>
    <t>Total investment required to conserve and repair estuaries and coasts</t>
  </si>
  <si>
    <t>Operating cost of managing and maintaining estuaries and coasts</t>
  </si>
  <si>
    <t>Manage new marine protected areas for invasive species, provide WSUD for new dwellings.</t>
  </si>
  <si>
    <t>Total investment required to conserve, repair and maintain estuaries and coasts (2017-2050)</t>
  </si>
  <si>
    <t>https://portal.aodn.org.au/</t>
  </si>
  <si>
    <t>Note: Ocean Glider technology developed by IMOS</t>
  </si>
  <si>
    <t>Reef Life Survey (crowd sourced data)</t>
  </si>
  <si>
    <t>Complete Australia's world-leading network of marine protected areas*</t>
  </si>
  <si>
    <r>
      <t xml:space="preserve">Marine Protected Areas increase fish abundance and size, supporting biodiversity and the productivity of fisheries </t>
    </r>
    <r>
      <rPr>
        <sz val="14"/>
        <color theme="1"/>
        <rFont val="Calibri Light"/>
        <family val="2"/>
        <scheme val="major"/>
      </rPr>
      <t>- Protect at least 30% of each marine habitat in Australian territorial waters (Marine National Park Zones with no extractive activities*) which are comprehensive and adequate to represent species and ecosystems.</t>
    </r>
  </si>
  <si>
    <t>Fully fund the National Integrated Marine Observation System (IMOS) Strategy</t>
  </si>
  <si>
    <r>
      <rPr>
        <i/>
        <sz val="14"/>
        <color theme="1"/>
        <rFont val="Calibri Light"/>
        <family val="2"/>
        <scheme val="major"/>
      </rPr>
      <t>You can't manage what you haven't measured</t>
    </r>
    <r>
      <rPr>
        <sz val="14"/>
        <color theme="1"/>
        <rFont val="Calibri Light"/>
        <family val="2"/>
        <scheme val="major"/>
      </rPr>
      <t xml:space="preserve"> - Fully funding IMOS will ensure its survival and expansion as a world-class research infrastructure that provides crucial information to manage of Australia's vast and interconnected marine areas.  </t>
    </r>
  </si>
  <si>
    <t>Supply microplastic filters to every Australian household</t>
  </si>
  <si>
    <r>
      <rPr>
        <i/>
        <sz val="14"/>
        <color theme="1"/>
        <rFont val="Calibri Light"/>
        <family val="2"/>
        <scheme val="major"/>
      </rPr>
      <t>Tiny but toxic microfibres, small threads of plastic primariliy from the washing of clothing, are making their way into our marine ecosystems and into the food we eat</t>
    </r>
    <r>
      <rPr>
        <sz val="14"/>
        <color theme="1"/>
        <rFont val="Calibri Light"/>
        <family val="2"/>
        <scheme val="major"/>
      </rPr>
      <t xml:space="preserve"> - Provide a microfibre filter for every washing machine in 6.3 million households in Australia, a simple solution to keep our rivers, estuaries and oceans clean.    </t>
    </r>
  </si>
  <si>
    <t>Establish a National Shark Monitoring System*</t>
  </si>
  <si>
    <r>
      <t xml:space="preserve">Sharks are incredibly important to the environment and fisheries, but we must ensure humans are safe - </t>
    </r>
    <r>
      <rPr>
        <sz val="14"/>
        <color theme="1"/>
        <rFont val="Calibri Light"/>
        <family val="2"/>
        <scheme val="major"/>
      </rPr>
      <t xml:space="preserve">Establish a National Shark Monitoring System which uses the latest technologies (e.g. drones) to track and provide early warnings when sharks get close to public beaches. </t>
    </r>
  </si>
  <si>
    <t>Upgrade port facilities with better waste disposal and less pollution*</t>
  </si>
  <si>
    <r>
      <rPr>
        <i/>
        <sz val="14"/>
        <color theme="1"/>
        <rFont val="Calibri Light"/>
        <family val="2"/>
        <scheme val="major"/>
      </rPr>
      <t>Many Australian ports do not have adequate waste disposal facilities</t>
    </r>
    <r>
      <rPr>
        <sz val="14"/>
        <color theme="1"/>
        <rFont val="Calibri Light"/>
        <family val="2"/>
        <scheme val="major"/>
      </rPr>
      <t xml:space="preserve"> - Provide waste disposal areas for old fishing nets, fuel cans, engine oil, and general waste at ports and marinas to ensure these waste streams don’t end up in the ocean.   </t>
    </r>
  </si>
  <si>
    <t>Total investment required to conserve and repair oceans and fisheries</t>
  </si>
  <si>
    <t>Operating cost of managing and maintaining oceans and fisheries*</t>
  </si>
  <si>
    <t xml:space="preserve">On-going  actions to manage new marine protected areas, waste disposal from ports, cost of operating drones, GHOST NETS etc.  </t>
  </si>
  <si>
    <t>http://www.ghostgear.org/solutions/?gear=86&amp;lat=-10.433793243184432&amp;lng=139.493408203125&amp;zoom=6</t>
  </si>
  <si>
    <t>Total investment required to conerve, repair and maintain oceans and fisheries (2017-2050)</t>
  </si>
  <si>
    <t>Investment required to conserve and repair each environmental asset (2017-2050)</t>
  </si>
  <si>
    <t>Annualised $m</t>
  </si>
  <si>
    <t>% of Govt. Budget</t>
  </si>
  <si>
    <t>Highly productive and sustainably managed agricultural LAND, free from further degradation, 
playing an important role in meeting the needs of the world’s population in 2050.</t>
  </si>
  <si>
    <t>Healthy rivers, wetlands and aquifers - supporting the economies of rural and urban Australia, and our inherant right to swim in and fish from clean rivers and lakes</t>
  </si>
  <si>
    <t xml:space="preserve">A mosaic of native forests, woodlands and grasslands across the continent, 
that support biodiversity while improving farm productivity.
</t>
  </si>
  <si>
    <t>Populations of native mammals, birds, amphibians and other animals are stabilised, 
with no further extinctions.</t>
  </si>
  <si>
    <t>A network of healthy “living” waterways, weaving through our coastal cities and towns, 
providing adequate habitat for native species, and transport, food and recreation opportunities.</t>
  </si>
  <si>
    <t>Highly productive fisheries, playing a role in meeting the needs of the world’s population in 2050, 
enabled through a comprehensive system of marine protected areas and living estuaries.</t>
  </si>
  <si>
    <t>Total investment required to conserve and repair Australia's natural capital (2017-2050)</t>
  </si>
  <si>
    <t>Operating cost of managing and maintaining Australia's natural capital</t>
  </si>
  <si>
    <t>Research, monitoring (environmental accounts), maintaining new conservation and marine protected 
areas (fire, pests, weeds), maintain and expand the roll-out of newly installed technologies, etc.</t>
  </si>
  <si>
    <t>Total investment required to conserve, repair and maintain Australia's natural capital (2017-2050)</t>
  </si>
  <si>
    <t>An environmental account for every Australian farm</t>
  </si>
  <si>
    <r>
      <rPr>
        <i/>
        <sz val="14"/>
        <color theme="1"/>
        <rFont val="Calibri Light"/>
        <family val="2"/>
        <scheme val="major"/>
      </rPr>
      <t xml:space="preserve">You can't manage what you haven't measured </t>
    </r>
    <r>
      <rPr>
        <sz val="14"/>
        <color theme="1"/>
        <rFont val="Calibri Light"/>
        <family val="2"/>
        <scheme val="major"/>
      </rPr>
      <t xml:space="preserve">- first, an environmental account for each of Australia's 114,000+ farms. </t>
    </r>
  </si>
  <si>
    <t>Better soil health across the continent</t>
  </si>
  <si>
    <t>Sustainable and more productive agriculture</t>
  </si>
  <si>
    <r>
      <rPr>
        <i/>
        <sz val="14"/>
        <color theme="1"/>
        <rFont val="Calibri Light"/>
        <family val="2"/>
        <scheme val="major"/>
      </rPr>
      <t>Enhance Australia's reputation as a producer of sustainable and clean agricultural products</t>
    </r>
    <r>
      <rPr>
        <sz val="14"/>
        <color theme="1"/>
        <rFont val="Calibri Light"/>
        <family val="2"/>
        <scheme val="major"/>
      </rPr>
      <t xml:space="preserve"> - Provide incentives to shift farming to pesticide management, and 'best practice' fertiliser (sugar cane farming) and erosion control (grazing).</t>
    </r>
  </si>
  <si>
    <t>Fix erosion 'hot spots'</t>
  </si>
  <si>
    <t>Prevent the acidification of land and waterways</t>
  </si>
  <si>
    <t>Annual environmental acccounts to monitor soil, native vegetation and freshwater health. 
Further application of lime to ensure soil acidification continues to decline.</t>
  </si>
  <si>
    <t>Water security and clean rivers for all Australians</t>
  </si>
  <si>
    <r>
      <rPr>
        <i/>
        <sz val="14"/>
        <color theme="1"/>
        <rFont val="Calibri Light"/>
        <family val="2"/>
        <scheme val="major"/>
      </rPr>
      <t>Ensure freshwater is fresh, clean and abundant</t>
    </r>
    <r>
      <rPr>
        <sz val="14"/>
        <color theme="1"/>
        <rFont val="Calibri Light"/>
        <family val="2"/>
        <scheme val="major"/>
      </rPr>
      <t xml:space="preserve"> - Implement catchment-scale Water Sensitive Urban Design (WSUD) for 629,000+ homes located in regional communities, including: domestic water storage, water recycling, water efficiency technologies, bioretention ponds and advanced stormwater systems.  </t>
    </r>
  </si>
  <si>
    <t>Repair Australia's rivers</t>
  </si>
  <si>
    <r>
      <t xml:space="preserve">Riparian vegetation is critical to the health of both inland rivers and marine areas downstream - </t>
    </r>
    <r>
      <rPr>
        <sz val="14"/>
        <color theme="1"/>
        <rFont val="Calibri Light"/>
        <family val="2"/>
        <scheme val="major"/>
      </rPr>
      <t xml:space="preserve">Protect and replant 100m wide riparian buffer zones along all of Australia's major rivers. Reduce erosion, improve water quality, ensure habitat for biodiversity and improve the health and productivity of marine ecosystems and fisheries.   </t>
    </r>
  </si>
  <si>
    <t>More fish</t>
  </si>
  <si>
    <t>Water for nature</t>
  </si>
  <si>
    <r>
      <rPr>
        <i/>
        <sz val="14"/>
        <color theme="1"/>
        <rFont val="Calibri Light"/>
        <family val="2"/>
        <scheme val="major"/>
      </rPr>
      <t xml:space="preserve">A healthy river system requires a constant flow of water - </t>
    </r>
    <r>
      <rPr>
        <sz val="14"/>
        <color theme="1"/>
        <rFont val="Calibri Light"/>
        <family val="2"/>
        <scheme val="major"/>
      </rPr>
      <t xml:space="preserve">Buy back water use rights from willing license holders in major overallocated rivers around Australia.  </t>
    </r>
  </si>
  <si>
    <t>Healthy lakes and wetlands</t>
  </si>
  <si>
    <r>
      <rPr>
        <i/>
        <sz val="14"/>
        <color theme="1"/>
        <rFont val="Calibri Light"/>
        <family val="2"/>
        <scheme val="major"/>
      </rPr>
      <t>Lakes and wetlands need riparian areas too -</t>
    </r>
    <r>
      <rPr>
        <sz val="14"/>
        <color theme="1"/>
        <rFont val="Calibri Light"/>
        <family val="2"/>
        <scheme val="major"/>
      </rPr>
      <t xml:space="preserve"> Protect and plant 200m wide riparian buffers around all of Australia's major lakes and wetlands.</t>
    </r>
  </si>
  <si>
    <t>Groundwater forever</t>
  </si>
  <si>
    <t>Reduce soil salinity, more productive farms</t>
  </si>
  <si>
    <t>Total investment required to repair and healthy rivers (2017-2050)</t>
  </si>
  <si>
    <t xml:space="preserve">Protect native vegetation </t>
  </si>
  <si>
    <t>Rehabilitate old mine and landfill sites*</t>
  </si>
  <si>
    <t>Effectively manage Phytophthora*</t>
  </si>
  <si>
    <t>Keep communities safe from bushfire*</t>
  </si>
  <si>
    <r>
      <t xml:space="preserve">In expanding areas of native vegetation, we also need to protect communites and the natural environment from bushfire </t>
    </r>
    <r>
      <rPr>
        <sz val="14"/>
        <color theme="1"/>
        <rFont val="Calibri Light"/>
        <family val="2"/>
        <scheme val="major"/>
      </rPr>
      <t>- National proactive fire management (prescribed burning) and fire-proofing of homes in wildfire prone areas.</t>
    </r>
  </si>
  <si>
    <t>Protect habitat</t>
  </si>
  <si>
    <r>
      <rPr>
        <i/>
        <sz val="14"/>
        <color theme="1"/>
        <rFont val="Calibri Light"/>
        <family val="2"/>
        <scheme val="major"/>
      </rPr>
      <t>To survive, native mammals and birds need to roam the landscape</t>
    </r>
    <r>
      <rPr>
        <sz val="14"/>
        <color theme="1"/>
        <rFont val="Calibri Light"/>
        <family val="2"/>
        <scheme val="major"/>
      </rPr>
      <t xml:space="preserve"> - Provide landholders with incentives to set aside land that is protects the critical habitat range of mammals and birds on the EPBC threatened species list.  </t>
    </r>
  </si>
  <si>
    <t>Address the other major threats to birds</t>
  </si>
  <si>
    <t>Address the other major threats to mammals</t>
  </si>
  <si>
    <t>Implement water sensitive urban design in coastal communities</t>
  </si>
  <si>
    <t xml:space="preserve">On-going  actions to manage new marine protected areas, waste disposal from ports, cost of operating drones etc.  </t>
  </si>
  <si>
    <r>
      <rPr>
        <b/>
        <sz val="14"/>
        <color theme="1"/>
        <rFont val="Calibri Light"/>
        <family val="2"/>
        <scheme val="major"/>
      </rPr>
      <t>The cost of repairing Australia's Natural Capital 2017</t>
    </r>
    <r>
      <rPr>
        <b/>
        <sz val="11"/>
        <color theme="1"/>
        <rFont val="Calibri Light"/>
        <family val="2"/>
        <scheme val="major"/>
      </rPr>
      <t xml:space="preserve">
</t>
    </r>
    <r>
      <rPr>
        <i/>
        <sz val="11"/>
        <color theme="1"/>
        <rFont val="Calibri Light"/>
        <family val="2"/>
        <scheme val="major"/>
      </rPr>
      <t>Confidential, Version 1.8 (Work-in-progress)</t>
    </r>
  </si>
  <si>
    <t>SUMMARY</t>
  </si>
  <si>
    <t>Total annual cost (2016 $)</t>
  </si>
  <si>
    <t>Upfront Costs</t>
  </si>
  <si>
    <t>Environmental Asset</t>
  </si>
  <si>
    <t>Present Value $b
(2016 dollars)</t>
  </si>
  <si>
    <t>Annualised cost</t>
  </si>
  <si>
    <t>Native vegetation</t>
  </si>
  <si>
    <t>Wildlife</t>
  </si>
  <si>
    <t>Freshwater</t>
  </si>
  <si>
    <t>Estuaries and coasts</t>
  </si>
  <si>
    <t>Oceans and fisheries</t>
  </si>
  <si>
    <t>Clean air</t>
  </si>
  <si>
    <t>Agricultural soils and farms</t>
  </si>
  <si>
    <t>Annual Maintenance Costs</t>
  </si>
  <si>
    <t>Native wildlife</t>
  </si>
  <si>
    <t>Rivers and other freshwater ecosystems, ground water</t>
  </si>
  <si>
    <t>Grand total</t>
  </si>
  <si>
    <t>Total cost $2016</t>
  </si>
  <si>
    <t>Annualised cost $2016</t>
  </si>
  <si>
    <t>Expert verification / References</t>
  </si>
  <si>
    <t>Nat.veg</t>
  </si>
  <si>
    <t>Nat.wild</t>
  </si>
  <si>
    <t>Est.Coasts</t>
  </si>
  <si>
    <t>Fish.Oce</t>
  </si>
  <si>
    <t>Soils</t>
  </si>
  <si>
    <t>Upfront repair cost</t>
  </si>
  <si>
    <r>
      <rPr>
        <b/>
        <sz val="11"/>
        <color theme="1"/>
        <rFont val="Calibri Light"/>
        <family val="2"/>
        <scheme val="major"/>
      </rPr>
      <t xml:space="preserve">Rivers </t>
    </r>
    <r>
      <rPr>
        <sz val="11"/>
        <color theme="1"/>
        <rFont val="Calibri Light"/>
        <family val="2"/>
        <scheme val="major"/>
      </rPr>
      <t xml:space="preserve">- Incentivising 100% voluntary retirement of cropping/forestry within required riparian buffer zones </t>
    </r>
  </si>
  <si>
    <t>Bartley et al, 2015; Alluvium, 2016; AGO, 2005; BOM, 2015; Australian Government, 2016; ABARES, 2015; Monash University, 2010;</t>
  </si>
  <si>
    <r>
      <rPr>
        <b/>
        <sz val="11"/>
        <color theme="1"/>
        <rFont val="Calibri Light"/>
        <family val="2"/>
        <scheme val="major"/>
      </rPr>
      <t xml:space="preserve">Rivers - </t>
    </r>
    <r>
      <rPr>
        <sz val="11"/>
        <color theme="1"/>
        <rFont val="Calibri Light"/>
        <family val="2"/>
        <scheme val="major"/>
      </rPr>
      <t>Incentivising 100% voluntary retirement of grazing located within required riparian buffer zones</t>
    </r>
  </si>
  <si>
    <t xml:space="preserve">Alluvium, 2016; ABARES, 2015; AGO, 2005; BOM, 2015; Australian Government, 2016;  </t>
  </si>
  <si>
    <r>
      <rPr>
        <b/>
        <sz val="11"/>
        <color theme="1"/>
        <rFont val="Calibri Light"/>
        <family val="2"/>
        <scheme val="major"/>
      </rPr>
      <t>Rivers -</t>
    </r>
    <r>
      <rPr>
        <sz val="11"/>
        <color theme="1"/>
        <rFont val="Calibri Light"/>
        <family val="2"/>
        <scheme val="major"/>
      </rPr>
      <t xml:space="preserve"> Replanting cleared 100% of riparian buffer zones</t>
    </r>
  </si>
  <si>
    <t>Bartley et al, 2015; Alluvium, 2016; AGO, 2005; BOM, 2015; Australian Government, 2016; ABARES, 2015;</t>
  </si>
  <si>
    <r>
      <rPr>
        <b/>
        <sz val="11"/>
        <color theme="1"/>
        <rFont val="Calibri Light"/>
        <family val="2"/>
        <scheme val="major"/>
      </rPr>
      <t>Rivers -</t>
    </r>
    <r>
      <rPr>
        <sz val="11"/>
        <color theme="1"/>
        <rFont val="Calibri Light"/>
        <family val="2"/>
        <scheme val="major"/>
      </rPr>
      <t xml:space="preserve"> Fencing in grazing lands to protected new riparian plantings (major rivers)</t>
    </r>
  </si>
  <si>
    <t>Bartley et al, 2015; Alluvium, 2016; AGO, 2005; BOM, 2015; Australian Government, 2016;</t>
  </si>
  <si>
    <r>
      <t>Rivers</t>
    </r>
    <r>
      <rPr>
        <sz val="11"/>
        <color theme="1"/>
        <rFont val="Calibri Light"/>
        <family val="2"/>
        <scheme val="major"/>
      </rPr>
      <t xml:space="preserve"> - Offsite watering for cattle where grazing lands are fenced off to protect new riparian plantings (major rivers)</t>
    </r>
  </si>
  <si>
    <r>
      <rPr>
        <b/>
        <sz val="11"/>
        <color theme="1"/>
        <rFont val="Calibri Light"/>
        <family val="2"/>
        <scheme val="major"/>
      </rPr>
      <t>Rivers -</t>
    </r>
    <r>
      <rPr>
        <sz val="11"/>
        <color theme="1"/>
        <rFont val="Calibri Light"/>
        <family val="2"/>
        <scheme val="major"/>
      </rPr>
      <t xml:space="preserve"> Install cost-effective fish ways on all existing </t>
    </r>
    <r>
      <rPr>
        <i/>
        <sz val="11"/>
        <color theme="1"/>
        <rFont val="Calibri Light"/>
        <family val="2"/>
        <scheme val="major"/>
      </rPr>
      <t>major dams</t>
    </r>
  </si>
  <si>
    <t>Register of Large Dams, 2010; CRCCH and LWRDC, 2000;</t>
  </si>
  <si>
    <r>
      <rPr>
        <b/>
        <sz val="11"/>
        <color theme="1"/>
        <rFont val="Calibri Light"/>
        <family val="2"/>
        <scheme val="major"/>
      </rPr>
      <t>Rivers -</t>
    </r>
    <r>
      <rPr>
        <sz val="11"/>
        <color theme="1"/>
        <rFont val="Calibri Light"/>
        <family val="2"/>
        <scheme val="major"/>
      </rPr>
      <t xml:space="preserve"> Remove/remediate priority barriers to fish migration , major inland rivers</t>
    </r>
  </si>
  <si>
    <t>AFMF and IACRC, 2016; Queensland Government, 2016;</t>
  </si>
  <si>
    <r>
      <rPr>
        <b/>
        <sz val="11"/>
        <color theme="1"/>
        <rFont val="Calibri Light"/>
        <family val="2"/>
        <scheme val="major"/>
      </rPr>
      <t xml:space="preserve">Rivers - </t>
    </r>
    <r>
      <rPr>
        <sz val="11"/>
        <color theme="1"/>
        <rFont val="Calibri Light"/>
        <family val="2"/>
        <scheme val="major"/>
      </rPr>
      <t xml:space="preserve">Install cold-water pollution control devices on priority </t>
    </r>
    <r>
      <rPr>
        <i/>
        <sz val="11"/>
        <color theme="1"/>
        <rFont val="Calibri Light"/>
        <family val="2"/>
        <scheme val="major"/>
      </rPr>
      <t>major</t>
    </r>
    <r>
      <rPr>
        <sz val="11"/>
        <color theme="1"/>
        <rFont val="Calibri Light"/>
        <family val="2"/>
        <scheme val="major"/>
      </rPr>
      <t xml:space="preserve"> dams</t>
    </r>
  </si>
  <si>
    <t>No. Units</t>
  </si>
  <si>
    <t>NSW Government, 2004; Register of Large Dams, 2010;</t>
  </si>
  <si>
    <r>
      <rPr>
        <b/>
        <sz val="11"/>
        <color theme="1"/>
        <rFont val="Calibri Light"/>
        <family val="2"/>
        <scheme val="major"/>
      </rPr>
      <t>Rivers -</t>
    </r>
    <r>
      <rPr>
        <sz val="11"/>
        <color theme="1"/>
        <rFont val="Calibri Light"/>
        <family val="2"/>
        <scheme val="major"/>
      </rPr>
      <t xml:space="preserve"> Install diversion screening on all licensed irrigation pumps</t>
    </r>
  </si>
  <si>
    <r>
      <t xml:space="preserve">Rivers </t>
    </r>
    <r>
      <rPr>
        <sz val="11"/>
        <color theme="1"/>
        <rFont val="Calibri Light"/>
        <family val="2"/>
        <scheme val="major"/>
      </rPr>
      <t>- Buy surface water licenses, install water efficient technologies (MDB only)</t>
    </r>
  </si>
  <si>
    <t>Australian Government, 2014; Productivity Commission, 2010; Wentworth Group, 2017;</t>
  </si>
  <si>
    <r>
      <t xml:space="preserve">Rivers </t>
    </r>
    <r>
      <rPr>
        <sz val="11"/>
        <color theme="1"/>
        <rFont val="Calibri Light"/>
        <family val="2"/>
        <scheme val="major"/>
      </rPr>
      <t>- Control/eradicate european carp</t>
    </r>
  </si>
  <si>
    <r>
      <rPr>
        <b/>
        <sz val="11"/>
        <color theme="1"/>
        <rFont val="Calibri Light"/>
        <family val="2"/>
        <scheme val="major"/>
      </rPr>
      <t xml:space="preserve">Ground water - </t>
    </r>
    <r>
      <rPr>
        <sz val="11"/>
        <color theme="1"/>
        <rFont val="Calibri Light"/>
        <family val="2"/>
        <scheme val="major"/>
      </rPr>
      <t>Cap remaining artesian bores in the GAB</t>
    </r>
  </si>
  <si>
    <t>SKM, 2014; GABCC, 2016; Queensland Government, 2015; Australian Government, 2003;</t>
  </si>
  <si>
    <r>
      <rPr>
        <b/>
        <sz val="11"/>
        <color theme="1"/>
        <rFont val="Calibri Light"/>
        <family val="2"/>
        <scheme val="major"/>
      </rPr>
      <t>Ground water -</t>
    </r>
    <r>
      <rPr>
        <sz val="11"/>
        <color theme="1"/>
        <rFont val="Calibri Light"/>
        <family val="2"/>
        <scheme val="major"/>
      </rPr>
      <t xml:space="preserve"> Convert remaining bore-drains to pipes/troughs in the GAB</t>
    </r>
  </si>
  <si>
    <r>
      <t xml:space="preserve">Ground water, rivers (and estuaries) </t>
    </r>
    <r>
      <rPr>
        <sz val="11"/>
        <color theme="1"/>
        <rFont val="Calibri Light"/>
        <family val="2"/>
        <scheme val="major"/>
      </rPr>
      <t>- Retrofitting Water Sensitive Urban Design ro existing detached dwellings and units</t>
    </r>
  </si>
  <si>
    <t>No. Households</t>
  </si>
  <si>
    <t xml:space="preserve">ABS, 2016; Queensland Government, 2012; </t>
  </si>
  <si>
    <r>
      <rPr>
        <b/>
        <sz val="11"/>
        <color theme="1"/>
        <rFont val="Calibri Light"/>
        <family val="2"/>
        <scheme val="major"/>
      </rPr>
      <t>Ground water -</t>
    </r>
    <r>
      <rPr>
        <sz val="11"/>
        <color theme="1"/>
        <rFont val="Calibri Light"/>
        <family val="2"/>
        <scheme val="major"/>
      </rPr>
      <t xml:space="preserve"> Salt-tolerant vegetation in areas of high-salinity risk (including using 'saltland agronomy techniques')</t>
    </r>
  </si>
  <si>
    <t>CSIRO, 2000; Virtual Consulting and Griffin NRM, 2000;  ABS, 2002;</t>
  </si>
  <si>
    <t>Sub-total repair cost</t>
  </si>
  <si>
    <t>Total repair cost (including transaction costs)</t>
  </si>
  <si>
    <t>Maintenance cost</t>
  </si>
  <si>
    <r>
      <rPr>
        <b/>
        <sz val="11"/>
        <color theme="1"/>
        <rFont val="Calibri Light"/>
        <family val="2"/>
        <scheme val="major"/>
      </rPr>
      <t>Rivers -</t>
    </r>
    <r>
      <rPr>
        <sz val="11"/>
        <color theme="1"/>
        <rFont val="Calibri Light"/>
        <family val="2"/>
        <scheme val="major"/>
      </rPr>
      <t xml:space="preserve"> Riparian area maintenance and monitoring (including replanting where required)</t>
    </r>
  </si>
  <si>
    <t>Bartley et al, 2015; Alluvium, 2016</t>
  </si>
  <si>
    <r>
      <t xml:space="preserve">Ground water, rivers (and estuaries) </t>
    </r>
    <r>
      <rPr>
        <sz val="11"/>
        <color theme="1"/>
        <rFont val="Calibri Light"/>
        <family val="2"/>
        <scheme val="major"/>
      </rPr>
      <t>- Retrofitting Water Sensitive Urban Design to new detached dwellings and units</t>
    </r>
  </si>
  <si>
    <t>No. Houses</t>
  </si>
  <si>
    <r>
      <rPr>
        <b/>
        <sz val="11"/>
        <color theme="1"/>
        <rFont val="Calibri Light"/>
        <family val="2"/>
        <scheme val="major"/>
      </rPr>
      <t>Ground water -</t>
    </r>
    <r>
      <rPr>
        <sz val="11"/>
        <color theme="1"/>
        <rFont val="Calibri Light"/>
        <family val="2"/>
        <scheme val="major"/>
      </rPr>
      <t xml:space="preserve"> Bore operation, maintenance, repair and renewal</t>
    </r>
  </si>
  <si>
    <t>Total annual maintenance costs</t>
  </si>
  <si>
    <t>NATIVE VEGETATION, FORESTRY &amp; WILDLIFE</t>
  </si>
  <si>
    <t>Vegetation, repairing degraded major vegetation in conservation areas</t>
  </si>
  <si>
    <t>Vegetation, establishment of fencing to protect repair efforts in grazing areas</t>
  </si>
  <si>
    <t xml:space="preserve">Vegetation, new conservation areas to ensure 30% of each major native vegetation type is represented </t>
  </si>
  <si>
    <t>Wildlife, new conservation areas to ensure each EPBC listed threatened species range is supported</t>
  </si>
  <si>
    <t>Wildlife, threatened species recovery for mammals</t>
  </si>
  <si>
    <t xml:space="preserve">Wildllife, threatened species recovery for frogs </t>
  </si>
  <si>
    <t xml:space="preserve">Wildlife, threatened species recovery for birds </t>
  </si>
  <si>
    <t>Garnett, 2013</t>
  </si>
  <si>
    <t>Wildlife, specific management actions - birds</t>
  </si>
  <si>
    <t>Wildlife, specific management actions - mammals</t>
  </si>
  <si>
    <t xml:space="preserve">Vegetation, fire management in repaired and new conservation areas </t>
  </si>
  <si>
    <t>Vegetation, introduced herbivore management in repaired and new conservation areas</t>
  </si>
  <si>
    <t>Vegetation, feral animal management in repaired and new conservation areas</t>
  </si>
  <si>
    <t>Vegetation, weeds management</t>
  </si>
  <si>
    <t xml:space="preserve">Vegetation, wildlife and soils - biosecurity reforms (preventative pest management) </t>
  </si>
  <si>
    <t>Beele Review, 2008</t>
  </si>
  <si>
    <t>Total Annual maintenance costs</t>
  </si>
  <si>
    <t>Change in grazing management from "minimum standads" to "best practice"</t>
  </si>
  <si>
    <t>Carbon and nitrogen - nutrient balance (see comment)</t>
  </si>
  <si>
    <t>Initial application of lime to address soil acidification</t>
  </si>
  <si>
    <t>CSIRO, 2000; NLWA, 2001; Virtual Consulting, 2000; WA Government, 2016;</t>
  </si>
  <si>
    <t>Implement drainage and runoff controls to manage erosion</t>
  </si>
  <si>
    <t>Initial application of gypsum to address soil structure decline</t>
  </si>
  <si>
    <t>Bornick and Lal, 2005; Virtual Consulting, 2000;</t>
  </si>
  <si>
    <t>Acid tolerant agriculture</t>
  </si>
  <si>
    <t>CSIRO, 2000; NLWA, 2001; Virtual Consulting, 2000;</t>
  </si>
  <si>
    <t>Establishment of environmental accounts for each farm</t>
  </si>
  <si>
    <t>Ongoing annual application of lime to address soil acidification</t>
  </si>
  <si>
    <t>Updating environmental accounts for each farm</t>
  </si>
  <si>
    <t>ESTUARIES &amp; COASTS</t>
  </si>
  <si>
    <t>Upfront repaur cost</t>
  </si>
  <si>
    <r>
      <rPr>
        <b/>
        <sz val="11"/>
        <color theme="1"/>
        <rFont val="Calibri Light"/>
        <family val="2"/>
        <scheme val="major"/>
      </rPr>
      <t>Estuaries -</t>
    </r>
    <r>
      <rPr>
        <sz val="11"/>
        <color theme="1"/>
        <rFont val="Calibri Light"/>
        <family val="2"/>
        <scheme val="major"/>
      </rPr>
      <t xml:space="preserve"> Remove/remediate priority barriers to fish migration (coastal) IS THIS JUST BARRAGES? </t>
    </r>
  </si>
  <si>
    <t>JH Harris (UNSW) / Gordos et al, 2007; Catchment Solutions, 2015; Harris et al, 2016</t>
  </si>
  <si>
    <t>See Riparian data from NVIS</t>
  </si>
  <si>
    <t>OCEANS &amp; FISHERIES</t>
  </si>
  <si>
    <t>Non-lethal shark barriers</t>
  </si>
  <si>
    <t>UPDATE NEW RIPARIAN &amp; ENSURE ALL FIGURES MATCH</t>
  </si>
  <si>
    <r>
      <rPr>
        <b/>
        <sz val="14"/>
        <color theme="1"/>
        <rFont val="Calibri Light"/>
        <family val="2"/>
        <scheme val="major"/>
      </rPr>
      <t>The cost of repairing Australia's Natural Capital 2017</t>
    </r>
    <r>
      <rPr>
        <b/>
        <sz val="11"/>
        <color theme="1"/>
        <rFont val="Calibri Light"/>
        <family val="2"/>
        <scheme val="major"/>
      </rPr>
      <t xml:space="preserve">
</t>
    </r>
    <r>
      <rPr>
        <i/>
        <sz val="11"/>
        <color theme="1"/>
        <rFont val="Calibri Light"/>
        <family val="2"/>
        <scheme val="major"/>
      </rPr>
      <t>Confidential, Version 1.22 (Work-in-progress)</t>
    </r>
  </si>
  <si>
    <t>Repair &amp; Conservation</t>
  </si>
  <si>
    <t>Monitoring 
&amp; Maintenance</t>
  </si>
  <si>
    <t>Clean &amp; Abundant Freshwater</t>
  </si>
  <si>
    <t xml:space="preserve">What's out? </t>
  </si>
  <si>
    <t>General</t>
  </si>
  <si>
    <t>Islands</t>
  </si>
  <si>
    <t xml:space="preserve">Conserving and protecting non-agricultural land already developed (VAST 6) </t>
  </si>
  <si>
    <t>Areas already converted to VAST 6</t>
  </si>
  <si>
    <t>Repair only from VAST 4 &amp; 5 (VAST 3 considered ecologically sustainable)</t>
  </si>
  <si>
    <t>Riparian buffers on minor rivers (perennial and non-perennial), wetlands and lakes</t>
  </si>
  <si>
    <t>Invasive species (except carp)</t>
  </si>
  <si>
    <t>Over extracted surface water systems outside MDB  (WSUD deals with some)</t>
  </si>
  <si>
    <t>Over extracted ground water systems (WSUD deals with some)</t>
  </si>
  <si>
    <t>Native vegetation, forestry and native wildlife</t>
  </si>
  <si>
    <t>Agricultural soils</t>
  </si>
  <si>
    <t>Pesticide management</t>
  </si>
  <si>
    <t>Chemical management (except Ammonia)</t>
  </si>
  <si>
    <t>Annual maintenance cost</t>
  </si>
  <si>
    <t>Estuaries &amp; Coasts</t>
  </si>
  <si>
    <t>RI-MA1</t>
  </si>
  <si>
    <t>Ponded pastures outside Queensland</t>
  </si>
  <si>
    <t>RI-MA2</t>
  </si>
  <si>
    <t>Dredging (e.g. longer jetties instead)</t>
  </si>
  <si>
    <t>RI-MA3</t>
  </si>
  <si>
    <t>Aquaculture</t>
  </si>
  <si>
    <t>RI-MA4</t>
  </si>
  <si>
    <t>Vessel activity</t>
  </si>
  <si>
    <t>Invasive species</t>
  </si>
  <si>
    <t>Aquatic diseases (AQUA plan????)</t>
  </si>
  <si>
    <t>Clearing saltmarsh for mosquito control???</t>
  </si>
  <si>
    <t>Native vegetation, forestry and native wildllife</t>
  </si>
  <si>
    <t>Limitations</t>
  </si>
  <si>
    <t>$ range</t>
  </si>
  <si>
    <t>Site specific</t>
  </si>
  <si>
    <t>GIS resolution</t>
  </si>
  <si>
    <t>Land is assumed under private ownership if FCI &gt; 0</t>
  </si>
  <si>
    <t>Some double-counting e.g. ASS and Salt Marsh</t>
  </si>
  <si>
    <t>NW-MA1</t>
  </si>
  <si>
    <t>NW-MA2</t>
  </si>
  <si>
    <t>NW-MA3</t>
  </si>
  <si>
    <t>NV-MA1</t>
  </si>
  <si>
    <t xml:space="preserve">Sustainable farms and productive soils </t>
  </si>
  <si>
    <t>Returns</t>
  </si>
  <si>
    <t>Upfront repaIr cost</t>
  </si>
  <si>
    <t>Oceans &amp; Fisheries</t>
  </si>
  <si>
    <t>TBA</t>
  </si>
  <si>
    <t>Ghost nets</t>
  </si>
  <si>
    <t>Key Assumptions</t>
  </si>
  <si>
    <t>Number of years</t>
  </si>
  <si>
    <t>Discount rate</t>
  </si>
  <si>
    <t>Veg laws</t>
  </si>
  <si>
    <t>Mine sites</t>
  </si>
  <si>
    <t>Formal protection of uncleared native areas on crown land</t>
  </si>
  <si>
    <t>Freshwater (rivers, lakes and groundwater)</t>
  </si>
  <si>
    <t xml:space="preserve">Licencing all bores </t>
  </si>
  <si>
    <t>Ref</t>
  </si>
  <si>
    <t>ISO14001 on coastal construction activities</t>
  </si>
  <si>
    <t>CSIRO/ Denise Hardeston - TAP 2009</t>
  </si>
  <si>
    <t>Dealing with physical disturbance from vessel activity</t>
  </si>
  <si>
    <t xml:space="preserve">Dealing with physical disturbance from recreational fishing </t>
  </si>
  <si>
    <t>Limitations of foreshore contruction</t>
  </si>
  <si>
    <t>Emma Johnston</t>
  </si>
  <si>
    <t>WSUD on new residential dwellings</t>
  </si>
  <si>
    <t>Jim Binney</t>
  </si>
  <si>
    <t>New moorings must be seagrass friendly</t>
  </si>
  <si>
    <t>Recreational licences in all states</t>
  </si>
  <si>
    <t>Protect Mangroves and seagrass meadows (from people anchoring etc)</t>
  </si>
  <si>
    <t>No more in-filling for saltmarsh ecosystems, no more solar salt production</t>
  </si>
  <si>
    <t>Australian Government in consultation with the states and territories to facilitate the review of existing arrangements relevant to the control of marine debris on vessels smaller than 400 gross tonnes (including fishing vessels).</t>
  </si>
  <si>
    <t>State and territory governments to consider reviewing legislation to ensure that details of waste reception facilities for ships are included in port environment plans.</t>
  </si>
  <si>
    <t>Manage threats- seismic surveys, oil and gas, shipping, fishing</t>
  </si>
  <si>
    <t>CSIRO Marine Report</t>
  </si>
  <si>
    <t>Regulate microplastics (e.g. california)</t>
  </si>
  <si>
    <t>Manage biofouling</t>
  </si>
  <si>
    <t>http://www.environment.gov.au/marine/marine-pollution/marine-pests</t>
  </si>
  <si>
    <t>Enforcement</t>
  </si>
  <si>
    <t>National emissions standards (particularly for Ports) and for vehicles</t>
  </si>
  <si>
    <t>EU adopted “Integrated Pest Management”: legislation to achieve sustainable use of pesticides, and prioritise non-chemical methods. </t>
  </si>
  <si>
    <t>ASS regulation</t>
  </si>
  <si>
    <t>Extent</t>
  </si>
  <si>
    <t>~ See separate file for more detail ~</t>
  </si>
  <si>
    <t>RIVERS</t>
  </si>
  <si>
    <t>Extent of riparian veg to be restored / conserved  (km)</t>
  </si>
  <si>
    <t>Extent of riparian veg to be restored / conserved  (ha)</t>
  </si>
  <si>
    <t>Urban restoration KM</t>
  </si>
  <si>
    <t>Urban restoration cost</t>
  </si>
  <si>
    <t>NorThern Gulf</t>
  </si>
  <si>
    <t>Average except MRCCC</t>
  </si>
  <si>
    <t>km</t>
  </si>
  <si>
    <t>restore cost ($/km)</t>
  </si>
  <si>
    <t>carbon (tCo2 in standing)</t>
  </si>
  <si>
    <t>opportunity cost ($)</t>
  </si>
  <si>
    <t>restore cost ($)</t>
  </si>
  <si>
    <t>Total costs ($)</t>
  </si>
  <si>
    <t>Grazing land (native veg) VAST 3</t>
  </si>
  <si>
    <t>Grazing land (native veg) VAST 5</t>
  </si>
  <si>
    <t>Grazing land (irrigated) VAST 3</t>
  </si>
  <si>
    <t>Grazing land (irrigated) VAST 5</t>
  </si>
  <si>
    <t>Cropping land VAST 3</t>
  </si>
  <si>
    <t>Cropping land VAST 5</t>
  </si>
  <si>
    <t>Industrial &amp; commercial infrastructure VAST 3</t>
  </si>
  <si>
    <t>Industrial &amp; commercial infrastructure VAST 5</t>
  </si>
  <si>
    <t>Critical public infrastructure VAST 3</t>
  </si>
  <si>
    <t>Critical public infrastructure VAST 5</t>
  </si>
  <si>
    <t>Mining &amp; WWT VAST 3</t>
  </si>
  <si>
    <t>Mining &amp; WWT VAST 5</t>
  </si>
  <si>
    <t>Intensive animal husbandry VAST 3</t>
  </si>
  <si>
    <t>Intensive animal husbandry VAST 5</t>
  </si>
  <si>
    <t>Cropping land (irrigated) VAST 3</t>
  </si>
  <si>
    <t>Cropping land (irrigated) VAST 5</t>
  </si>
  <si>
    <t>Irrigated plantation forestry VAST 3</t>
  </si>
  <si>
    <t>Irrigated plantation forestry VAST 5</t>
  </si>
  <si>
    <t>Nature conservation VAST 3</t>
  </si>
  <si>
    <t>Nature conservation VAST 5</t>
  </si>
  <si>
    <t>Managed resource protection VAST 3</t>
  </si>
  <si>
    <t>Managed resource protection VAST 5</t>
  </si>
  <si>
    <t>Other minimal use VAST 3</t>
  </si>
  <si>
    <t>Other minimal use VAST 5</t>
  </si>
  <si>
    <t>Totals</t>
  </si>
  <si>
    <t>All urban VAST 6</t>
  </si>
  <si>
    <t>Assumes just 20% of streams can be restored due to constraints of existing buildings and other infrastructure</t>
  </si>
  <si>
    <t>"No data" removed</t>
  </si>
  <si>
    <t>Areas of key infrastructure removed</t>
  </si>
  <si>
    <t>Extent of riparian veg to be conserved/restored  (ha)</t>
  </si>
  <si>
    <t>Nature conservation, minimal resource use VAST 3</t>
  </si>
  <si>
    <t>Nature conservation, minimal resource use VAST 5</t>
  </si>
  <si>
    <t>Urban streams (20% of total)</t>
  </si>
  <si>
    <t>Opportunity cost (all)</t>
  </si>
  <si>
    <t>Grazing land VAST 3</t>
  </si>
  <si>
    <t>Grazing land VAST 5</t>
  </si>
  <si>
    <t>Forestry VAST 3</t>
  </si>
  <si>
    <t>Forestry VAST 5</t>
  </si>
  <si>
    <t>Mining, WWT, intensive uses VAST 3</t>
  </si>
  <si>
    <t>Mining, WWT, intensive uses VAST 5</t>
  </si>
  <si>
    <t>Mining, WWT, Industrial &amp; commercial infrastructure urban stream</t>
  </si>
  <si>
    <t>Riparian restore VAST 3</t>
  </si>
  <si>
    <t>Riparian restore VAST 5</t>
  </si>
  <si>
    <t>Urban streams revitalisation</t>
  </si>
  <si>
    <t>Lakes &amp; Wetlands VAST 3</t>
  </si>
  <si>
    <t>Lakes &amp; Wetlands VAST 5</t>
  </si>
  <si>
    <t>Estuaries VAST 3</t>
  </si>
  <si>
    <t>Estuaries VAST 5</t>
  </si>
  <si>
    <t>Extent of riparian veg to be restored  (HA)</t>
  </si>
  <si>
    <t>Riparian repair</t>
  </si>
  <si>
    <t xml:space="preserve">! Forested stream length and change by major divisions - GIS extent of cleard riparian areas has been cross-checked against 2005 AGO data below ! </t>
  </si>
  <si>
    <t>Division</t>
  </si>
  <si>
    <t>Total Km</t>
  </si>
  <si>
    <t>Forested Length 1991</t>
  </si>
  <si>
    <t>Forested Length 2004</t>
  </si>
  <si>
    <t>Change by 1991</t>
  </si>
  <si>
    <t>Change by 2004</t>
  </si>
  <si>
    <t>Change between 1999 and 2004</t>
  </si>
  <si>
    <t>Recent change as prpt of stream length</t>
  </si>
  <si>
    <t>Forested length versus total length</t>
  </si>
  <si>
    <t>% tgt rq'd</t>
  </si>
  <si>
    <t>Add kms required</t>
  </si>
  <si>
    <t>Total North-East Coast Drainage Division</t>
  </si>
  <si>
    <t>Total Western Plateau Drainage Division</t>
  </si>
  <si>
    <t>Total South-East Coast Drainage Division</t>
  </si>
  <si>
    <t>Total Tasmania Drainage Division</t>
  </si>
  <si>
    <t>Total Murray-Darling Drainage Division</t>
  </si>
  <si>
    <t>Total South Australian Gulf Drainage Division</t>
  </si>
  <si>
    <t>Total South-West Coast Drainage Division</t>
  </si>
  <si>
    <t>Total Indian Ocean Drainage Division</t>
  </si>
  <si>
    <t>Total Gulf of Carpentaria Drainage Division</t>
  </si>
  <si>
    <t>https://www.environment.gov.au/node/22199</t>
  </si>
  <si>
    <t>Bore capping</t>
  </si>
  <si>
    <t>Item</t>
  </si>
  <si>
    <t>GAB Artesian bores (no)</t>
  </si>
  <si>
    <t>GAB Sub-artesian bores</t>
  </si>
  <si>
    <t>GAB Open bore drains (km)</t>
  </si>
  <si>
    <t>95% wasted evap/seepage</t>
  </si>
  <si>
    <t>To be capped</t>
  </si>
  <si>
    <t xml:space="preserve">Equivalent ML cost </t>
  </si>
  <si>
    <t>Dams</t>
  </si>
  <si>
    <t>Average</t>
  </si>
  <si>
    <t>gab Split %</t>
  </si>
  <si>
    <t>Restoration costs</t>
  </si>
  <si>
    <t>Vegetation category </t>
  </si>
  <si>
    <t>$/ha</t>
  </si>
  <si>
    <t>Rainforest*</t>
  </si>
  <si>
    <t>Forests and woodlands</t>
  </si>
  <si>
    <t>Shrublands</t>
  </si>
  <si>
    <t>Grasslands</t>
  </si>
  <si>
    <t>Wetlands</t>
  </si>
  <si>
    <t>Chenopods, Samphire shrubs and Forblands</t>
  </si>
  <si>
    <t>Mangroves</t>
  </si>
  <si>
    <t xml:space="preserve">Maggini, R, Kujala, H, Taylor, MFJ, Lee, JR, Possingham, HP, Wintle, BA &amp; Fuller, RA 2013, Protecting and restoring habitat to help Australia’s threatened species adapt to climate change, National Climate Change Adaptation Research Facility, Gold Coast, 54 pp
</t>
  </si>
  <si>
    <t>Management costs</t>
  </si>
  <si>
    <t>‘A 2007 Report of the Senate Environment Committee entitled “Conserving Australia: Australia's national parks, conservation reserves and marine protected areas” estimated the average cost of managing terrestrial Commonwealth reserves was $26/ha. The report also found that the equivalent costs in New South Wales was $37/ha and in Victoria $30/ha. Based on the 2012-13 budget for the Tasmanian Parks and Wildlife Service of $45.6M the cost per hectare of land managed equates to just $18.3/ha - a long way short of the figures quoted for other jurisdictions in 2007</t>
  </si>
  <si>
    <t>Pest and weed management, NSW Government 2006</t>
  </si>
  <si>
    <t>National parks (pest and weeds)</t>
  </si>
  <si>
    <t>Queensland, Adams, 2006</t>
  </si>
  <si>
    <t>National parks</t>
  </si>
  <si>
    <t>AWC</t>
  </si>
  <si>
    <t>BHA</t>
  </si>
  <si>
    <t>Native veg results (24 November 2017)</t>
  </si>
  <si>
    <t>Threatened ecological communities</t>
  </si>
  <si>
    <t>Community</t>
  </si>
  <si>
    <t>EPBC Status</t>
  </si>
  <si>
    <t>Date effective</t>
  </si>
  <si>
    <t>ID</t>
  </si>
  <si>
    <t>Profile</t>
  </si>
  <si>
    <t>Eastern Suburbs Banksia Scrub of the Sydney Region</t>
  </si>
  <si>
    <t>Endangered</t>
  </si>
  <si>
    <t>2000-Jul-16</t>
  </si>
  <si>
    <t>Yes</t>
  </si>
  <si>
    <t>http://www.environment.gov.au/cgi-bin/sprat/public/publicshowcommunity.pl?id=2</t>
  </si>
  <si>
    <t>Buloke Woodlands of the Riverina and Murray-Darling Depression Bioregions</t>
  </si>
  <si>
    <t>http://www.environment.gov.au/cgi-bin/sprat/public/publicshowcommunity.pl?id=3</t>
  </si>
  <si>
    <t xml:space="preserve">21 of 67 TECs protected under the EPBC, </t>
  </si>
  <si>
    <t>Aquatic Root Mat Community 1 in Caves of the Leeuwin Naturaliste Ridge</t>
  </si>
  <si>
    <t>http://www.environment.gov.au/cgi-bin/sprat/public/publicshowcommunity.pl?id=6</t>
  </si>
  <si>
    <t>Total 6m ha covered by the EPBC</t>
  </si>
  <si>
    <t>Silurian Limestone Pomaderris Shrubland of the South East Corner and Australian Alps Bioregions</t>
  </si>
  <si>
    <t>http://www.environment.gov.au/cgi-bin/sprat/public/publicshowcommunity.pl?id=7</t>
  </si>
  <si>
    <t>https://www.hsi.org.au/assets/publications/492_special-bulletin-conserving-australia-s-threatened-ecosystems-an.pdf</t>
  </si>
  <si>
    <t>Thrombolite (microbial) community of coastal freshwater lakes of the Swan Coastal Plain (Lake Richmond)</t>
  </si>
  <si>
    <t>http://www.environment.gov.au/cgi-bin/sprat/public/publicshowcommunity.pl?id=8</t>
  </si>
  <si>
    <t>Aquatic Root Mat Community 2 in Caves of the Leeuwin Naturaliste Ridge</t>
  </si>
  <si>
    <t>http://www.environment.gov.au/cgi-bin/sprat/public/publicshowcommunity.pl?id=9</t>
  </si>
  <si>
    <t>At present 26 ecological communities have recovery plans in place, and
a further 28 have such plans being drafted. The remaining 13 communities
listed under the EPBC Act have detailed Conservation Advices, in which
priority conservation actions and other guidance for environmental
decision-making are provided, prepared prior to and made publicly
available at the time of their gazettal. The use of Conservation Advices
by the Department of Environment in part reflects increasingly restricted
budgets and a severe backlog in recovery planning</t>
  </si>
  <si>
    <t>Aquatic Root Mat Community 3 in Caves of the Leeuwin Naturaliste Ridge</t>
  </si>
  <si>
    <t>http://www.environment.gov.au/cgi-bin/sprat/public/publicshowcommunity.pl?id=10</t>
  </si>
  <si>
    <t xml:space="preserve">To date 67 terrestrial, freshwater and marine TECs covering around 6 million hectares have been listed and protected under the EPBC Act
as Matters of National Environmental Significance, with the current national list representing more than 150 Vulnerable, Endangered and
CriticallyEndangeredecologicalcommunitiesandequivalentsrecognised under state laws, with an approximate former extent of around 31 million
hectares. I </t>
  </si>
  <si>
    <t>Aquatic Root Mat Community 4 in Caves of the Leeuwin Naturaliste Ridge</t>
  </si>
  <si>
    <t>http://www.environment.gov.au/cgi-bin/sprat/public/publicshowcommunity.pl?id=11</t>
  </si>
  <si>
    <t>Aquatic Root Mat Community in Caves of the Swan Coastal Plain</t>
  </si>
  <si>
    <t>http://www.environment.gov.au/cgi-bin/sprat/public/publicshowcommunity.pl?id=12</t>
  </si>
  <si>
    <t>Eastern Stirling Range Montane Heath and Thicket</t>
  </si>
  <si>
    <t>http://www.environment.gov.au/cgi-bin/sprat/public/publicshowcommunity.pl?id=13</t>
  </si>
  <si>
    <t>Perched Wetlands of the Wheatbelt region with extensive stands of living sheoak and paperbark across the lake floor (Toolibin Lake)</t>
  </si>
  <si>
    <t>http://www.environment.gov.au/cgi-bin/sprat/public/publicshowcommunity.pl?id=15</t>
  </si>
  <si>
    <t>Assemblages of plants and invertebrate animals of tumulus (organic mound) springs of the Swan Coastal Plain</t>
  </si>
  <si>
    <t>http://www.environment.gov.au/cgi-bin/sprat/public/publicshowcommunity.pl?id=16</t>
  </si>
  <si>
    <t>Corymbia calophylla - Kingia australis woodlands on heavy soils of the Swan Coastal Plain</t>
  </si>
  <si>
    <t>http://www.environment.gov.au/cgi-bin/sprat/public/publicshowcommunity.pl?id=17</t>
  </si>
  <si>
    <t>Corymbia calophylla - Xanthorrhoea preissii woodlands and shrublands of the Swan Coastal Plain</t>
  </si>
  <si>
    <t>http://www.environment.gov.au/cgi-bin/sprat/public/publicshowcommunity.pl?id=18</t>
  </si>
  <si>
    <t>Sedgelands in Holocene dune swales of the southern Swan Coastal Plain</t>
  </si>
  <si>
    <t>http://www.environment.gov.au/cgi-bin/sprat/public/publicshowcommunity.pl?id=19</t>
  </si>
  <si>
    <t>Shrublands and Woodlands of the eastern Swan Coastal Plain</t>
  </si>
  <si>
    <t>http://www.environment.gov.au/cgi-bin/sprat/public/publicshowcommunity.pl?id=20</t>
  </si>
  <si>
    <t>Shrublands and Woodlands on Muchea Limestone of the Swan Coastal Plain</t>
  </si>
  <si>
    <t>http://www.environment.gov.au/cgi-bin/sprat/public/publicshowcommunity.pl?id=21</t>
  </si>
  <si>
    <t>Shrublands and Woodlands on Perth to Gingin ironstone (Perth to Gingin ironstone association) of the Swan Coastal Plain</t>
  </si>
  <si>
    <t>http://www.environment.gov.au/cgi-bin/sprat/public/publicshowcommunity.pl?id=22</t>
  </si>
  <si>
    <t>Shrublands on southern Swan Coastal Plain ironstones</t>
  </si>
  <si>
    <t>http://www.environment.gov.au/cgi-bin/sprat/public/publicshowcommunity.pl?id=23</t>
  </si>
  <si>
    <t>Semi-evergreen vine thickets of the Brigalow Belt (North and South) and Nandewar Bioregions</t>
  </si>
  <si>
    <t>2001-Apr-04</t>
  </si>
  <si>
    <t>http://www.environment.gov.au/cgi-bin/sprat/public/publicshowcommunity.pl?id=24</t>
  </si>
  <si>
    <t>The community of native species dependent on natural discharge of groundwater from the Great Artesian Basin</t>
  </si>
  <si>
    <t>http://www.environment.gov.au/cgi-bin/sprat/public/publicshowcommunity.pl?id=26</t>
  </si>
  <si>
    <t>Brigalow (Acacia harpophylla dominant and co-dominant)</t>
  </si>
  <si>
    <t>http://www.environment.gov.au/cgi-bin/sprat/public/publicshowcommunity.pl?id=28</t>
  </si>
  <si>
    <t>Alpine Sphagnum Bogs and Associated Fens</t>
  </si>
  <si>
    <t>2009-Jan-07</t>
  </si>
  <si>
    <t>http://www.environment.gov.au/cgi-bin/sprat/public/publicshowcommunity.pl?id=29</t>
  </si>
  <si>
    <t>Mabi Forest (Complex Notophyll Vine Forest 5b)</t>
  </si>
  <si>
    <t>Critically Endangered</t>
  </si>
  <si>
    <t>2002-Oct-08</t>
  </si>
  <si>
    <t>http://www.environment.gov.au/cgi-bin/sprat/public/publicshowcommunity.pl?id=30</t>
  </si>
  <si>
    <t>Swamps of the Fleurieu Peninsula</t>
  </si>
  <si>
    <t>2003-Mar-21</t>
  </si>
  <si>
    <t>http://www.environment.gov.au/cgi-bin/sprat/public/publicshowcommunity.pl?id=31</t>
  </si>
  <si>
    <t>Temperate Highland Peat Swamps on Sandstone</t>
  </si>
  <si>
    <t>2005-May-12</t>
  </si>
  <si>
    <t>http://www.environment.gov.au/cgi-bin/sprat/public/publicshowcommunity.pl?id=32</t>
  </si>
  <si>
    <t>Swamp Tea-tree (Melaleuca irbyana) Forest of South-east Queensland</t>
  </si>
  <si>
    <t>2005-Apr-15</t>
  </si>
  <si>
    <t>http://www.environment.gov.au/cgi-bin/sprat/public/publicshowcommunity.pl?id=33</t>
  </si>
  <si>
    <t>Peppermint Box (Eucalyptus odorata) Grassy Woodland of South Australia</t>
  </si>
  <si>
    <t>2007-Jun-21</t>
  </si>
  <si>
    <t>http://www.environment.gov.au/cgi-bin/sprat/public/publicshowcommunity.pl?id=36</t>
  </si>
  <si>
    <t>Iron-grass Natural Temperate Grassland of South Australia</t>
  </si>
  <si>
    <t>http://www.environment.gov.au/cgi-bin/sprat/public/publicshowcommunity.pl?id=37</t>
  </si>
  <si>
    <t>Turpentine-Ironbark Forest of the Sydney Basin Bioregion</t>
  </si>
  <si>
    <t>2005-Aug-26</t>
  </si>
  <si>
    <t>http://www.environment.gov.au/cgi-bin/sprat/public/publicshowcommunity.pl?id=38</t>
  </si>
  <si>
    <t>Upland Wetlands of the New England Tablelands (New England Tableland Bioregion) and the Monaro Plateau (South Eastern Highlands Bioregion)</t>
  </si>
  <si>
    <t>2005-Nov-17</t>
  </si>
  <si>
    <t>http://www.environment.gov.au/cgi-bin/sprat/public/publicshowcommunity.pl?id=39</t>
  </si>
  <si>
    <t>Eucalyptus ovata - Callitris oblonga Forest</t>
  </si>
  <si>
    <t>Vulnerable</t>
  </si>
  <si>
    <t>2004-Sep-01</t>
  </si>
  <si>
    <t>http://www.environment.gov.au/cgi-bin/sprat/public/publicshowcommunity.pl?id=40</t>
  </si>
  <si>
    <t>Natural Temperate Grassland of the Victorian Volcanic Plain</t>
  </si>
  <si>
    <t>2008-Jun-21</t>
  </si>
  <si>
    <t>http://www.environment.gov.au/cgi-bin/sprat/public/publicshowcommunity.pl?id=42</t>
  </si>
  <si>
    <t>White Box-Yellow Box-Blakely's Red Gum Grassy Woodland and Derived Native Grassland</t>
  </si>
  <si>
    <t>2006-May-17</t>
  </si>
  <si>
    <t>http://www.environment.gov.au/cgi-bin/sprat/public/publicshowcommunity.pl?id=43</t>
  </si>
  <si>
    <t>Hunter Valley Weeping Myall (Acacia pendula) Woodland</t>
  </si>
  <si>
    <t>2005-Aug-01</t>
  </si>
  <si>
    <t>http://www.environment.gov.au/cgi-bin/sprat/public/publicshowcommunity.pl?id=44</t>
  </si>
  <si>
    <t>Grassy Eucalypt Woodland of the Victorian Volcanic Plain</t>
  </si>
  <si>
    <t>2009-Jun-25</t>
  </si>
  <si>
    <t>http://www.environment.gov.au/cgi-bin/sprat/public/publicshowcommunity.pl?id=46</t>
  </si>
  <si>
    <t>Blue Gum High Forest of the Sydney Basin Bioregion</t>
  </si>
  <si>
    <t>http://www.environment.gov.au/cgi-bin/sprat/public/publicshowcommunity.pl?id=47</t>
  </si>
  <si>
    <t>Upland Basalt Eucalypt Forests of the Sydney Basin Bioregion</t>
  </si>
  <si>
    <t>2011-Nov-25</t>
  </si>
  <si>
    <t>http://www.environment.gov.au/cgi-bin/sprat/public/publicshowcommunity.pl?id=60</t>
  </si>
  <si>
    <t>Southern Highlands Shale Forest and Woodland in the Sydney Basin Bioregion</t>
  </si>
  <si>
    <t>2015-Aug-28</t>
  </si>
  <si>
    <t>http://www.environment.gov.au/cgi-bin/sprat/public/publicshowcommunity.pl?id=62</t>
  </si>
  <si>
    <t>Coolibah - Black Box Woodlands of the Darling Riverine Plains and the Brigalow Belt South Bioregions</t>
  </si>
  <si>
    <t>2011-Mar-01</t>
  </si>
  <si>
    <t>http://www.environment.gov.au/cgi-bin/sprat/public/publicshowcommunity.pl?id=66</t>
  </si>
  <si>
    <t>https://www.hsi.org.au/go/to/94/threatened-ecological-communities.html</t>
  </si>
  <si>
    <t>Gippsland Red Gum (Eucalyptus tereticornis subsp. mediana) Grassy Woodland and Associated Native Grassland</t>
  </si>
  <si>
    <t>http://www.environment.gov.au/cgi-bin/sprat/public/publicshowcommunity.pl?id=73</t>
  </si>
  <si>
    <t>Lowland Native Grasslands of Tasmania</t>
  </si>
  <si>
    <t>http://www.environment.gov.au/cgi-bin/sprat/public/publicshowcommunity.pl?id=74</t>
  </si>
  <si>
    <t>Littoral Rainforest and Coastal Vine Thickets of Eastern Australia</t>
  </si>
  <si>
    <t>2008-Oct-10</t>
  </si>
  <si>
    <t>http://www.environment.gov.au/cgi-bin/sprat/public/publicshowcommunity.pl?id=76</t>
  </si>
  <si>
    <t>Lowland Grassy Woodland in the South East Corner Bioregion</t>
  </si>
  <si>
    <t>2013-Feb-16</t>
  </si>
  <si>
    <t>http://www.environment.gov.au/cgi-bin/sprat/public/publicshowcommunity.pl?id=82</t>
  </si>
  <si>
    <t>New England Peppermint (Eucalyptus nova-anglica) Grassy Woodlands</t>
  </si>
  <si>
    <t>http://www.environment.gov.au/cgi-bin/sprat/public/publicshowcommunity.pl?id=83</t>
  </si>
  <si>
    <t>Grey Box (Eucalyptus microcarpa) Grassy Woodlands and Derived Native Grasslands of South-eastern Australia</t>
  </si>
  <si>
    <t>2010-Apr-01</t>
  </si>
  <si>
    <t>http://www.environment.gov.au/cgi-bin/sprat/public/publicshowcommunity.pl?id=86</t>
  </si>
  <si>
    <t>Natural grasslands on basalt and fine-textured alluvial plains of northern New South Wales and southern Queensland</t>
  </si>
  <si>
    <t>http://www.environment.gov.au/cgi-bin/sprat/public/publicshowcommunity.pl?id=88</t>
  </si>
  <si>
    <t>Thrombolite (microbialite) Community of a Coastal Brackish Lake (Lake Clifton)</t>
  </si>
  <si>
    <t>2010-Jan-07</t>
  </si>
  <si>
    <t>http://www.environment.gov.au/cgi-bin/sprat/public/publicshowcommunity.pl?id=96</t>
  </si>
  <si>
    <t>Seasonal Herbaceous Wetlands (Freshwater) of the Temperate Lowland Plains</t>
  </si>
  <si>
    <t>2012-Mar-27</t>
  </si>
  <si>
    <t>http://www.environment.gov.au/cgi-bin/sprat/public/publicshowcommunity.pl?id=97</t>
  </si>
  <si>
    <t>Weeping Myall Woodlands</t>
  </si>
  <si>
    <t>http://www.environment.gov.au/cgi-bin/sprat/public/publicshowcommunity.pl?id=98</t>
  </si>
  <si>
    <t>Natural Grasslands of the Queensland Central Highlands and northern Fitzroy Basin</t>
  </si>
  <si>
    <t>http://www.environment.gov.au/cgi-bin/sprat/public/publicshowcommunity.pl?id=99</t>
  </si>
  <si>
    <t>Lowland Rainforest of Subtropical Australia</t>
  </si>
  <si>
    <t>http://www.environment.gov.au/cgi-bin/sprat/public/publicshowcommunity.pl?id=101</t>
  </si>
  <si>
    <t>Kangaroo Island Narrow-leaved Mallee (Eucalyptus cneorifolia) Woodland</t>
  </si>
  <si>
    <t>2014-May-01</t>
  </si>
  <si>
    <t>http://www.environment.gov.au/cgi-bin/sprat/public/publicshowcommunity.pl?id=102</t>
  </si>
  <si>
    <t>Monsoon vine thickets on the coastal sand dunes of Dampier Peninsula</t>
  </si>
  <si>
    <t>2013-Feb-27</t>
  </si>
  <si>
    <t>http://www.environment.gov.au/cgi-bin/sprat/public/publicshowcommunity.pl?id=105</t>
  </si>
  <si>
    <t>Western Sydney Dry Rainforest and Moist Woodland on Shale</t>
  </si>
  <si>
    <t>http://www.environment.gov.au/cgi-bin/sprat/public/publicshowcommunity.pl?id=106</t>
  </si>
  <si>
    <t>Giant Kelp Marine Forests of South East Australia</t>
  </si>
  <si>
    <t>2012-Aug-29</t>
  </si>
  <si>
    <t>http://www.environment.gov.au/cgi-bin/sprat/public/publicshowcommunity.pl?id=107</t>
  </si>
  <si>
    <t>Arnhem Plateau Sandstone Shrubland Complex</t>
  </si>
  <si>
    <t>http://www.environment.gov.au/cgi-bin/sprat/public/publicshowcommunity.pl?id=111</t>
  </si>
  <si>
    <t>Cumberland Plain Shale Woodlands and Shale-Gravel Transition Forest</t>
  </si>
  <si>
    <t>2009-Dec-09</t>
  </si>
  <si>
    <t>http://www.environment.gov.au/cgi-bin/sprat/public/publicshowcommunity.pl?id=112</t>
  </si>
  <si>
    <t>Natural Grasslands of the Murray Valley Plains</t>
  </si>
  <si>
    <t>2012-Sep-08</t>
  </si>
  <si>
    <t>http://www.environment.gov.au/cgi-bin/sprat/public/publicshowcommunity.pl?id=117</t>
  </si>
  <si>
    <t>Subtropical and Temperate Coastal Saltmarsh</t>
  </si>
  <si>
    <t>2013-Aug-10</t>
  </si>
  <si>
    <t>http://www.environment.gov.au/cgi-bin/sprat/public/publicshowcommunity.pl?id=118</t>
  </si>
  <si>
    <t>Castlereagh Scribbly Gum and Agnes Banks Woodlands of the Sydney Basin Bioregion</t>
  </si>
  <si>
    <t>2015-Mar-17</t>
  </si>
  <si>
    <t>http://www.environment.gov.au/cgi-bin/sprat/public/publicshowcommunity.pl?id=119</t>
  </si>
  <si>
    <t>Clay Pans of the Swan Coastal Plain</t>
  </si>
  <si>
    <t>http://www.environment.gov.au/cgi-bin/sprat/public/publicshowcommunity.pl?id=121</t>
  </si>
  <si>
    <t>Broad leaf tea-tree (Melaleuca viridiflora) woodlands in high rainfall coastal north Queensland</t>
  </si>
  <si>
    <t>2012-May-19</t>
  </si>
  <si>
    <t>http://www.environment.gov.au/cgi-bin/sprat/public/publicshowcommunity.pl?id=122</t>
  </si>
  <si>
    <t>Scott River Ironstone Association</t>
  </si>
  <si>
    <t>2013-May-23</t>
  </si>
  <si>
    <t>http://www.environment.gov.au/cgi-bin/sprat/public/publicshowcommunity.pl?id=123</t>
  </si>
  <si>
    <t>Eyre Peninsula Blue Gum (Eucalyptus petiolaris) Woodland</t>
  </si>
  <si>
    <t>2013-Aug-13</t>
  </si>
  <si>
    <t>http://www.environment.gov.au/cgi-bin/sprat/public/publicshowcommunity.pl?id=124</t>
  </si>
  <si>
    <t>Proteaceae Dominated Kwongkan Shrublands of the Southeast Coastal Floristic Province of Western Australia</t>
  </si>
  <si>
    <t>2014-Feb-01</t>
  </si>
  <si>
    <t>http://www.environment.gov.au/cgi-bin/sprat/public/publicshowcommunity.pl?id=126</t>
  </si>
  <si>
    <t>Posidonia australis seagrass meadows of the Manning-Hawkesbury ecoregion</t>
  </si>
  <si>
    <t>2015-May-07</t>
  </si>
  <si>
    <t>http://www.environment.gov.au/cgi-bin/sprat/public/publicshowcommunity.pl?id=127</t>
  </si>
  <si>
    <t>Eucalypt Woodlands of the Western Australian Wheatbelt</t>
  </si>
  <si>
    <t>2015-Dec-04</t>
  </si>
  <si>
    <t>http://www.environment.gov.au/cgi-bin/sprat/public/publicshowcommunity.pl?id=128</t>
  </si>
  <si>
    <t>Cooks River/Castlereagh Ironbark Forest of the Sydney Basin Bioregion</t>
  </si>
  <si>
    <t>http://www.environment.gov.au/cgi-bin/sprat/public/publicshowcommunity.pl?id=129</t>
  </si>
  <si>
    <t>Central Hunter Valley eucalypt forest and woodland</t>
  </si>
  <si>
    <t>http://www.environment.gov.au/cgi-bin/sprat/public/publicshowcommunity.pl?id=130</t>
  </si>
  <si>
    <t>Banksia Woodlands of the Swan Coastal Plain ecological community</t>
  </si>
  <si>
    <t>2016-Sep-16</t>
  </si>
  <si>
    <t>http://www.environment.gov.au/cgi-bin/sprat/public/publicshowcommunity.pl?id=131</t>
  </si>
  <si>
    <t>Natural Damp Grassland of the Victorian Coastal Plains</t>
  </si>
  <si>
    <t>2015-Feb-20</t>
  </si>
  <si>
    <t>http://www.environment.gov.au/cgi-bin/sprat/public/publicshowcommunity.pl?id=133</t>
  </si>
  <si>
    <t>Coastal Upland Swamps in the Sydney Basin Bioregion</t>
  </si>
  <si>
    <t>2014-Jul-17</t>
  </si>
  <si>
    <t>http://www.environment.gov.au/cgi-bin/sprat/public/publicshowcommunity.pl?id=140</t>
  </si>
  <si>
    <t>Warkworth Sands Woodland of the Hunter Valley</t>
  </si>
  <si>
    <t>2016-May-05</t>
  </si>
  <si>
    <t>http://www.environment.gov.au/cgi-bin/sprat/public/publicshowcommunity.pl?id=143</t>
  </si>
  <si>
    <t>Illawarra and south coast lowland forest and woodland ecological community</t>
  </si>
  <si>
    <t>http://www.environment.gov.au/cgi-bin/sprat/public/publicshowcommunity.pl?id=144</t>
  </si>
  <si>
    <t>Shale Sandstone Transition Forest of the Sydney Basin Bioregion</t>
  </si>
  <si>
    <t>2014-Dec-16</t>
  </si>
  <si>
    <t>http://www.environment.gov.au/cgi-bin/sprat/public/publicshowcommunity.pl?id=146</t>
  </si>
  <si>
    <t>Natural Temperate Grassland of the South Eastern Highlands</t>
  </si>
  <si>
    <t>2016-Apr-06</t>
  </si>
  <si>
    <t>http://www.environment.gov.au/cgi-bin/sprat/public/publicshowcommunity.pl?id=152</t>
  </si>
  <si>
    <r>
      <t>Brigalow (</t>
    </r>
    <r>
      <rPr>
        <i/>
        <sz val="10"/>
        <color rgb="FF000000"/>
        <rFont val="Calibri"/>
        <family val="2"/>
        <scheme val="minor"/>
      </rPr>
      <t>Acacia harpophylla</t>
    </r>
    <r>
      <rPr>
        <sz val="10"/>
        <color rgb="FF000000"/>
        <rFont val="Calibri"/>
        <family val="2"/>
        <scheme val="minor"/>
      </rPr>
      <t> dominant and co-dominant)</t>
    </r>
  </si>
  <si>
    <r>
      <t>Gippsland Red Gum (</t>
    </r>
    <r>
      <rPr>
        <i/>
        <sz val="10"/>
        <color rgb="FF000000"/>
        <rFont val="Calibri"/>
        <family val="2"/>
        <scheme val="minor"/>
      </rPr>
      <t>Eucalyptus tereticornis subsp. mediana</t>
    </r>
    <r>
      <rPr>
        <sz val="10"/>
        <color rgb="FF000000"/>
        <rFont val="Calibri"/>
        <family val="2"/>
        <scheme val="minor"/>
      </rPr>
      <t>) Grassy Woodland and Associated Native Grassland</t>
    </r>
  </si>
  <si>
    <r>
      <t>Grey Box (</t>
    </r>
    <r>
      <rPr>
        <i/>
        <sz val="10"/>
        <color rgb="FF000000"/>
        <rFont val="Calibri"/>
        <family val="2"/>
        <scheme val="minor"/>
      </rPr>
      <t>Eucalyptus microcarpa</t>
    </r>
    <r>
      <rPr>
        <sz val="10"/>
        <color rgb="FF000000"/>
        <rFont val="Calibri"/>
        <family val="2"/>
        <scheme val="minor"/>
      </rPr>
      <t>) Grassy Woodlands and Derived Native Grasslands of South-eastern Australia</t>
    </r>
  </si>
  <si>
    <t>Natural Grasslands of the Queensland Central Highlands and the northern Fitzroy Basin</t>
  </si>
  <si>
    <r>
      <t>New England Peppermint (</t>
    </r>
    <r>
      <rPr>
        <i/>
        <sz val="10"/>
        <color rgb="FF000000"/>
        <rFont val="Calibri"/>
        <family val="2"/>
        <scheme val="minor"/>
      </rPr>
      <t>Eucalyptus nova-anglica</t>
    </r>
    <r>
      <rPr>
        <sz val="10"/>
        <color rgb="FF000000"/>
        <rFont val="Calibri"/>
        <family val="2"/>
        <scheme val="minor"/>
      </rPr>
      <t>) Grassy Woodlands</t>
    </r>
  </si>
  <si>
    <t>River Murray and associated wetlands, floodplains and groundwater systems, from the junction of the Darling River to the sea</t>
  </si>
  <si>
    <t>Upland Wetlands of the New England Tablelands and the Monaro Plateau</t>
  </si>
  <si>
    <t>Weeping Myall - Coobah - Scrub Wilga Shrubland of the Hunter Valley</t>
  </si>
  <si>
    <t>Wetlands and inner floodplains of the Macquarie Marshes</t>
  </si>
  <si>
    <t>Life form</t>
  </si>
  <si>
    <t>Change/yr</t>
  </si>
  <si>
    <t>CR</t>
  </si>
  <si>
    <t>EN</t>
  </si>
  <si>
    <t>VU</t>
  </si>
  <si>
    <t>Plant</t>
  </si>
  <si>
    <t>Fish</t>
  </si>
  <si>
    <t>Amphibian</t>
  </si>
  <si>
    <t>Reptile</t>
  </si>
  <si>
    <t>Bird</t>
  </si>
  <si>
    <t>Mammal</t>
  </si>
  <si>
    <t>Mangroves (NVIS4.2)</t>
  </si>
  <si>
    <t>Cleaning up heavy metals and pollutants</t>
  </si>
  <si>
    <t>Pre_Eur km</t>
  </si>
  <si>
    <t>Current km2</t>
  </si>
  <si>
    <t>Left</t>
  </si>
  <si>
    <t>Protected Km2</t>
  </si>
  <si>
    <t>Protected %</t>
  </si>
  <si>
    <t>TBT</t>
  </si>
  <si>
    <t>Lead</t>
  </si>
  <si>
    <t>HCB</t>
  </si>
  <si>
    <t>Dredgespoil</t>
  </si>
  <si>
    <t>pcb</t>
  </si>
  <si>
    <t>arsenic</t>
  </si>
  <si>
    <t>Mangroves lost</t>
  </si>
  <si>
    <t>Seagrass</t>
  </si>
  <si>
    <t>Current extent</t>
  </si>
  <si>
    <t>km2</t>
  </si>
  <si>
    <t xml:space="preserve">Lost </t>
  </si>
  <si>
    <t>People</t>
  </si>
  <si>
    <t>hectares</t>
  </si>
  <si>
    <t>Damage</t>
  </si>
  <si>
    <t>Natural</t>
  </si>
  <si>
    <t>Annual loss rate</t>
  </si>
  <si>
    <t>Waycott et al, 2009</t>
  </si>
  <si>
    <t xml:space="preserve">Summary of estimates on seagrass extent, extracted from Supplementary Table 1. </t>
  </si>
  <si>
    <t>Site Name</t>
  </si>
  <si>
    <t>Global seagrass bioregion</t>
  </si>
  <si>
    <t>Specific rate of change (% yr)</t>
  </si>
  <si>
    <t>Earliest extent reported (ha)</t>
  </si>
  <si>
    <t>Most recent extent reported (ha)</t>
  </si>
  <si>
    <t>Total gain/loss (ha) as per study start /end</t>
  </si>
  <si>
    <t>Est hectares left now vs earliest referenence</t>
  </si>
  <si>
    <t>ha required to re-estbalish to 30% of earliest extent reported</t>
  </si>
  <si>
    <t>Urangan</t>
  </si>
  <si>
    <t>Tropical Indo- Pacific</t>
  </si>
  <si>
    <t>Wangoolgba Creek</t>
  </si>
  <si>
    <t>Northern Great Sandy Straight</t>
  </si>
  <si>
    <t>Cockburn Sound East</t>
  </si>
  <si>
    <t>Temperate Southern Oceans</t>
  </si>
  <si>
    <t>Cockburn Sound South</t>
  </si>
  <si>
    <t>Cockburn Sound West</t>
  </si>
  <si>
    <t>Success Bank East</t>
  </si>
  <si>
    <t>Success Bank Central</t>
  </si>
  <si>
    <t>Success Bank West</t>
  </si>
  <si>
    <t>Parmelia Bank East</t>
  </si>
  <si>
    <t>Parmelia Bank West</t>
  </si>
  <si>
    <t>Spencer Gulf</t>
  </si>
  <si>
    <t>Tuggerah Lakes</t>
  </si>
  <si>
    <t>Botany Bay, Northern Shoreline</t>
  </si>
  <si>
    <t>Botany Bay, Southern Shoreline</t>
  </si>
  <si>
    <t>Wallis Lake</t>
  </si>
  <si>
    <t>Esperance Bay</t>
  </si>
  <si>
    <t>Warnbro Sound</t>
  </si>
  <si>
    <t>Swan-Canning Estuary</t>
  </si>
  <si>
    <t>Princess Royal Harbour</t>
  </si>
  <si>
    <t>Oyster Harbour</t>
  </si>
  <si>
    <t>Rocky Bay</t>
  </si>
  <si>
    <t>Thomson Bay South</t>
  </si>
  <si>
    <t>Thomson Bay North</t>
  </si>
  <si>
    <t>St Georges Basin</t>
  </si>
  <si>
    <t>Wagonga Inlet</t>
  </si>
  <si>
    <t>Bermagui River</t>
  </si>
  <si>
    <t>Merimbula Lake</t>
  </si>
  <si>
    <t>Pambula Lake</t>
  </si>
  <si>
    <t>Green Island</t>
  </si>
  <si>
    <t>Port Hacking</t>
  </si>
  <si>
    <t>Port Phillip Bay - Kirk Point</t>
  </si>
  <si>
    <t>Port Phillip Bay - Point Richards</t>
  </si>
  <si>
    <t>Port Phillip Bay - Blairgowrie</t>
  </si>
  <si>
    <t>Western Port Bay</t>
  </si>
  <si>
    <t xml:space="preserve">Western Port - Rhyll </t>
  </si>
  <si>
    <t>Western Port - Scrub Point</t>
  </si>
  <si>
    <t>Corner Inlet - Lewis Channel</t>
  </si>
  <si>
    <t>Corner Inlet - Duck Point</t>
  </si>
  <si>
    <t>Corner Inlet - Granite Island</t>
  </si>
  <si>
    <t>Locally damaged seagrass</t>
  </si>
  <si>
    <t>Activity</t>
  </si>
  <si>
    <t>Lime required (tonnes)</t>
  </si>
  <si>
    <t>Cost ($2017)</t>
  </si>
  <si>
    <t>Cost ($2022)</t>
  </si>
  <si>
    <t>Total Cost ($2022)</t>
  </si>
  <si>
    <t>Land requiring gypsum (ha)</t>
  </si>
  <si>
    <t>Cost per ha ($2011)</t>
  </si>
  <si>
    <t>Cost ($2011)</t>
  </si>
  <si>
    <t>Cost of Lime per tonne ($2017)</t>
  </si>
  <si>
    <t>Land requiring planting (ha)</t>
  </si>
  <si>
    <t>Cost per ha ($2000)</t>
  </si>
  <si>
    <t>Estimate</t>
  </si>
  <si>
    <t>Cost ($2000)</t>
  </si>
  <si>
    <t>Length of high risk gullies (km)</t>
  </si>
  <si>
    <t>Cost per km ($2016)</t>
  </si>
  <si>
    <t>Cost (2016)</t>
  </si>
  <si>
    <t>Length of low to medium risk gullies (km)</t>
  </si>
  <si>
    <t>Cost ($2016)</t>
  </si>
  <si>
    <t>Cost per ha ($2016)</t>
  </si>
  <si>
    <t>Quantity</t>
  </si>
  <si>
    <t>Total cost $2022</t>
  </si>
  <si>
    <t>Land requiring pH 4.8 (ha)</t>
  </si>
  <si>
    <t>Land requiring pH 5.5 (ha)</t>
  </si>
  <si>
    <t>Cost of Lime per hectare ($2017)</t>
  </si>
  <si>
    <t>S1.1-C</t>
  </si>
  <si>
    <t>S1.2-C</t>
  </si>
  <si>
    <t>S1.3-C</t>
  </si>
  <si>
    <t>S2.1-C</t>
  </si>
  <si>
    <t>S2.2-C</t>
  </si>
  <si>
    <t>S3.1-C</t>
  </si>
  <si>
    <t>S2.0-O</t>
  </si>
  <si>
    <t>Total Capital expenditure ($2022)</t>
  </si>
  <si>
    <t>Total Operational expenditure ($2022)</t>
  </si>
  <si>
    <t>Total Expenditure ($2022)</t>
  </si>
  <si>
    <t>Length of gullies requiring maintenance (km)</t>
  </si>
  <si>
    <t>Cost per hectare ($2018)</t>
  </si>
  <si>
    <t>Annual cost ($2016)</t>
  </si>
  <si>
    <t>Annual cost ($2022)</t>
  </si>
  <si>
    <t>Annual Cost ($2018)</t>
  </si>
  <si>
    <t>Average annual cost per km ($2016)</t>
  </si>
  <si>
    <t>Equivalent Annual Cost ($2022)</t>
  </si>
  <si>
    <t>Total Capital Expenditure (including transaction costs)</t>
  </si>
  <si>
    <t>Total Operational Expenditure</t>
  </si>
  <si>
    <t>NATIVE VEGETATION</t>
  </si>
  <si>
    <t>V1.1-C</t>
  </si>
  <si>
    <t>Incentivise landholders to retire their non-prime agricultural land for the native vegetation conservation areas</t>
  </si>
  <si>
    <t>V1.2-C</t>
  </si>
  <si>
    <t>V2.1-C</t>
  </si>
  <si>
    <t>V1.0-O</t>
  </si>
  <si>
    <t>Restore 1.3 million hectares of degraded native vegetation to a healthy ecological condition within the protected area estate</t>
  </si>
  <si>
    <t>R1.1-C</t>
  </si>
  <si>
    <t>R1.2-C</t>
  </si>
  <si>
    <t xml:space="preserve">Incentivise landholders to retire their farmland along the banks of Australia’s major rivers, smaller rivers and streams, and major natural lakes and wetlands </t>
  </si>
  <si>
    <t>R2.1-C</t>
  </si>
  <si>
    <t>Install cold-water pollution control devices on priority large dams.</t>
  </si>
  <si>
    <t>Install fish diversion screening on all licensed irrigation pumps.</t>
  </si>
  <si>
    <t>R3.2-C</t>
  </si>
  <si>
    <t>R3.1-C</t>
  </si>
  <si>
    <t>Cold-water pollution device monitoring, operating, licensing and maintenance</t>
  </si>
  <si>
    <t>R1.1-O</t>
  </si>
  <si>
    <t>R3.1-O</t>
  </si>
  <si>
    <t>S2.1-O</t>
  </si>
  <si>
    <t>S1.1-O</t>
  </si>
  <si>
    <t>Cost ($2018)</t>
  </si>
  <si>
    <t>Cost per ha ($2018)</t>
  </si>
  <si>
    <t>Opportunity cost of repairing or replanting riparian veg (2014$)</t>
  </si>
  <si>
    <t>Restore cost of repairing or replanting riparian veg (2018$)</t>
  </si>
  <si>
    <t>Opportunity cost of repairing or replanting riparian vegetation along major rivers ($2014)</t>
  </si>
  <si>
    <t>Opportunity cost of repairing or replanting riparian vegetation along major perennial lakes and other wetlands ($2014)</t>
  </si>
  <si>
    <t>Opportunity cost of repairing or replanting riparian vegetation along minor rivers and streams ($2014)</t>
  </si>
  <si>
    <t>Water recovery required (ML/y)</t>
  </si>
  <si>
    <t>Cost per ML ($2017)</t>
  </si>
  <si>
    <t>Remove flow constraints in the MDB (Kahan et al, 2020)</t>
  </si>
  <si>
    <t>Hume to Yarrawonga</t>
  </si>
  <si>
    <t>Yarrawonga to Wakool Junction</t>
  </si>
  <si>
    <t>Goulburn</t>
  </si>
  <si>
    <t>Murrumbidgete</t>
  </si>
  <si>
    <t>Menindee Lakes and Lower Darling</t>
  </si>
  <si>
    <t>South Australia (Lower Murray)</t>
  </si>
  <si>
    <t>Cost ($2020)</t>
  </si>
  <si>
    <t>Number of Projects</t>
  </si>
  <si>
    <t>Gwydir</t>
  </si>
  <si>
    <t>Funded as part of the Northern MDB Toolkit</t>
  </si>
  <si>
    <t>Cost per metre ($2016)</t>
  </si>
  <si>
    <t>Combined height of dams requiring fishways (m)</t>
  </si>
  <si>
    <t>Number of priority dams</t>
  </si>
  <si>
    <t>Number of irrigation pumps</t>
  </si>
  <si>
    <t>Uncapped bores in the GAB</t>
  </si>
  <si>
    <t>Cost per bore ($2018)</t>
  </si>
  <si>
    <t>Length of open bore-drains (km)</t>
  </si>
  <si>
    <t>Cost per km ($2018)</t>
  </si>
  <si>
    <t>Progress on groundwater recovery (ML/y)</t>
  </si>
  <si>
    <t>Groundwater recovery required (ML/y)</t>
  </si>
  <si>
    <t>Groundwater recovery remaining (ML/y)</t>
  </si>
  <si>
    <t>Return groundwater extractions to sustainable levels in the Murray-Darling Basin through the strategic purchase of water licences from willing sellers.</t>
  </si>
  <si>
    <t>Fishway (and other barrier) monitoring, operating, licensing and maintenance</t>
  </si>
  <si>
    <t>Operational expenditure (per annum)</t>
  </si>
  <si>
    <t>Operational costs (% of capital expenditure)</t>
  </si>
  <si>
    <t>Capital costs ($2018)</t>
  </si>
  <si>
    <t>R3.3-C</t>
  </si>
  <si>
    <t>Cost ($2014)</t>
  </si>
  <si>
    <t>ML/y</t>
  </si>
  <si>
    <t>projects</t>
  </si>
  <si>
    <t>barriers</t>
  </si>
  <si>
    <t>dams</t>
  </si>
  <si>
    <t>pumps</t>
  </si>
  <si>
    <t>bores</t>
  </si>
  <si>
    <t>n/a</t>
  </si>
  <si>
    <t xml:space="preserve">Establish and restore riparian buffer zones on all of Australia's rivers and streams to protect productive land from erosion, support biodiversity, improve water quality and enhance the productivity of fisheries and health of marine ecosystems </t>
  </si>
  <si>
    <t>Improve the efficient use and sustainability of groundwater resources</t>
  </si>
  <si>
    <t>INLAND WATERWAYS</t>
  </si>
  <si>
    <t>S1</t>
  </si>
  <si>
    <t>S2</t>
  </si>
  <si>
    <t>S3</t>
  </si>
  <si>
    <t>R1</t>
  </si>
  <si>
    <t>R2</t>
  </si>
  <si>
    <t>R3</t>
  </si>
  <si>
    <t>Cost per hectare ($2012)</t>
  </si>
  <si>
    <t>Cost ($2012)</t>
  </si>
  <si>
    <t>Exent requiring re-establishment (ha)</t>
  </si>
  <si>
    <t>Cost per ha ($2010)</t>
  </si>
  <si>
    <t>Cost ($2010)</t>
  </si>
  <si>
    <t>Extent of shellfish reefs to be re-established (ha)</t>
  </si>
  <si>
    <t xml:space="preserve">Monitoring and management of newly conserved and rehabilitated coastal wetlands </t>
  </si>
  <si>
    <t>Extent requiring monitoring (ha)</t>
  </si>
  <si>
    <t>Number of sites</t>
  </si>
  <si>
    <t>Trips per year</t>
  </si>
  <si>
    <t>Cost per trip ($2022)</t>
  </si>
  <si>
    <t>COASTAL ENVIRONMENTS</t>
  </si>
  <si>
    <t>trips per year</t>
  </si>
  <si>
    <t>Included in the estimate above</t>
  </si>
  <si>
    <t>T1.1-C</t>
  </si>
  <si>
    <t>T1</t>
  </si>
  <si>
    <t>Extent of land requiring restoration (ha)</t>
  </si>
  <si>
    <t>Rainforests and Vine Thickets</t>
  </si>
  <si>
    <t>Eucalypt Tall Open Forests</t>
  </si>
  <si>
    <t>Eucalypt Open Forests</t>
  </si>
  <si>
    <t>Eucalypt Low Open Forests</t>
  </si>
  <si>
    <t>Eucalypt Woodlands</t>
  </si>
  <si>
    <t>Acacia Forests and Woodlands</t>
  </si>
  <si>
    <t>Callitris Forests and Woodlands</t>
  </si>
  <si>
    <t>Casuarina Forests and Woodlands</t>
  </si>
  <si>
    <t>Melaleuca Forests and Woodlands</t>
  </si>
  <si>
    <t>Other Forests and Woodlands</t>
  </si>
  <si>
    <t>Eucalypt Open Woodlands</t>
  </si>
  <si>
    <t>Tropical Eucalypt Woodlands/Grasslands</t>
  </si>
  <si>
    <t>Acacia Open Woodlands</t>
  </si>
  <si>
    <t>Mallee Woodlands and Shrublands</t>
  </si>
  <si>
    <t>Low Closed Forests and Tall Closed Shrublands</t>
  </si>
  <si>
    <t>Acacia Shrublands</t>
  </si>
  <si>
    <t>Other Shrublands</t>
  </si>
  <si>
    <t>Heathlands</t>
  </si>
  <si>
    <t>Tussock Grasslands</t>
  </si>
  <si>
    <t>Hummock Grasslands</t>
  </si>
  <si>
    <t>Other Grasslands, Herblands, Sedgelands and Rushlands</t>
  </si>
  <si>
    <t>Chenopod Shrublands, Samphire Shrublands and Forblands</t>
  </si>
  <si>
    <t>Unclassified native vegetation</t>
  </si>
  <si>
    <t>Naturally bare - sand, rock, claypan, mudflat</t>
  </si>
  <si>
    <t>Other Open Woodlands</t>
  </si>
  <si>
    <t>Mallee Open Woodlands and Sparse Mallee Shrublands</t>
  </si>
  <si>
    <t>TOTAL</t>
  </si>
  <si>
    <t>Inland Aquatic - freshwater, salt lakes, lagoons</t>
  </si>
  <si>
    <t>Cleared, non-native vegetation, buildings</t>
  </si>
  <si>
    <t>Sea and estuaries</t>
  </si>
  <si>
    <t>Area to Repair inside PAS - VAST 3 (ha)</t>
  </si>
  <si>
    <t>Area to Repair inside PAS - VAST 5 (ha)</t>
  </si>
  <si>
    <t>Area to repair outside PAS - VAST 3 (ha)</t>
  </si>
  <si>
    <t>Area to repair outside PAS - VAST 5 (ha)</t>
  </si>
  <si>
    <t>Major Vegetation Group Name</t>
  </si>
  <si>
    <t>MVG ID</t>
  </si>
  <si>
    <t>Annual Cost over 30 Years (VAST5) ($2020)</t>
  </si>
  <si>
    <t>V1</t>
  </si>
  <si>
    <t>V1.3-C</t>
  </si>
  <si>
    <t>Restoration Costs over 30 years - Inside PAS ($2020)</t>
  </si>
  <si>
    <t>Restoration Costs over 30 years - Outside PAS ($2020)</t>
  </si>
  <si>
    <t>Cost over 30 Years (VAST3) ($2020)</t>
  </si>
  <si>
    <t>Average cost per hectare ($2020)</t>
  </si>
  <si>
    <t>Years</t>
  </si>
  <si>
    <t>Extent of land requiring management (ha)</t>
  </si>
  <si>
    <t>Cost per hectare ($2020)</t>
  </si>
  <si>
    <t>Additional land to be managed annually (ha)</t>
  </si>
  <si>
    <t>Cumulative extent requiring ongoing monitoring and management (ha)</t>
  </si>
  <si>
    <t>Annual Cost in Year 1 ($2020)</t>
  </si>
  <si>
    <t>Cost per hectare ($2022)</t>
  </si>
  <si>
    <t>Annual cost $2022)</t>
  </si>
  <si>
    <t>Annual cost in Year 1 ($2022)</t>
  </si>
  <si>
    <t>Cost in year 1 ($2018)</t>
  </si>
  <si>
    <t>ha/y</t>
  </si>
  <si>
    <t>Cost in year 1 ($2022)</t>
  </si>
  <si>
    <t>Year</t>
  </si>
  <si>
    <t>Annual cost (with inflation)</t>
  </si>
  <si>
    <t>Objective</t>
  </si>
  <si>
    <t>Cost per hectare (with inflation)</t>
  </si>
  <si>
    <t>Average cost per hectare ($2018)</t>
  </si>
  <si>
    <t>Average cost per ha ($2018)</t>
  </si>
  <si>
    <t>Basin Plan Recovery Target (ML/y)</t>
  </si>
  <si>
    <t>Funding already committed for constraints</t>
  </si>
  <si>
    <t>Gap</t>
  </si>
  <si>
    <t>Install advanced fishways on existing high-level large dams that significantly obstruct fish passage.</t>
  </si>
  <si>
    <t>Fishway options for Weirs (NSW Report)</t>
  </si>
  <si>
    <t>Remove/remediate other high-risk barriers to flow connectivity and fish migration (e.g. causeways, unauthorised flood works) in the Murray-Darling Basin.</t>
  </si>
  <si>
    <t>Cost per ML ($2018)</t>
  </si>
  <si>
    <t>Restore 11.6 million hectares of degraded native vegetation to a healthy ecological condition on non-prime agricultural land</t>
  </si>
  <si>
    <t>Objective V2. Reduce the frequency and intensity of fires impacting Australia's tropical savannas</t>
  </si>
  <si>
    <t>Reduce the frequency and intensity of fires impacting Australia's tropical savannas</t>
  </si>
  <si>
    <t>V2</t>
  </si>
  <si>
    <t>Support coastal biodiversity, and improve coastal fisheries productivity</t>
  </si>
  <si>
    <t>Science-based target (ML/y)</t>
  </si>
  <si>
    <t>Objective R2. Restore overallocated river systems to sustainable levels of take.</t>
  </si>
  <si>
    <t>R3.4-C</t>
  </si>
  <si>
    <t>R4.1-C</t>
  </si>
  <si>
    <t>Objective R4. Improve the efficient use and sustainability of groundwater resources</t>
  </si>
  <si>
    <t>R4.2-C</t>
  </si>
  <si>
    <t>R4.1-O</t>
  </si>
  <si>
    <t>R3.2-O</t>
  </si>
  <si>
    <t>R3.3-O</t>
  </si>
  <si>
    <t>Restore overallocated river systems to sustainable levels of take.</t>
  </si>
  <si>
    <t>R4</t>
  </si>
  <si>
    <t>None specified</t>
  </si>
  <si>
    <t>Source: www.rba.gov.au/calculator/</t>
  </si>
  <si>
    <t>Rate relative to 2022</t>
  </si>
  <si>
    <t>Action</t>
  </si>
  <si>
    <t>Repair gully erosion hot spots across Australia to improve water quality in rivers and expand the availability of healthy land for agriculture and wildlife.</t>
  </si>
  <si>
    <t>Obj S2</t>
  </si>
  <si>
    <t>Obj S3</t>
  </si>
  <si>
    <t>Obj S1</t>
  </si>
  <si>
    <t>Obj R1</t>
  </si>
  <si>
    <t>Obj R2</t>
  </si>
  <si>
    <t>Obj R3</t>
  </si>
  <si>
    <t>Obj R4</t>
  </si>
  <si>
    <t>Obj V1</t>
  </si>
  <si>
    <t>Obj V2</t>
  </si>
  <si>
    <t>Obj T1</t>
  </si>
  <si>
    <t xml:space="preserve">Restore and manage 100m wide strips of healthy native riparian vegetation along the banks of Australia’s major perennial rivers </t>
  </si>
  <si>
    <t xml:space="preserve">Restore and manage 200m wide strips of healthy native riparian vegetation on the banks of Australia’s major perennial lakes and other wetlands  </t>
  </si>
  <si>
    <t xml:space="preserve">Restore and manage 50m wide strips of healthy native vegetation along the banks of Australia’s minor rivers and streams </t>
  </si>
  <si>
    <t>https://www.abs.gov.au/statistics/economy/national-accounts/australian-national-accounts-national-income-expenditure-and-product/latest-release#data-download</t>
  </si>
  <si>
    <t>Total operational expenditure required, % of GDP</t>
  </si>
  <si>
    <t>National GHG projections (tCO2-e)</t>
  </si>
  <si>
    <t>Fraction of total cost covered by carbon</t>
  </si>
  <si>
    <t>CO2/annual</t>
  </si>
  <si>
    <t>Ann. Revenue @$15 tonne</t>
  </si>
  <si>
    <t>Tot. Revenue @$15 tonne</t>
  </si>
  <si>
    <t>MVG Code</t>
  </si>
  <si>
    <t>MVG Name</t>
  </si>
  <si>
    <t>Min+max/2</t>
  </si>
  <si>
    <t>50% of min+max/2</t>
  </si>
  <si>
    <t>50% of min+max/2 *3.67</t>
  </si>
  <si>
    <t>repair area/30 years</t>
  </si>
  <si>
    <t>% vast 3</t>
  </si>
  <si>
    <t>VAST3 contribution</t>
  </si>
  <si>
    <t>VAST 5 contribution</t>
  </si>
  <si>
    <t>first year VAST3 contribution</t>
  </si>
  <si>
    <t>first year VAST 5 contribution</t>
  </si>
  <si>
    <t>rounded to nearest million</t>
  </si>
  <si>
    <t>per year for 25 years</t>
  </si>
  <si>
    <t>% on private land</t>
  </si>
  <si>
    <t>Unknown/No Data</t>
  </si>
  <si>
    <t>Cleared, Non-Native Vegetation, Buildings</t>
  </si>
  <si>
    <t>Unclassified Native Vegetation</t>
  </si>
  <si>
    <t>Naturally Bare - sand, rock, claypan, mudflat</t>
  </si>
  <si>
    <t>Sea and Estuaries</t>
  </si>
  <si>
    <t>Regrowth, Modified Native Vegetation</t>
  </si>
  <si>
    <t>Unclassified Forest</t>
  </si>
  <si>
    <t>SOILS</t>
  </si>
  <si>
    <t>Potential area for controlled burns of tropical savannas in northern Australia</t>
  </si>
  <si>
    <t>Annual cost per hectare for 30 years ($2020)</t>
  </si>
  <si>
    <t>V2.0-O</t>
  </si>
  <si>
    <t>Re-establish locally degraded seagrass communities in priority areas</t>
  </si>
  <si>
    <t>Objective C1. Support coastal biodiversity, and improve coastal fisheries productivity</t>
  </si>
  <si>
    <t>C1.1-C</t>
  </si>
  <si>
    <t>C1.2-C</t>
  </si>
  <si>
    <t>C1.3-C</t>
  </si>
  <si>
    <t>C1.4-C</t>
  </si>
  <si>
    <t>C1.1-O</t>
  </si>
  <si>
    <t>C1.0-O</t>
  </si>
  <si>
    <t>C1.2-O</t>
  </si>
  <si>
    <t>C1.3-O</t>
  </si>
  <si>
    <t>C1</t>
  </si>
  <si>
    <t>C1.4-O</t>
  </si>
  <si>
    <t>Obj C1</t>
  </si>
  <si>
    <t>Maintenance fee (% of upfront cost)</t>
  </si>
  <si>
    <t>TOTAL OVER 30 YEARS</t>
  </si>
  <si>
    <t>Cumulative abatement (CO2e)</t>
  </si>
  <si>
    <t xml:space="preserve">Incentivise a change in management practice for salt marsh ecosystems </t>
  </si>
  <si>
    <t>Ongoing management of salt marsh ecosystems</t>
  </si>
  <si>
    <t>Extent of degraded salt marsh ecosystems (ha)</t>
  </si>
  <si>
    <t xml:space="preserve">Incentivise a change in management practice for degraded salt marsh ecosystems </t>
  </si>
  <si>
    <t xml:space="preserve">Objective R1. Establish and restore riparian buffer zones on all of Australia's rivers and streams to protect productive land from erosion, support biodiversity, improve water quality and enhance the productivity of fisheries and health of freshwater and marine ecosystems </t>
  </si>
  <si>
    <t xml:space="preserve">Restore, conserve, and manage strips of healthy native riparian vegetation </t>
  </si>
  <si>
    <t>Extent of 100m wide strips of riparian vegetation to be restored / conserved along the banks of Australia’s major perennial rivers (ha)</t>
  </si>
  <si>
    <t>Extent of 200m wide strips of riparian vegetation to be restored / conserved on the banks of Australia’s major perennial lakes and other wetlands (ha)</t>
  </si>
  <si>
    <t>Extent of 50m wide strips of riparian vegetation to be restored / conserved on the banks of Australia’s minor rivers and streams (ha)</t>
  </si>
  <si>
    <t>Return overallocated river systems of the Murray-Darling Basin to environmentally sustainable levels of surface water extraction through the strategic purchase of water licences from willing sellers, on-farm investment, and other measures.</t>
  </si>
  <si>
    <t>Objective R3. Restore lateral and longitudinal connectivity of rivers, floodplains and their wetlands.</t>
  </si>
  <si>
    <t>Allow water to reach and pass safely across floodplains and wetlands in the Murray-Darling Basin by modifying infrastructure (e.g., bridges and roads), removing high-risk or unauthorised flood works, or purchasing voluntary easements on private land.</t>
  </si>
  <si>
    <t>Restore fish passage by removing or modifying high priority physical barriers.</t>
  </si>
  <si>
    <t>Number of priority barriers</t>
  </si>
  <si>
    <t xml:space="preserve">Average cost per barrier ($2022) for 95 % </t>
  </si>
  <si>
    <t xml:space="preserve">Average cost per barrier ($2022) for 5 % </t>
  </si>
  <si>
    <t>Cost for 95 % ($2022)</t>
  </si>
  <si>
    <t>Cost for 5 % ($2022)</t>
  </si>
  <si>
    <t>Gross Cost ($2022)</t>
  </si>
  <si>
    <t>Subtract $56.8 million for Fish for the Future</t>
  </si>
  <si>
    <t>Cost per dam ($2020)</t>
  </si>
  <si>
    <t>R3.2a-C</t>
  </si>
  <si>
    <t>R3.2b-C</t>
  </si>
  <si>
    <t>Cost per pump ($2022)</t>
  </si>
  <si>
    <t>Gross cost ($2022)</t>
  </si>
  <si>
    <t xml:space="preserve">Subtract $39.5 million fish for the future </t>
  </si>
  <si>
    <t>Cap remaining open artesian bores and convert remaining open bore-drains to pipes and trough systems in the Great Artesian Basin.</t>
  </si>
  <si>
    <t>Subtract $27.6 million funding</t>
  </si>
  <si>
    <t>Cost 1a ($2022)</t>
  </si>
  <si>
    <t>Cost 1b ($2022)</t>
  </si>
  <si>
    <t>Management and monitoring of new riparian plantings along major rivers, lakes and streams.</t>
  </si>
  <si>
    <t>Additional extent of new riparian plantings along major rivers each year (ha)</t>
  </si>
  <si>
    <t>Additional extent of new riparian plantings around lakes and wetlands each year (ha)</t>
  </si>
  <si>
    <t>Additional extent of new riparian plantings along smaller rivers each year (ha)</t>
  </si>
  <si>
    <t>Total cost in year 1 ($2022)</t>
  </si>
  <si>
    <t>Cost of barrier remediation ($2022)</t>
  </si>
  <si>
    <t>Cost of advanced fishways on high-level large dams ($2022)</t>
  </si>
  <si>
    <t>Cost per year ($2022)</t>
  </si>
  <si>
    <t>Capital costs ($2022)</t>
  </si>
  <si>
    <t>Establish and restore riparian buffer zones on all of Australia's rivers and streams to protect productive land from erosion, support biodiversity, improve water quality and enhance the productivity of fisheries and health of freshwater and marine ecosystems.</t>
  </si>
  <si>
    <t>Restore lateral and longitudinal connectivity of rivers, floodplains and their wetlands.</t>
  </si>
  <si>
    <t>Cold-water pollution device monitoring, operating, licensing and maintenance.</t>
  </si>
  <si>
    <t>Bore system monitoring, operating, licensing and maintenance.</t>
  </si>
  <si>
    <t>n/a/</t>
  </si>
  <si>
    <t>Improve physical and chemical condition and productivity of agricultural soils that need remediation due to long term degradation and where that remediation is not likely to occur without direct investment.</t>
  </si>
  <si>
    <t>Apply gypsum to address soil structure decline on agricultural soils with excess sodicity where amendment is likely to produce substantial improvement.</t>
  </si>
  <si>
    <t>Plant salt-tolerant vegetation (e.g., saltbush) on salt-affected lands to maintain soil stability and some level of production.</t>
  </si>
  <si>
    <t>Undertake remediation works of revegetation, fencing, stick traps, and rock chutes for high-risk gullies.</t>
  </si>
  <si>
    <t>Undertake remediation works of stick traps, rock chutes, fencing for low-to-medium risk gullies.</t>
  </si>
  <si>
    <t>Connect agricultural land management practices with broader national ambitions for biodiversity, climate change and agricultural productivity.</t>
  </si>
  <si>
    <t>Objective S1. Improve physical and chemical condition and productivity of agricultural soils that need remediation due to long term degradation and where that remediation is not likely to occur without direct investment.</t>
  </si>
  <si>
    <t>Objective S2. Repair gully erosion hot spots across Australia to improve water quality in rivers and expand the availability of healthy land for agriculture and wildlife.</t>
  </si>
  <si>
    <t>Objective S3. Connect agricultural land management practices with broader national ambitions for biodiversity, climate change and agricultural productivity.</t>
  </si>
  <si>
    <t>5206.0 Australian National Accounts: National Income, Expenditure and Product</t>
  </si>
  <si>
    <t>Access Date: 19 Dec 2023</t>
  </si>
  <si>
    <t>Long term inflation rate</t>
  </si>
  <si>
    <t>Monitoring and management of restored conservation areas (fire, weeds, feral animals)</t>
  </si>
  <si>
    <t>Monitoring and management of savanna burning areas (weed monitoring and removal).</t>
  </si>
  <si>
    <t>Monitoring and management of restored conservation areas (fire, weeds, feral animals).</t>
  </si>
  <si>
    <t>Table 1 - Column BB. Key National Accounts Aggregates (GDP: Chain volume measures ; Seasonally adjusted)</t>
  </si>
  <si>
    <t>Population in 2040</t>
  </si>
  <si>
    <t>All assets</t>
  </si>
  <si>
    <t>Coastal environ-ments</t>
  </si>
  <si>
    <t>Ongoing maintenance of gully control measures</t>
  </si>
  <si>
    <t>Average extension program cost cropping ($2016/ha)</t>
  </si>
  <si>
    <t>Cropping extent (ha)</t>
  </si>
  <si>
    <t>Average extension program cost grazing ($2016/ha)</t>
  </si>
  <si>
    <t>Grazing extent (ha)</t>
  </si>
  <si>
    <t>Cost grazing extension program ($2016)</t>
  </si>
  <si>
    <t>Cost cropping extension program ($2016)</t>
  </si>
  <si>
    <t>Cost - Extension program ($2016)</t>
  </si>
  <si>
    <t>Maintain and improve the condition of degraded salt marsh ecosystems</t>
  </si>
  <si>
    <t>Maintain or improve degraded salt marsh ecosystems</t>
  </si>
  <si>
    <t>Carbon price increase</t>
  </si>
  <si>
    <t>Equivalent Annual revenue</t>
  </si>
  <si>
    <t>% of total restoration cost</t>
  </si>
  <si>
    <t>Remaining restoration cost (annual)</t>
  </si>
  <si>
    <t>Cumulative abatement on private land if planted over 30 years</t>
  </si>
  <si>
    <t>Areas designated within the protected area estate were not included in our calculations as these areas are generally not eligible or are difficult to establish with respect to delivering Australia Carbon Credit Units under the Carbon Credits (Carbon Farming Initiative) Act 2011.</t>
  </si>
  <si>
    <t>Annual revenue ($2022)</t>
  </si>
  <si>
    <t>NPV of total revenue ($2022)</t>
  </si>
  <si>
    <t>CO2 sequestered/avoided (tonnes)</t>
  </si>
  <si>
    <t>Total Revenue over 54 years ($2022)
(price specified in Assumptions sheet)</t>
  </si>
  <si>
    <t>R1.1-C (b)</t>
  </si>
  <si>
    <t>R1.1-C (c)</t>
  </si>
  <si>
    <t>R1.1-C (a)</t>
  </si>
  <si>
    <t>Grand total of capital and operational investment required, % of GDP</t>
  </si>
  <si>
    <t>R1.1-O (A) Management and monitoring of new riparian plantings along major rivers</t>
  </si>
  <si>
    <t>R1.1-O (B) Management and monitoring of new riparian plantings around lakes and wetlands</t>
  </si>
  <si>
    <t>R1.1-O (C) Management and monitoring of new riparian plantings around smaller rivers</t>
  </si>
  <si>
    <t>INLAND WATERWAYS - OPERATIONAL COSTS FOR OBJECTIVE R1.1-O</t>
  </si>
  <si>
    <t>EAC (NPV) $2022</t>
  </si>
  <si>
    <r>
      <t>Repairing Australia's Landscapes: Investment estimates</t>
    </r>
    <r>
      <rPr>
        <i/>
        <sz val="11"/>
        <color theme="1"/>
        <rFont val="Calibri Light"/>
        <family val="2"/>
        <scheme val="major"/>
      </rPr>
      <t xml:space="preserve">
(Wentworth Group, 2024)</t>
    </r>
  </si>
  <si>
    <t>Annual capital expenditure ($)</t>
  </si>
  <si>
    <t>Carbon price</t>
  </si>
  <si>
    <t>Carbon abatement</t>
  </si>
  <si>
    <t>MVG Restoraton Costs ($)</t>
  </si>
  <si>
    <t>Minimum MaxBio Value</t>
  </si>
  <si>
    <t>Maximum MaxBio Value</t>
  </si>
  <si>
    <t>See Mappin et al 2020 for methods</t>
  </si>
  <si>
    <t>Average of MaxBio Values</t>
  </si>
  <si>
    <t>Assumption that 50% of dry biomass is elemental carbon</t>
  </si>
  <si>
    <t>Conversion from tC to tCO2e</t>
  </si>
  <si>
    <t>Above Ground Carbon Biomass (tC)</t>
  </si>
  <si>
    <t>Total repair area (ha)</t>
  </si>
  <si>
    <t>Carbon sequestration potential (tCO2e)</t>
  </si>
  <si>
    <t>first year cummualative sequestion potential (tCO2e)</t>
  </si>
  <si>
    <t>first year carbon seq on private land (tCO2e)</t>
  </si>
  <si>
    <t>Carbon sequestration on private land (tCO2e)</t>
  </si>
  <si>
    <t>Annual Carbon sequestration (tCO2e)</t>
  </si>
  <si>
    <t>cummulative abatement (tCO2e)</t>
  </si>
  <si>
    <t>Annual Revenue ($)</t>
  </si>
  <si>
    <t>2054 (est)</t>
  </si>
  <si>
    <t>Taxa</t>
  </si>
  <si>
    <t>Median</t>
  </si>
  <si>
    <t>Mean</t>
  </si>
  <si>
    <t>Taxa projected to be listed annually to 2054 based on historical rates</t>
  </si>
  <si>
    <t>USA Allocated annual funding $USD2013 (Wintle et al 2019)</t>
  </si>
  <si>
    <t>Total capital expenditure required, % of GDP</t>
  </si>
  <si>
    <t>Mitigate imminent extinction risk and ensure medium term survival of Commonwealth-listed threatened species.</t>
  </si>
  <si>
    <t>Objective T1. Mitigate imminent extinction risk and ensure medium term survival of Commonwealth-listed threatened species.</t>
  </si>
  <si>
    <t>For further information contact:</t>
  </si>
  <si>
    <t>Wentworth Group of Concerned Scientists</t>
  </si>
  <si>
    <t xml:space="preserve">Phone: </t>
  </si>
  <si>
    <t>+61 (2) 9251 3811</t>
  </si>
  <si>
    <t xml:space="preserve">Email: </t>
  </si>
  <si>
    <t>information@wentworthgroup.org</t>
  </si>
  <si>
    <t xml:space="preserve">Web: </t>
  </si>
  <si>
    <t>www.wentworthgroup.org</t>
  </si>
  <si>
    <t xml:space="preserve">Address: </t>
  </si>
  <si>
    <t>Suite 4, 3B Macquarie Street, Sydney NSW 2000</t>
  </si>
  <si>
    <t>ABN:</t>
  </si>
  <si>
    <t>357 181 218 50</t>
  </si>
  <si>
    <r>
      <rPr>
        <b/>
        <sz val="11"/>
        <color theme="1"/>
        <rFont val="Calibri"/>
        <family val="2"/>
        <scheme val="minor"/>
      </rPr>
      <t xml:space="preserve">Suggested Citation: </t>
    </r>
    <r>
      <rPr>
        <sz val="11"/>
        <color theme="1"/>
        <rFont val="Calibri"/>
        <family val="2"/>
        <scheme val="minor"/>
      </rPr>
      <t>Wentworth Group of Concerned Scientists (2024) Repairing Australia’s landscapes: Investment estimates and assumptions spreadsheet. Sydney.</t>
    </r>
  </si>
  <si>
    <t>Investment estimates and assumptions spreadsheet</t>
  </si>
  <si>
    <t>Repairing Australia's Landscapes: Supplementary material</t>
  </si>
  <si>
    <t xml:space="preserve">This work is licensed under a Creative Commons Attribution 4.0 Australia </t>
  </si>
  <si>
    <r>
      <rPr>
        <b/>
        <sz val="11"/>
        <color theme="1"/>
        <rFont val="Calibri"/>
        <family val="2"/>
        <scheme val="minor"/>
      </rPr>
      <t xml:space="preserve">© Copyright </t>
    </r>
    <r>
      <rPr>
        <sz val="11"/>
        <color theme="1"/>
        <rFont val="Calibri"/>
        <family val="2"/>
        <scheme val="minor"/>
      </rPr>
      <t>Wentworth Group of Concerned Scientists, 2024.</t>
    </r>
  </si>
  <si>
    <t>Cost sharing factor (percent of full estimate)</t>
  </si>
  <si>
    <t>Actions and Investment Opportunities: 2025-2054</t>
  </si>
  <si>
    <t>Carbon seq on private land (tCO2e)</t>
  </si>
  <si>
    <t>Conversion rate (USD to AUD; year end 30 June 13)*</t>
  </si>
  <si>
    <t>*as per Wintle et al (2019)</t>
  </si>
  <si>
    <t>Cost of management actions in Year 1 ($2022)</t>
  </si>
  <si>
    <t>Total Expenditure in Year 1 ($2022)</t>
  </si>
  <si>
    <t>Annual increase (CPI plus an additional 2% per annum, based on CER assumptions)</t>
  </si>
  <si>
    <t>Net investment, accounting for carbon market revenue, % of GDP</t>
  </si>
  <si>
    <t>Restoration costs (Annual for all actions)</t>
  </si>
  <si>
    <t>Restoration finance gap</t>
  </si>
  <si>
    <t>% total restoration costs by year</t>
  </si>
  <si>
    <t>NPV of revenue over first 30 years (excluding crediting post 2054)</t>
  </si>
  <si>
    <t>*https://www.cleanenergyregulator.gov.au/NGER/The-Safeguard-Mechanism/The-Safeguard-Mechanism-for-financial-years-commencing-on-or-after-1-July-2023</t>
  </si>
  <si>
    <t>Scenario 2: CER Cost Containment*</t>
  </si>
  <si>
    <t>Scenario 1: Conservative based on current spot price</t>
  </si>
  <si>
    <t>Carbon price in 2023/24 - Scenario 1 (CO2e/tonne)</t>
  </si>
  <si>
    <t>Carbon price in 2023/24 Scenario 2 (CO2e/tonne)</t>
  </si>
  <si>
    <t>Total Revenue over 30 years ($2022)
(price specified in Assumptions sheet)</t>
  </si>
  <si>
    <r>
      <rPr>
        <b/>
        <sz val="11"/>
        <color theme="1"/>
        <rFont val="Calibri"/>
        <family val="2"/>
        <scheme val="minor"/>
      </rPr>
      <t xml:space="preserve">Disclaimer: </t>
    </r>
    <r>
      <rPr>
        <sz val="11"/>
        <color theme="1"/>
        <rFont val="Calibri"/>
        <family val="2"/>
        <scheme val="minor"/>
      </rPr>
      <t>The information in this report is intended as a general reference. It is made available on the understanding that the Wentworth Group, as a result of providing this information, is not engaged in providing professional advice. The Wentworth Group has made every reasonable effort to ensure the credibility of information in this report, however we accept no responsibility for the currency, accuracy, completeness, availability or suitability of any material contained in this report and recommends that readers exercise their own judgement with respect to its use. We do not accept any responsibility or risk associated with the use of the information in this report, irrespective of the purpose to which it is applied. This report may contain opinions, conclusions, estimates, recommendations and other information. Such information comprises general financial and economic information only and has not been prepared taking into account a person’s or an entity’s specific requirements. You should not act or fail to act on the basis of any information on this report. Readers should obtain independent financial advice before making any investment decision based on the information in this report. Use of or reliance on the information is at your own risk. The Wentworth Group is not responsible for direct, indirect or consequential loss incurred as a result of reliance on the information within this report.</t>
    </r>
  </si>
  <si>
    <t>Annual carbon revenue ($)</t>
  </si>
  <si>
    <t>Net restoration costs</t>
  </si>
  <si>
    <t>Carbon revenue as a % of total restoration costs by year</t>
  </si>
  <si>
    <t>Maintain or improve the condition of degraded salt marsh ecosystems.</t>
  </si>
  <si>
    <t>Incentivise a change in management practice for salt marsh ecosystems.</t>
  </si>
  <si>
    <t>Re-establish locally degraded seagrass communities in priority areas.</t>
  </si>
  <si>
    <t>Re-establish shellfish reefs in priority locations.</t>
  </si>
  <si>
    <t>Revitalise advisory, support and extension services to provide landholders with the knowledge and capacity to better optimise outcomes including maintaining economic productivity, improving catchment health, sequestering carbon and improving biodiversity.</t>
  </si>
  <si>
    <t>Restore habitat, address threats (including some localised impacts of invasive species), and undertake population interventions such as translocation and breeding programs for species listed as Critically Endangered, Endangered and Vulnerable under Commonwealth legislation.</t>
  </si>
  <si>
    <t>Invertebrate*</t>
  </si>
  <si>
    <r>
      <t xml:space="preserve">*Invertebrate costs in Wintle </t>
    </r>
    <r>
      <rPr>
        <i/>
        <sz val="11"/>
        <color theme="1"/>
        <rFont val="Calibri"/>
        <family val="2"/>
        <scheme val="minor"/>
      </rPr>
      <t>et al.</t>
    </r>
    <r>
      <rPr>
        <sz val="11"/>
        <color theme="1"/>
        <rFont val="Calibri"/>
        <family val="2"/>
        <scheme val="minor"/>
      </rPr>
      <t xml:space="preserve"> 2019 were assumed for estimating costs of the EPBC-listed category of 'Other animals'</t>
    </r>
  </si>
  <si>
    <t>Apply lime to address soil acidification on agricultural soils where damage is significant, not affected by acid sulfate and not amenable to current management.</t>
  </si>
  <si>
    <t>Mean allocated annual funding from 2025 to 2054 converted from $US2013 to $AUD2022 and with inflation</t>
  </si>
  <si>
    <t>Mean cost of actions to 2054 assuming inflation</t>
  </si>
  <si>
    <t>Annual inflation and cost containment rate (https://cer.gov.au/schemes/safeguard-mechanism/managing-excess-emissions)</t>
  </si>
  <si>
    <t>Sep 22 Quarter</t>
  </si>
  <si>
    <t>Dec 22 Quarter</t>
  </si>
  <si>
    <t>Mar 23 Quarter</t>
  </si>
  <si>
    <t>Jun 23 Quarter</t>
  </si>
  <si>
    <t>GDP (billions, 2023$)</t>
  </si>
  <si>
    <t>Historical aggregated inflation rates</t>
  </si>
  <si>
    <t>Calendar Year Inflation</t>
  </si>
  <si>
    <t>December Quarter 2023 data published 6/3/2024</t>
  </si>
  <si>
    <t>Total FY22-23 GDP (ABS 2023)</t>
  </si>
  <si>
    <t>Total (NPV)</t>
  </si>
  <si>
    <t>TOTAL (NPV)</t>
  </si>
  <si>
    <t>Use Indigenous fire management practices to undertake controlled low intensity fires early in the dry season in Australia's tropical savanna lands.</t>
  </si>
  <si>
    <t>Monitoring and management of restored areas (fire, weeds, feral animals)</t>
  </si>
  <si>
    <t>► Ongoing maintenance gully control measures ► Management and monitoring of new riparian plantings along major rivers ► Management and monitoring of new riparian plantings along rivers, lakes and streams ► Fishway (and other works) monitoring, operating, licensing and maintenance ► Cold-water pollution device monitoring, operating, licensing and maintenance ► Diversion screening device monitoring, operating, licensing and maintenance ► Bore system monitoring, operating, licensing and maintenance ► Monitoring and management of restored areas (fire, weeds, feral animals) ► Monitoring and management of savannas burning areas (weed monitoring and removal) ► Monitoring of existing and new seagrass areas ► Monitoring and management of existing and new shellfish reefs.</t>
  </si>
  <si>
    <t>Restore native vegetation cover to at least 30% of pre-1750 extent in a healthy ecological condition for each of Australia's terrestrial ecosystems</t>
  </si>
  <si>
    <t>Objective V1. Restore native vegetation cover to at least 30% of pre-1750 extent in a healthy ecological condition for each of Australia's terrestrial ecosystems</t>
  </si>
  <si>
    <t>Restore native vegetation covers to at least 30% of pre-1750 extent in a healthy ecological condition for each of Australia's terrestrial ecosystems</t>
  </si>
  <si>
    <r>
      <t>*Totals may not add due to rounding.
**Assuming average carbon price of $75 per tonne CO</t>
    </r>
    <r>
      <rPr>
        <i/>
        <vertAlign val="subscript"/>
        <sz val="10"/>
        <color theme="1"/>
        <rFont val="Calibri Light"/>
        <family val="2"/>
        <scheme val="major"/>
      </rPr>
      <t>2</t>
    </r>
    <r>
      <rPr>
        <i/>
        <sz val="10"/>
        <color theme="1"/>
        <rFont val="Calibri Light"/>
        <family val="2"/>
        <scheme val="major"/>
      </rPr>
      <t>e, increasing annually by inflation plus 2% (see Wentworth Group Technial Report, and Clean Energy Regulator, 2022)</t>
    </r>
  </si>
  <si>
    <t>Carbon market revenue** from native vegetation action (V1.2-C)</t>
  </si>
  <si>
    <t>Annual expenditure (2022$; NPV over 30 years)*</t>
  </si>
  <si>
    <t>Total expenditure assuming cost sharing and inflation (in future dollars)</t>
  </si>
  <si>
    <t>Inland water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</si>
</sst>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6" formatCode="&quot;$&quot;#,##0;[Red]\-&quot;$&quot;#,##0"/>
    <numFmt numFmtId="8" formatCode="&quot;$&quot;#,##0.00;[Red]\-&quot;$&quot;#,##0.00"/>
    <numFmt numFmtId="44" formatCode="_-&quot;$&quot;* #,##0.00_-;\-&quot;$&quot;* #,##0.00_-;_-&quot;$&quot;* &quot;-&quot;??_-;_-@_-"/>
    <numFmt numFmtId="43" formatCode="_-* #,##0.00_-;\-* #,##0.00_-;_-* &quot;-&quot;??_-;_-@_-"/>
    <numFmt numFmtId="164" formatCode="_-* #,##0_-;\-* #,##0_-;_-* &quot;-&quot;??_-;_-@_-"/>
    <numFmt numFmtId="165" formatCode="_-&quot;$&quot;* #,##0_-;\-&quot;$&quot;* #,##0_-;_-&quot;$&quot;* &quot;-&quot;??_-;_-@_-"/>
    <numFmt numFmtId="166" formatCode="_-&quot;$&quot;* #,##0_-;\-&quot;$&quot;* #,##0_-;_-&quot;$&quot;* &quot;-&quot;?_-;_-@_-"/>
    <numFmt numFmtId="167" formatCode="0.000%"/>
    <numFmt numFmtId="168" formatCode="0.0%"/>
    <numFmt numFmtId="169" formatCode="&quot;$&quot;#,##0.00"/>
    <numFmt numFmtId="170" formatCode="_-&quot;$&quot;* #,##0.0_-;\-&quot;$&quot;* #,##0.0_-;_-&quot;$&quot;* &quot;-&quot;??_-;_-@_-"/>
    <numFmt numFmtId="171" formatCode="&quot;$&quot;#,##0"/>
    <numFmt numFmtId="172" formatCode="&quot;$&quot;#,##0.0"/>
    <numFmt numFmtId="173" formatCode="0.0000%"/>
    <numFmt numFmtId="174" formatCode="0.0"/>
    <numFmt numFmtId="175" formatCode="&quot;$&quot;#,###&quot; million&quot;"/>
    <numFmt numFmtId="176" formatCode="_-* #,##0.0_-;\-* #,##0.0_-;_-* &quot;-&quot;??_-;_-@_-"/>
    <numFmt numFmtId="177" formatCode="_-* #,##0.000_-;\-* #,##0.000_-;_-* &quot;-&quot;??_-;_-@_-"/>
    <numFmt numFmtId="178" formatCode="&quot;$&quot;#,###.0&quot; million&quot;"/>
    <numFmt numFmtId="179" formatCode="0;\-0;0;@"/>
    <numFmt numFmtId="180" formatCode="&quot;$&quot;#,##0_);[Red]\(&quot;$&quot;#,##0\)"/>
    <numFmt numFmtId="181" formatCode="0.000"/>
    <numFmt numFmtId="182" formatCode="&quot;$&quot;#,###.#,,,&quot; billion&quot;"/>
  </numFmts>
  <fonts count="93" x14ac:knownFonts="1">
    <font>
      <sz val="11"/>
      <color theme="1"/>
      <name val="Calibri"/>
      <family val="2"/>
      <scheme val="minor"/>
    </font>
    <font>
      <sz val="11"/>
      <color theme="1"/>
      <name val="Calibri"/>
      <family val="2"/>
      <scheme val="minor"/>
    </font>
    <font>
      <sz val="11"/>
      <color theme="0"/>
      <name val="Calibri Light"/>
      <family val="2"/>
      <scheme val="major"/>
    </font>
    <font>
      <sz val="11"/>
      <color theme="1"/>
      <name val="Calibri Light"/>
      <family val="2"/>
      <scheme val="major"/>
    </font>
    <font>
      <i/>
      <sz val="11"/>
      <color theme="0"/>
      <name val="Calibri Light"/>
      <family val="2"/>
      <scheme val="major"/>
    </font>
    <font>
      <b/>
      <sz val="11"/>
      <color theme="1"/>
      <name val="Calibri Light"/>
      <family val="2"/>
      <scheme val="major"/>
    </font>
    <font>
      <i/>
      <sz val="11"/>
      <color theme="1"/>
      <name val="Calibri Light"/>
      <family val="2"/>
      <scheme val="major"/>
    </font>
    <font>
      <b/>
      <i/>
      <sz val="11"/>
      <color theme="1"/>
      <name val="Calibri Light"/>
      <family val="2"/>
      <scheme val="major"/>
    </font>
    <font>
      <u/>
      <sz val="11"/>
      <color theme="10"/>
      <name val="Calibri"/>
      <family val="2"/>
      <scheme val="minor"/>
    </font>
    <font>
      <b/>
      <sz val="9"/>
      <color indexed="81"/>
      <name val="Tahoma"/>
      <family val="2"/>
    </font>
    <font>
      <sz val="9"/>
      <color indexed="81"/>
      <name val="Tahoma"/>
      <family val="2"/>
    </font>
    <font>
      <b/>
      <sz val="11"/>
      <color theme="0"/>
      <name val="Calibri Light"/>
      <family val="2"/>
      <scheme val="major"/>
    </font>
    <font>
      <b/>
      <sz val="11"/>
      <name val="Calibri Light"/>
      <family val="2"/>
      <scheme val="major"/>
    </font>
    <font>
      <u/>
      <sz val="11"/>
      <color theme="10"/>
      <name val="Calibri Light"/>
      <family val="2"/>
      <scheme val="major"/>
    </font>
    <font>
      <sz val="11"/>
      <color rgb="FF3F3F76"/>
      <name val="Calibri"/>
      <family val="2"/>
      <scheme val="minor"/>
    </font>
    <font>
      <sz val="11"/>
      <color theme="0"/>
      <name val="Calibri"/>
      <family val="2"/>
      <scheme val="minor"/>
    </font>
    <font>
      <sz val="11"/>
      <name val="Calibri Light"/>
      <family val="2"/>
      <scheme val="major"/>
    </font>
    <font>
      <b/>
      <sz val="11"/>
      <color rgb="FF000000"/>
      <name val="Calibri Light"/>
      <family val="2"/>
      <scheme val="major"/>
    </font>
    <font>
      <sz val="11"/>
      <color rgb="FF000000"/>
      <name val="Calibri Light"/>
      <family val="2"/>
      <scheme val="major"/>
    </font>
    <font>
      <b/>
      <sz val="11"/>
      <color theme="1"/>
      <name val="Calibri"/>
      <family val="2"/>
      <scheme val="minor"/>
    </font>
    <font>
      <b/>
      <sz val="10"/>
      <color theme="0"/>
      <name val="Calibri"/>
      <family val="2"/>
      <scheme val="minor"/>
    </font>
    <font>
      <sz val="10"/>
      <color theme="1"/>
      <name val="Calibri"/>
      <family val="2"/>
      <scheme val="minor"/>
    </font>
    <font>
      <sz val="10"/>
      <color theme="1"/>
      <name val="Calibri Light"/>
      <family val="2"/>
    </font>
    <font>
      <b/>
      <sz val="10"/>
      <color theme="0"/>
      <name val="Calibri Light"/>
      <family val="2"/>
      <scheme val="major"/>
    </font>
    <font>
      <sz val="10"/>
      <color theme="1"/>
      <name val="Calibri Light"/>
      <family val="2"/>
      <scheme val="major"/>
    </font>
    <font>
      <b/>
      <sz val="10"/>
      <color rgb="FFFFFFFF"/>
      <name val="Calibri Light"/>
      <family val="2"/>
      <scheme val="major"/>
    </font>
    <font>
      <sz val="10"/>
      <color rgb="FF000000"/>
      <name val="Calibri Light"/>
      <family val="2"/>
      <scheme val="major"/>
    </font>
    <font>
      <b/>
      <sz val="10"/>
      <color theme="1"/>
      <name val="Calibri Light"/>
      <family val="2"/>
      <scheme val="major"/>
    </font>
    <font>
      <sz val="10"/>
      <color theme="0"/>
      <name val="Calibri Light"/>
      <family val="2"/>
      <scheme val="major"/>
    </font>
    <font>
      <sz val="10"/>
      <color theme="0"/>
      <name val="Calibri Light"/>
      <family val="2"/>
    </font>
    <font>
      <b/>
      <sz val="12"/>
      <color theme="1"/>
      <name val="Calibri Light"/>
      <family val="2"/>
      <scheme val="major"/>
    </font>
    <font>
      <b/>
      <sz val="14"/>
      <color theme="1"/>
      <name val="Calibri Light"/>
      <family val="2"/>
      <scheme val="major"/>
    </font>
    <font>
      <b/>
      <sz val="14"/>
      <color theme="0"/>
      <name val="Calibri Light"/>
      <family val="2"/>
      <scheme val="major"/>
    </font>
    <font>
      <b/>
      <sz val="12"/>
      <color theme="0"/>
      <name val="Calibri Light"/>
      <family val="2"/>
      <scheme val="major"/>
    </font>
    <font>
      <sz val="12"/>
      <name val="Calibri Light"/>
      <family val="2"/>
      <scheme val="major"/>
    </font>
    <font>
      <b/>
      <sz val="12"/>
      <name val="Calibri Light"/>
      <family val="2"/>
      <scheme val="major"/>
    </font>
    <font>
      <sz val="12"/>
      <color theme="1"/>
      <name val="Calibri Light"/>
      <family val="2"/>
      <scheme val="major"/>
    </font>
    <font>
      <sz val="12"/>
      <color theme="0"/>
      <name val="Calibri Light"/>
      <family val="2"/>
      <scheme val="major"/>
    </font>
    <font>
      <b/>
      <i/>
      <sz val="12"/>
      <color theme="1"/>
      <name val="Calibri Light"/>
      <family val="2"/>
      <scheme val="major"/>
    </font>
    <font>
      <i/>
      <sz val="12"/>
      <color theme="1"/>
      <name val="Calibri Light"/>
      <family val="2"/>
      <scheme val="major"/>
    </font>
    <font>
      <sz val="6"/>
      <color rgb="FF383838"/>
      <name val="Georgia"/>
      <family val="1"/>
    </font>
    <font>
      <b/>
      <i/>
      <sz val="11"/>
      <color theme="0"/>
      <name val="Calibri Light"/>
      <family val="2"/>
      <scheme val="major"/>
    </font>
    <font>
      <b/>
      <i/>
      <sz val="12"/>
      <color theme="0"/>
      <name val="Calibri Light"/>
      <family val="2"/>
      <scheme val="maj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6"/>
      <color theme="0"/>
      <name val="Calibri Light"/>
      <family val="2"/>
      <scheme val="major"/>
    </font>
    <font>
      <sz val="14"/>
      <color theme="1"/>
      <name val="Calibri Light"/>
      <family val="2"/>
      <scheme val="major"/>
    </font>
    <font>
      <sz val="16"/>
      <color theme="1"/>
      <name val="Calibri"/>
      <family val="2"/>
      <scheme val="minor"/>
    </font>
    <font>
      <b/>
      <sz val="16"/>
      <color theme="1"/>
      <name val="Calibri Light"/>
      <family val="2"/>
      <scheme val="major"/>
    </font>
    <font>
      <sz val="16"/>
      <color theme="1"/>
      <name val="Calibri Light"/>
      <family val="2"/>
      <scheme val="major"/>
    </font>
    <font>
      <u/>
      <sz val="14"/>
      <color theme="1"/>
      <name val="Calibri Light"/>
      <family val="2"/>
      <scheme val="major"/>
    </font>
    <font>
      <b/>
      <sz val="16"/>
      <color theme="1"/>
      <name val="Calibri"/>
      <family val="2"/>
      <scheme val="minor"/>
    </font>
    <font>
      <i/>
      <sz val="14"/>
      <color theme="1"/>
      <name val="Calibri Light"/>
      <family val="2"/>
      <scheme val="major"/>
    </font>
    <font>
      <i/>
      <sz val="11"/>
      <color theme="1"/>
      <name val="Calibri"/>
      <family val="2"/>
      <scheme val="minor"/>
    </font>
    <font>
      <b/>
      <sz val="18"/>
      <name val="Calibri Light"/>
      <family val="2"/>
      <scheme val="major"/>
    </font>
    <font>
      <b/>
      <sz val="18"/>
      <color theme="0"/>
      <name val="Calibri Light"/>
      <family val="2"/>
      <scheme val="major"/>
    </font>
    <font>
      <b/>
      <sz val="18"/>
      <color theme="1"/>
      <name val="Calibri Light"/>
      <family val="2"/>
      <scheme val="major"/>
    </font>
    <font>
      <sz val="18"/>
      <color theme="1"/>
      <name val="Calibri Light"/>
      <family val="2"/>
      <scheme val="major"/>
    </font>
    <font>
      <b/>
      <sz val="10"/>
      <color rgb="FFFFFFFF"/>
      <name val="Calibri Light"/>
      <family val="2"/>
    </font>
    <font>
      <sz val="10"/>
      <color rgb="FF000000"/>
      <name val="Calibri Light"/>
      <family val="2"/>
    </font>
    <font>
      <b/>
      <i/>
      <sz val="11"/>
      <name val="Calibri Light"/>
      <family val="2"/>
      <scheme val="major"/>
    </font>
    <font>
      <sz val="11"/>
      <name val="Calibri"/>
      <family val="2"/>
      <scheme val="minor"/>
    </font>
    <font>
      <b/>
      <sz val="11"/>
      <name val="Calibri"/>
      <family val="2"/>
      <scheme val="minor"/>
    </font>
    <font>
      <b/>
      <u/>
      <sz val="11"/>
      <color theme="1"/>
      <name val="Calibri"/>
      <family val="2"/>
      <scheme val="minor"/>
    </font>
    <font>
      <sz val="10"/>
      <color rgb="FF000000"/>
      <name val="Calibri"/>
      <family val="2"/>
      <scheme val="minor"/>
    </font>
    <font>
      <i/>
      <sz val="10"/>
      <color rgb="FF000000"/>
      <name val="Calibri"/>
      <family val="2"/>
      <scheme val="minor"/>
    </font>
    <font>
      <sz val="11"/>
      <color rgb="FF9C6500"/>
      <name val="Calibri"/>
      <family val="2"/>
      <scheme val="minor"/>
    </font>
    <font>
      <sz val="10"/>
      <name val="Calibri"/>
      <family val="2"/>
      <scheme val="minor"/>
    </font>
    <font>
      <i/>
      <sz val="11"/>
      <name val="Calibri Light"/>
      <family val="2"/>
      <scheme val="major"/>
    </font>
    <font>
      <sz val="11"/>
      <color theme="0" tint="-0.34998626667073579"/>
      <name val="Calibri"/>
      <family val="2"/>
      <scheme val="minor"/>
    </font>
    <font>
      <sz val="11"/>
      <color rgb="FF000000"/>
      <name val="Calibri"/>
      <family val="2"/>
    </font>
    <font>
      <b/>
      <sz val="11"/>
      <color rgb="FF000000"/>
      <name val="Calibri"/>
      <family val="2"/>
    </font>
    <font>
      <sz val="11"/>
      <color rgb="FF000000"/>
      <name val="Calibri"/>
      <family val="2"/>
      <scheme val="minor"/>
    </font>
    <font>
      <sz val="8"/>
      <name val="Calibri"/>
      <family val="2"/>
      <scheme val="minor"/>
    </font>
    <font>
      <sz val="12"/>
      <color rgb="FF000000"/>
      <name val="Arial"/>
      <family val="2"/>
    </font>
    <font>
      <sz val="8"/>
      <color theme="1"/>
      <name val="Arial"/>
      <family val="2"/>
    </font>
    <font>
      <b/>
      <sz val="16"/>
      <name val="Calibri Light"/>
      <family val="2"/>
      <scheme val="major"/>
    </font>
    <font>
      <b/>
      <i/>
      <sz val="11"/>
      <color theme="1"/>
      <name val="Calibri"/>
      <family val="2"/>
      <scheme val="minor"/>
    </font>
    <font>
      <b/>
      <sz val="16"/>
      <name val="Calibri"/>
      <family val="2"/>
      <scheme val="minor"/>
    </font>
    <font>
      <i/>
      <sz val="9"/>
      <color theme="1"/>
      <name val="Calibri"/>
      <family val="2"/>
      <scheme val="minor"/>
    </font>
    <font>
      <i/>
      <sz val="10"/>
      <color theme="1"/>
      <name val="Calibri Light"/>
      <family val="2"/>
      <scheme val="major"/>
    </font>
    <font>
      <i/>
      <vertAlign val="subscript"/>
      <sz val="10"/>
      <color theme="1"/>
      <name val="Calibri Light"/>
      <family val="2"/>
      <scheme val="major"/>
    </font>
  </fonts>
  <fills count="93">
    <fill>
      <patternFill patternType="none"/>
    </fill>
    <fill>
      <patternFill patternType="gray125"/>
    </fill>
    <fill>
      <patternFill patternType="solid">
        <fgColor rgb="FFF2F2F2"/>
      </patternFill>
    </fill>
    <fill>
      <patternFill patternType="solid">
        <fgColor theme="0"/>
        <bgColor indexed="64"/>
      </patternFill>
    </fill>
    <fill>
      <patternFill patternType="solid">
        <fgColor theme="1"/>
        <bgColor indexed="64"/>
      </patternFill>
    </fill>
    <fill>
      <patternFill patternType="solid">
        <fgColor theme="2" tint="-0.499984740745262"/>
        <bgColor indexed="64"/>
      </patternFill>
    </fill>
    <fill>
      <patternFill patternType="solid">
        <fgColor theme="9"/>
        <bgColor indexed="64"/>
      </patternFill>
    </fill>
    <fill>
      <patternFill patternType="solid">
        <fgColor theme="6" tint="0.39997558519241921"/>
        <bgColor indexed="64"/>
      </patternFill>
    </fill>
    <fill>
      <patternFill patternType="solid">
        <fgColor rgb="FFFFC000"/>
        <bgColor indexed="64"/>
      </patternFill>
    </fill>
    <fill>
      <patternFill patternType="solid">
        <fgColor theme="5" tint="0.39997558519241921"/>
        <bgColor indexed="64"/>
      </patternFill>
    </fill>
    <fill>
      <patternFill patternType="solid">
        <fgColor theme="7" tint="0.59999389629810485"/>
        <bgColor indexed="64"/>
      </patternFill>
    </fill>
    <fill>
      <patternFill patternType="solid">
        <fgColor rgb="FFFFFF00"/>
        <bgColor indexed="64"/>
      </patternFill>
    </fill>
    <fill>
      <patternFill patternType="solid">
        <fgColor theme="1" tint="0.34998626667073579"/>
        <bgColor indexed="64"/>
      </patternFill>
    </fill>
    <fill>
      <patternFill patternType="solid">
        <fgColor theme="0" tint="-0.14999847407452621"/>
        <bgColor indexed="64"/>
      </patternFill>
    </fill>
    <fill>
      <patternFill patternType="solid">
        <fgColor theme="9" tint="-0.249977111117893"/>
        <bgColor indexed="64"/>
      </patternFill>
    </fill>
    <fill>
      <patternFill patternType="solid">
        <fgColor rgb="FFFFCC99"/>
      </patternFill>
    </fill>
    <fill>
      <patternFill patternType="solid">
        <fgColor theme="4" tint="0.39997558519241921"/>
        <bgColor indexed="64"/>
      </patternFill>
    </fill>
    <fill>
      <patternFill patternType="solid">
        <fgColor theme="0" tint="-0.249977111117893"/>
        <bgColor indexed="64"/>
      </patternFill>
    </fill>
    <fill>
      <patternFill patternType="solid">
        <fgColor rgb="FFFF0000"/>
        <bgColor indexed="64"/>
      </patternFill>
    </fill>
    <fill>
      <patternFill patternType="solid">
        <fgColor theme="5" tint="-0.499984740745262"/>
        <bgColor indexed="64"/>
      </patternFill>
    </fill>
    <fill>
      <patternFill patternType="solid">
        <fgColor theme="4" tint="-0.249977111117893"/>
        <bgColor indexed="64"/>
      </patternFill>
    </fill>
    <fill>
      <patternFill patternType="solid">
        <fgColor theme="8" tint="-0.499984740745262"/>
        <bgColor indexed="64"/>
      </patternFill>
    </fill>
    <fill>
      <patternFill patternType="solid">
        <fgColor theme="5" tint="0.59999389629810485"/>
        <bgColor indexed="64"/>
      </patternFill>
    </fill>
    <fill>
      <patternFill patternType="solid">
        <fgColor rgb="FFEE58AE"/>
        <bgColor indexed="64"/>
      </patternFill>
    </fill>
    <fill>
      <patternFill patternType="solid">
        <fgColor rgb="FFF7ABD6"/>
        <bgColor indexed="64"/>
      </patternFill>
    </fill>
    <fill>
      <patternFill patternType="solid">
        <fgColor theme="5"/>
        <bgColor indexed="64"/>
      </patternFill>
    </fill>
    <fill>
      <patternFill patternType="solid">
        <fgColor theme="0" tint="-0.34998626667073579"/>
        <bgColor indexed="64"/>
      </patternFill>
    </fill>
    <fill>
      <patternFill patternType="solid">
        <fgColor theme="4"/>
        <bgColor indexed="64"/>
      </patternFill>
    </fill>
    <fill>
      <patternFill patternType="solid">
        <fgColor theme="7"/>
        <bgColor indexed="64"/>
      </patternFill>
    </fill>
    <fill>
      <patternFill patternType="solid">
        <fgColor theme="3" tint="0.39997558519241921"/>
        <bgColor indexed="64"/>
      </patternFill>
    </fill>
    <fill>
      <patternFill patternType="solid">
        <fgColor rgb="FF00B0F0"/>
        <bgColor indexed="64"/>
      </patternFill>
    </fill>
    <fill>
      <patternFill patternType="solid">
        <fgColor theme="3" tint="0.59999389629810485"/>
        <bgColor indexed="64"/>
      </patternFill>
    </fill>
    <fill>
      <patternFill patternType="solid">
        <fgColor theme="9" tint="0.39997558519241921"/>
        <bgColor indexed="64"/>
      </patternFill>
    </fill>
    <fill>
      <patternFill patternType="solid">
        <fgColor theme="5" tint="-0.249977111117893"/>
        <bgColor indexed="64"/>
      </patternFill>
    </fill>
    <fill>
      <patternFill patternType="solid">
        <fgColor rgb="FFF389C6"/>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996633"/>
        <bgColor indexed="64"/>
      </patternFill>
    </fill>
    <fill>
      <patternFill patternType="solid">
        <fgColor theme="2" tint="-9.9978637043366805E-2"/>
        <bgColor indexed="64"/>
      </patternFill>
    </fill>
    <fill>
      <patternFill patternType="solid">
        <fgColor theme="3"/>
        <bgColor indexed="64"/>
      </patternFill>
    </fill>
    <fill>
      <patternFill patternType="solid">
        <fgColor rgb="FF9AB73D"/>
        <bgColor indexed="64"/>
      </patternFill>
    </fill>
    <fill>
      <patternFill patternType="solid">
        <fgColor rgb="FF006666"/>
        <bgColor indexed="64"/>
      </patternFill>
    </fill>
    <fill>
      <patternFill patternType="solid">
        <fgColor theme="8"/>
        <bgColor indexed="64"/>
      </patternFill>
    </fill>
    <fill>
      <patternFill patternType="solid">
        <fgColor rgb="FF000000"/>
        <bgColor indexed="64"/>
      </patternFill>
    </fill>
    <fill>
      <patternFill patternType="solid">
        <fgColor theme="9" tint="0.59999389629810485"/>
        <bgColor indexed="64"/>
      </patternFill>
    </fill>
    <fill>
      <patternFill patternType="solid">
        <fgColor rgb="FFFFEB9C"/>
        <bgColor indexed="64"/>
      </patternFill>
    </fill>
    <fill>
      <patternFill patternType="solid">
        <fgColor theme="1" tint="0.249977111117893"/>
        <bgColor indexed="64"/>
      </patternFill>
    </fill>
    <fill>
      <patternFill patternType="solid">
        <fgColor theme="1" tint="0.499984740745262"/>
        <bgColor indexed="64"/>
      </patternFill>
    </fill>
    <fill>
      <patternFill patternType="solid">
        <fgColor rgb="FF2A9D8F"/>
        <bgColor indexed="64"/>
      </patternFill>
    </fill>
    <fill>
      <patternFill patternType="solid">
        <fgColor rgb="FFB3565B"/>
        <bgColor indexed="64"/>
      </patternFill>
    </fill>
    <fill>
      <patternFill patternType="solid">
        <fgColor rgb="FFE9C46A"/>
        <bgColor indexed="64"/>
      </patternFill>
    </fill>
    <fill>
      <patternFill patternType="solid">
        <fgColor rgb="FFB17652"/>
        <bgColor indexed="64"/>
      </patternFill>
    </fill>
    <fill>
      <patternFill patternType="solid">
        <fgColor rgb="FF47829A"/>
        <bgColor indexed="64"/>
      </patternFill>
    </fill>
    <fill>
      <patternFill patternType="solid">
        <fgColor rgb="FFCCA68E"/>
        <bgColor indexed="64"/>
      </patternFill>
    </fill>
    <fill>
      <patternFill patternType="solid">
        <fgColor theme="0" tint="-4.9989318521683403E-2"/>
        <bgColor indexed="64"/>
      </patternFill>
    </fill>
    <fill>
      <patternFill patternType="solid">
        <fgColor rgb="FF74DACE"/>
        <bgColor indexed="64"/>
      </patternFill>
    </fill>
    <fill>
      <patternFill patternType="solid">
        <fgColor rgb="FF89B7C9"/>
        <bgColor indexed="64"/>
      </patternFill>
    </fill>
    <fill>
      <patternFill patternType="solid">
        <fgColor rgb="FFF5E4B9"/>
        <bgColor indexed="64"/>
      </patternFill>
    </fill>
    <fill>
      <patternFill patternType="solid">
        <fgColor rgb="FFF4E3B8"/>
        <bgColor indexed="64"/>
      </patternFill>
    </fill>
    <fill>
      <patternFill patternType="solid">
        <fgColor rgb="FFBFEDE8"/>
        <bgColor indexed="64"/>
      </patternFill>
    </fill>
    <fill>
      <patternFill patternType="solid">
        <fgColor rgb="FFD9BCAB"/>
        <bgColor indexed="64"/>
      </patternFill>
    </fill>
    <fill>
      <patternFill patternType="solid">
        <fgColor rgb="FFE6C7C8"/>
        <bgColor indexed="64"/>
      </patternFill>
    </fill>
    <fill>
      <patternFill patternType="solid">
        <fgColor rgb="FFB9D5DF"/>
        <bgColor indexed="64"/>
      </patternFill>
    </fill>
    <fill>
      <patternFill patternType="solid">
        <fgColor theme="9" tint="0.79998168889431442"/>
        <bgColor indexed="64"/>
      </patternFill>
    </fill>
    <fill>
      <patternFill patternType="solid">
        <fgColor theme="2" tint="-0.249977111117893"/>
        <bgColor indexed="64"/>
      </patternFill>
    </fill>
    <fill>
      <patternFill patternType="solid">
        <fgColor theme="2"/>
        <bgColor indexed="64"/>
      </patternFill>
    </fill>
  </fills>
  <borders count="108">
    <border>
      <left/>
      <right/>
      <top/>
      <bottom/>
      <diagonal/>
    </border>
    <border>
      <left/>
      <right style="thin">
        <color indexed="64"/>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medium">
        <color indexed="64"/>
      </left>
      <right/>
      <top/>
      <bottom/>
      <diagonal/>
    </border>
    <border>
      <left style="thin">
        <color indexed="64"/>
      </left>
      <right/>
      <top/>
      <bottom style="medium">
        <color indexed="64"/>
      </bottom>
      <diagonal/>
    </border>
    <border>
      <left/>
      <right/>
      <top/>
      <bottom style="medium">
        <color indexed="64"/>
      </bottom>
      <diagonal/>
    </border>
    <border>
      <left style="medium">
        <color indexed="64"/>
      </left>
      <right/>
      <top style="medium">
        <color indexed="64"/>
      </top>
      <bottom style="medium">
        <color indexed="64"/>
      </bottom>
      <diagonal/>
    </border>
    <border>
      <left/>
      <right/>
      <top style="medium">
        <color indexed="64"/>
      </top>
      <bottom/>
      <diagonal/>
    </border>
    <border>
      <left/>
      <right/>
      <top style="medium">
        <color indexed="64"/>
      </top>
      <bottom style="medium">
        <color indexed="64"/>
      </bottom>
      <diagonal/>
    </border>
    <border>
      <left style="medium">
        <color indexed="64"/>
      </left>
      <right/>
      <top style="medium">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style="medium">
        <color indexed="64"/>
      </right>
      <top/>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medium">
        <color indexed="64"/>
      </left>
      <right/>
      <top/>
      <bottom style="medium">
        <color indexed="64"/>
      </bottom>
      <diagonal/>
    </border>
    <border>
      <left/>
      <right style="medium">
        <color indexed="64"/>
      </right>
      <top style="medium">
        <color indexed="64"/>
      </top>
      <bottom/>
      <diagonal/>
    </border>
    <border>
      <left style="medium">
        <color indexed="64"/>
      </left>
      <right style="medium">
        <color indexed="64"/>
      </right>
      <top style="medium">
        <color indexed="64"/>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style="medium">
        <color indexed="64"/>
      </right>
      <top/>
      <bottom/>
      <diagonal/>
    </border>
    <border>
      <left style="thin">
        <color indexed="64"/>
      </left>
      <right/>
      <top/>
      <bottom/>
      <diagonal/>
    </border>
    <border>
      <left style="thin">
        <color rgb="FF7F7F7F"/>
      </left>
      <right style="thin">
        <color rgb="FF7F7F7F"/>
      </right>
      <top style="thin">
        <color rgb="FF7F7F7F"/>
      </top>
      <bottom style="thin">
        <color rgb="FF7F7F7F"/>
      </bottom>
      <diagonal/>
    </border>
    <border>
      <left style="thin">
        <color indexed="64"/>
      </left>
      <right style="thin">
        <color indexed="64"/>
      </right>
      <top/>
      <bottom/>
      <diagonal/>
    </border>
    <border>
      <left/>
      <right/>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right style="thin">
        <color indexed="64"/>
      </right>
      <top/>
      <bottom style="medium">
        <color indexed="64"/>
      </bottom>
      <diagonal/>
    </border>
    <border>
      <left style="thin">
        <color indexed="64"/>
      </left>
      <right/>
      <top style="thin">
        <color indexed="64"/>
      </top>
      <bottom style="thin">
        <color indexed="64"/>
      </bottom>
      <diagonal/>
    </border>
    <border>
      <left/>
      <right style="medium">
        <color indexed="64"/>
      </right>
      <top style="medium">
        <color indexed="64"/>
      </top>
      <bottom style="medium">
        <color indexed="64"/>
      </bottom>
      <diagonal/>
    </border>
    <border>
      <left style="thin">
        <color indexed="64"/>
      </left>
      <right style="medium">
        <color indexed="64"/>
      </right>
      <top/>
      <bottom/>
      <diagonal/>
    </border>
    <border>
      <left style="thin">
        <color indexed="64"/>
      </left>
      <right/>
      <top style="medium">
        <color indexed="64"/>
      </top>
      <bottom/>
      <diagonal/>
    </border>
    <border>
      <left/>
      <right style="thin">
        <color indexed="64"/>
      </right>
      <top style="medium">
        <color indexed="64"/>
      </top>
      <bottom/>
      <diagonal/>
    </border>
    <border>
      <left style="thin">
        <color indexed="64"/>
      </left>
      <right style="medium">
        <color indexed="64"/>
      </right>
      <top style="thin">
        <color indexed="64"/>
      </top>
      <bottom style="medium">
        <color indexed="64"/>
      </bottom>
      <diagonal/>
    </border>
    <border>
      <left style="medium">
        <color indexed="64"/>
      </left>
      <right/>
      <top style="thin">
        <color indexed="64"/>
      </top>
      <bottom/>
      <diagonal/>
    </border>
    <border>
      <left style="thin">
        <color indexed="64"/>
      </left>
      <right style="thin">
        <color indexed="64"/>
      </right>
      <top style="medium">
        <color indexed="64"/>
      </top>
      <bottom/>
      <diagonal/>
    </border>
    <border>
      <left style="thin">
        <color indexed="64"/>
      </left>
      <right/>
      <top style="medium">
        <color indexed="64"/>
      </top>
      <bottom style="thin">
        <color indexed="64"/>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bottom style="thin">
        <color indexed="64"/>
      </bottom>
      <diagonal/>
    </border>
    <border>
      <left style="medium">
        <color indexed="64"/>
      </left>
      <right/>
      <top style="medium">
        <color indexed="64"/>
      </top>
      <bottom style="thin">
        <color indexed="64"/>
      </bottom>
      <diagonal/>
    </border>
    <border>
      <left style="thin">
        <color indexed="64"/>
      </left>
      <right/>
      <top style="medium">
        <color indexed="64"/>
      </top>
      <bottom style="medium">
        <color indexed="64"/>
      </bottom>
      <diagonal/>
    </border>
    <border>
      <left/>
      <right style="medium">
        <color indexed="64"/>
      </right>
      <top style="medium">
        <color indexed="64"/>
      </top>
      <bottom style="thin">
        <color indexed="64"/>
      </bottom>
      <diagonal/>
    </border>
    <border>
      <left style="medium">
        <color indexed="64"/>
      </left>
      <right style="medium">
        <color indexed="64"/>
      </right>
      <top style="medium">
        <color indexed="64"/>
      </top>
      <bottom/>
      <diagonal/>
    </border>
    <border>
      <left style="thin">
        <color indexed="64"/>
      </left>
      <right style="medium">
        <color indexed="64"/>
      </right>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right style="thin">
        <color indexed="64"/>
      </right>
      <top style="medium">
        <color indexed="64"/>
      </top>
      <bottom style="medium">
        <color indexed="64"/>
      </bottom>
      <diagonal/>
    </border>
    <border>
      <left/>
      <right style="medium">
        <color indexed="64"/>
      </right>
      <top style="thin">
        <color indexed="64"/>
      </top>
      <bottom style="medium">
        <color indexed="64"/>
      </bottom>
      <diagonal/>
    </border>
    <border>
      <left style="thin">
        <color indexed="64"/>
      </left>
      <right style="medium">
        <color indexed="64"/>
      </right>
      <top style="medium">
        <color indexed="64"/>
      </top>
      <bottom/>
      <diagonal/>
    </border>
    <border>
      <left style="medium">
        <color indexed="64"/>
      </left>
      <right/>
      <top style="thin">
        <color indexed="64"/>
      </top>
      <bottom style="dashed">
        <color indexed="64"/>
      </bottom>
      <diagonal/>
    </border>
    <border>
      <left style="thin">
        <color indexed="64"/>
      </left>
      <right style="thin">
        <color indexed="64"/>
      </right>
      <top style="thin">
        <color indexed="64"/>
      </top>
      <bottom style="dashed">
        <color indexed="64"/>
      </bottom>
      <diagonal/>
    </border>
    <border>
      <left style="medium">
        <color indexed="64"/>
      </left>
      <right/>
      <top style="dashed">
        <color indexed="64"/>
      </top>
      <bottom style="dashed">
        <color indexed="64"/>
      </bottom>
      <diagonal/>
    </border>
    <border>
      <left style="thin">
        <color indexed="64"/>
      </left>
      <right style="thin">
        <color indexed="64"/>
      </right>
      <top style="dashed">
        <color indexed="64"/>
      </top>
      <bottom style="dashed">
        <color indexed="64"/>
      </bottom>
      <diagonal/>
    </border>
    <border>
      <left style="thin">
        <color indexed="64"/>
      </left>
      <right style="medium">
        <color indexed="64"/>
      </right>
      <top style="dashed">
        <color indexed="64"/>
      </top>
      <bottom style="dashed">
        <color indexed="64"/>
      </bottom>
      <diagonal/>
    </border>
    <border>
      <left/>
      <right style="thin">
        <color indexed="64"/>
      </right>
      <top style="dashed">
        <color indexed="64"/>
      </top>
      <bottom style="dashed">
        <color indexed="64"/>
      </bottom>
      <diagonal/>
    </border>
    <border>
      <left/>
      <right/>
      <top style="thin">
        <color indexed="64"/>
      </top>
      <bottom style="dashed">
        <color indexed="64"/>
      </bottom>
      <diagonal/>
    </border>
    <border>
      <left/>
      <right/>
      <top style="dashed">
        <color indexed="64"/>
      </top>
      <bottom style="dashed">
        <color indexed="64"/>
      </bottom>
      <diagonal/>
    </border>
    <border>
      <left/>
      <right style="medium">
        <color indexed="64"/>
      </right>
      <top style="dashed">
        <color indexed="64"/>
      </top>
      <bottom style="dashed">
        <color indexed="64"/>
      </bottom>
      <diagonal/>
    </border>
    <border>
      <left style="medium">
        <color indexed="64"/>
      </left>
      <right/>
      <top/>
      <bottom style="dashed">
        <color indexed="64"/>
      </bottom>
      <diagonal/>
    </border>
    <border>
      <left/>
      <right/>
      <top/>
      <bottom style="dashed">
        <color indexed="64"/>
      </bottom>
      <diagonal/>
    </border>
    <border>
      <left/>
      <right style="medium">
        <color indexed="64"/>
      </right>
      <top/>
      <bottom style="dashed">
        <color indexed="64"/>
      </bottom>
      <diagonal/>
    </border>
    <border>
      <left style="medium">
        <color indexed="64"/>
      </left>
      <right/>
      <top style="medium">
        <color indexed="64"/>
      </top>
      <bottom style="dashed">
        <color indexed="64"/>
      </bottom>
      <diagonal/>
    </border>
    <border>
      <left style="thin">
        <color indexed="64"/>
      </left>
      <right style="thin">
        <color indexed="64"/>
      </right>
      <top style="medium">
        <color indexed="64"/>
      </top>
      <bottom style="dashed">
        <color indexed="64"/>
      </bottom>
      <diagonal/>
    </border>
    <border>
      <left/>
      <right style="medium">
        <color indexed="64"/>
      </right>
      <top style="medium">
        <color indexed="64"/>
      </top>
      <bottom style="dashed">
        <color indexed="64"/>
      </bottom>
      <diagonal/>
    </border>
    <border>
      <left style="thin">
        <color indexed="64"/>
      </left>
      <right style="thin">
        <color indexed="64"/>
      </right>
      <top/>
      <bottom style="dashed">
        <color indexed="64"/>
      </bottom>
      <diagonal/>
    </border>
    <border>
      <left style="thin">
        <color indexed="64"/>
      </left>
      <right style="medium">
        <color indexed="64"/>
      </right>
      <top/>
      <bottom style="dashed">
        <color indexed="64"/>
      </bottom>
      <diagonal/>
    </border>
    <border>
      <left/>
      <right/>
      <top style="medium">
        <color indexed="64"/>
      </top>
      <bottom style="dashed">
        <color indexed="64"/>
      </bottom>
      <diagonal/>
    </border>
    <border>
      <left/>
      <right style="thin">
        <color indexed="64"/>
      </right>
      <top/>
      <bottom style="dashed">
        <color indexed="64"/>
      </bottom>
      <diagonal/>
    </border>
    <border>
      <left/>
      <right/>
      <top/>
      <bottom style="dotted">
        <color indexed="64"/>
      </bottom>
      <diagonal/>
    </border>
    <border>
      <left/>
      <right/>
      <top style="dotted">
        <color indexed="64"/>
      </top>
      <bottom style="dotted">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style="thin">
        <color indexed="64"/>
      </top>
      <bottom style="double">
        <color indexed="64"/>
      </bottom>
      <diagonal/>
    </border>
    <border>
      <left style="medium">
        <color rgb="FF4F81BD"/>
      </left>
      <right/>
      <top style="medium">
        <color rgb="FF4F81BD"/>
      </top>
      <bottom/>
      <diagonal/>
    </border>
    <border>
      <left/>
      <right/>
      <top style="medium">
        <color rgb="FF4F81BD"/>
      </top>
      <bottom/>
      <diagonal/>
    </border>
    <border>
      <left style="medium">
        <color rgb="FF4F81BD"/>
      </left>
      <right/>
      <top style="medium">
        <color rgb="FF4F81BD"/>
      </top>
      <bottom style="medium">
        <color rgb="FF4F81BD"/>
      </bottom>
      <diagonal/>
    </border>
    <border>
      <left/>
      <right/>
      <top style="medium">
        <color rgb="FF4F81BD"/>
      </top>
      <bottom style="medium">
        <color rgb="FF4F81BD"/>
      </bottom>
      <diagonal/>
    </border>
    <border>
      <left/>
      <right/>
      <top/>
      <bottom style="double">
        <color indexed="64"/>
      </bottom>
      <diagonal/>
    </border>
    <border>
      <left style="medium">
        <color rgb="FFFFFFFF"/>
      </left>
      <right style="medium">
        <color rgb="FFFFFFFF"/>
      </right>
      <top style="medium">
        <color rgb="FFFFFFFF"/>
      </top>
      <bottom style="medium">
        <color rgb="FFFFFFFF"/>
      </bottom>
      <diagonal/>
    </border>
    <border>
      <left/>
      <right style="medium">
        <color rgb="FFFFFFFF"/>
      </right>
      <top style="medium">
        <color rgb="FFFFFFFF"/>
      </top>
      <bottom style="medium">
        <color rgb="FFFFFFFF"/>
      </bottom>
      <diagonal/>
    </border>
    <border>
      <left style="medium">
        <color rgb="FFFFFFFF"/>
      </left>
      <right style="medium">
        <color rgb="FFFFFFFF"/>
      </right>
      <top/>
      <bottom style="medium">
        <color rgb="FFFFFFFF"/>
      </bottom>
      <diagonal/>
    </border>
    <border>
      <left/>
      <right style="medium">
        <color rgb="FFFFFFFF"/>
      </right>
      <top/>
      <bottom style="medium">
        <color rgb="FFFFFFFF"/>
      </bottom>
      <diagonal/>
    </border>
  </borders>
  <cellStyleXfs count="48">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8" fillId="0" borderId="0" applyNumberFormat="0" applyFill="0" applyBorder="0" applyAlignment="0" applyProtection="0"/>
    <xf numFmtId="0" fontId="14" fillId="15" borderId="31" applyNumberFormat="0" applyAlignment="0" applyProtection="0"/>
    <xf numFmtId="0" fontId="43" fillId="0" borderId="0" applyNumberFormat="0" applyFill="0" applyBorder="0" applyAlignment="0" applyProtection="0"/>
    <xf numFmtId="0" fontId="44" fillId="0" borderId="90" applyNumberFormat="0" applyFill="0" applyAlignment="0" applyProtection="0"/>
    <xf numFmtId="0" fontId="45" fillId="0" borderId="91" applyNumberFormat="0" applyFill="0" applyAlignment="0" applyProtection="0"/>
    <xf numFmtId="0" fontId="46" fillId="0" borderId="92" applyNumberFormat="0" applyFill="0" applyAlignment="0" applyProtection="0"/>
    <xf numFmtId="0" fontId="46" fillId="0" borderId="0" applyNumberFormat="0" applyFill="0" applyBorder="0" applyAlignment="0" applyProtection="0"/>
    <xf numFmtId="0" fontId="47" fillId="35" borderId="0" applyNumberFormat="0" applyBorder="0" applyAlignment="0" applyProtection="0"/>
    <xf numFmtId="0" fontId="48" fillId="36" borderId="0" applyNumberFormat="0" applyBorder="0" applyAlignment="0" applyProtection="0"/>
    <xf numFmtId="0" fontId="49" fillId="37" borderId="0" applyNumberFormat="0" applyBorder="0" applyAlignment="0" applyProtection="0"/>
    <xf numFmtId="0" fontId="50" fillId="2" borderId="93" applyNumberFormat="0" applyAlignment="0" applyProtection="0"/>
    <xf numFmtId="0" fontId="51" fillId="2" borderId="31" applyNumberFormat="0" applyAlignment="0" applyProtection="0"/>
    <xf numFmtId="0" fontId="52" fillId="0" borderId="94" applyNumberFormat="0" applyFill="0" applyAlignment="0" applyProtection="0"/>
    <xf numFmtId="0" fontId="53" fillId="38" borderId="95" applyNumberFormat="0" applyAlignment="0" applyProtection="0"/>
    <xf numFmtId="0" fontId="54" fillId="0" borderId="0" applyNumberFormat="0" applyFill="0" applyBorder="0" applyAlignment="0" applyProtection="0"/>
    <xf numFmtId="0" fontId="1" fillId="39" borderId="96" applyNumberFormat="0" applyFont="0" applyAlignment="0" applyProtection="0"/>
    <xf numFmtId="0" fontId="55" fillId="0" borderId="0" applyNumberFormat="0" applyFill="0" applyBorder="0" applyAlignment="0" applyProtection="0"/>
    <xf numFmtId="0" fontId="19" fillId="0" borderId="97" applyNumberFormat="0" applyFill="0" applyAlignment="0" applyProtection="0"/>
    <xf numFmtId="0" fontId="15" fillId="40" borderId="0" applyNumberFormat="0" applyBorder="0" applyAlignment="0" applyProtection="0"/>
    <xf numFmtId="0" fontId="1" fillId="41" borderId="0" applyNumberFormat="0" applyBorder="0" applyAlignment="0" applyProtection="0"/>
    <xf numFmtId="0" fontId="1" fillId="42" borderId="0" applyNumberFormat="0" applyBorder="0" applyAlignment="0" applyProtection="0"/>
    <xf numFmtId="0" fontId="1" fillId="43" borderId="0" applyNumberFormat="0" applyBorder="0" applyAlignment="0" applyProtection="0"/>
    <xf numFmtId="0" fontId="15" fillId="44" borderId="0" applyNumberFormat="0" applyBorder="0" applyAlignment="0" applyProtection="0"/>
    <xf numFmtId="0" fontId="1" fillId="45" borderId="0" applyNumberFormat="0" applyBorder="0" applyAlignment="0" applyProtection="0"/>
    <xf numFmtId="0" fontId="1" fillId="46" borderId="0" applyNumberFormat="0" applyBorder="0" applyAlignment="0" applyProtection="0"/>
    <xf numFmtId="0" fontId="1" fillId="47" borderId="0" applyNumberFormat="0" applyBorder="0" applyAlignment="0" applyProtection="0"/>
    <xf numFmtId="0" fontId="15" fillId="48" borderId="0" applyNumberFormat="0" applyBorder="0" applyAlignment="0" applyProtection="0"/>
    <xf numFmtId="0" fontId="1" fillId="49" borderId="0" applyNumberFormat="0" applyBorder="0" applyAlignment="0" applyProtection="0"/>
    <xf numFmtId="0" fontId="1" fillId="50" borderId="0" applyNumberFormat="0" applyBorder="0" applyAlignment="0" applyProtection="0"/>
    <xf numFmtId="0" fontId="1" fillId="51" borderId="0" applyNumberFormat="0" applyBorder="0" applyAlignment="0" applyProtection="0"/>
    <xf numFmtId="0" fontId="15" fillId="52" borderId="0" applyNumberFormat="0" applyBorder="0" applyAlignment="0" applyProtection="0"/>
    <xf numFmtId="0" fontId="1" fillId="53" borderId="0" applyNumberFormat="0" applyBorder="0" applyAlignment="0" applyProtection="0"/>
    <xf numFmtId="0" fontId="1" fillId="54" borderId="0" applyNumberFormat="0" applyBorder="0" applyAlignment="0" applyProtection="0"/>
    <xf numFmtId="0" fontId="1" fillId="55" borderId="0" applyNumberFormat="0" applyBorder="0" applyAlignment="0" applyProtection="0"/>
    <xf numFmtId="0" fontId="15" fillId="56" borderId="0" applyNumberFormat="0" applyBorder="0" applyAlignment="0" applyProtection="0"/>
    <xf numFmtId="0" fontId="1" fillId="57" borderId="0" applyNumberFormat="0" applyBorder="0" applyAlignment="0" applyProtection="0"/>
    <xf numFmtId="0" fontId="1" fillId="58" borderId="0" applyNumberFormat="0" applyBorder="0" applyAlignment="0" applyProtection="0"/>
    <xf numFmtId="0" fontId="1" fillId="59" borderId="0" applyNumberFormat="0" applyBorder="0" applyAlignment="0" applyProtection="0"/>
    <xf numFmtId="0" fontId="15" fillId="60" borderId="0" applyNumberFormat="0" applyBorder="0" applyAlignment="0" applyProtection="0"/>
    <xf numFmtId="0" fontId="1" fillId="61" borderId="0" applyNumberFormat="0" applyBorder="0" applyAlignment="0" applyProtection="0"/>
    <xf numFmtId="0" fontId="1" fillId="62" borderId="0" applyNumberFormat="0" applyBorder="0" applyAlignment="0" applyProtection="0"/>
    <xf numFmtId="0" fontId="1" fillId="63" borderId="0" applyNumberFormat="0" applyBorder="0" applyAlignment="0" applyProtection="0"/>
    <xf numFmtId="43" fontId="1" fillId="0" borderId="0" applyFont="0" applyFill="0" applyBorder="0" applyAlignment="0" applyProtection="0"/>
    <xf numFmtId="44" fontId="1" fillId="0" borderId="0" applyFont="0" applyFill="0" applyBorder="0" applyAlignment="0" applyProtection="0"/>
  </cellStyleXfs>
  <cellXfs count="1676">
    <xf numFmtId="0" fontId="0" fillId="0" borderId="0" xfId="0"/>
    <xf numFmtId="0" fontId="2" fillId="4" borderId="0" xfId="0" applyFont="1" applyFill="1"/>
    <xf numFmtId="0" fontId="3" fillId="3" borderId="0" xfId="0" applyFont="1" applyFill="1"/>
    <xf numFmtId="0" fontId="3" fillId="6" borderId="0" xfId="0" applyFont="1" applyFill="1"/>
    <xf numFmtId="12" fontId="3" fillId="3" borderId="17" xfId="0" applyNumberFormat="1" applyFont="1" applyFill="1" applyBorder="1"/>
    <xf numFmtId="165" fontId="3" fillId="3" borderId="17" xfId="2" applyNumberFormat="1" applyFont="1" applyFill="1" applyBorder="1"/>
    <xf numFmtId="0" fontId="3" fillId="3" borderId="17" xfId="2" applyNumberFormat="1" applyFont="1" applyFill="1" applyBorder="1" applyAlignment="1">
      <alignment horizontal="center"/>
    </xf>
    <xf numFmtId="0" fontId="3" fillId="7" borderId="5" xfId="0" applyFont="1" applyFill="1" applyBorder="1"/>
    <xf numFmtId="0" fontId="3" fillId="8" borderId="0" xfId="0" applyFont="1" applyFill="1"/>
    <xf numFmtId="164" fontId="3" fillId="3" borderId="17" xfId="0" applyNumberFormat="1" applyFont="1" applyFill="1" applyBorder="1"/>
    <xf numFmtId="0" fontId="3" fillId="3" borderId="17" xfId="0" applyFont="1" applyFill="1" applyBorder="1" applyAlignment="1">
      <alignment horizontal="center" vertical="center"/>
    </xf>
    <xf numFmtId="165" fontId="3" fillId="3" borderId="17" xfId="2" applyNumberFormat="1" applyFont="1" applyFill="1" applyBorder="1" applyAlignment="1">
      <alignment vertical="center"/>
    </xf>
    <xf numFmtId="0" fontId="3" fillId="3" borderId="0" xfId="0" applyFont="1" applyFill="1" applyAlignment="1">
      <alignment vertical="center"/>
    </xf>
    <xf numFmtId="0" fontId="3" fillId="3" borderId="9" xfId="0" applyFont="1" applyFill="1" applyBorder="1" applyAlignment="1">
      <alignment horizontal="center"/>
    </xf>
    <xf numFmtId="0" fontId="3" fillId="3" borderId="0" xfId="0" applyFont="1" applyFill="1" applyAlignment="1">
      <alignment horizontal="center"/>
    </xf>
    <xf numFmtId="0" fontId="3" fillId="3" borderId="7" xfId="0" applyFont="1" applyFill="1" applyBorder="1" applyAlignment="1">
      <alignment horizontal="center"/>
    </xf>
    <xf numFmtId="164" fontId="3" fillId="3" borderId="24" xfId="0" applyNumberFormat="1" applyFont="1" applyFill="1" applyBorder="1"/>
    <xf numFmtId="0" fontId="3" fillId="3" borderId="10" xfId="0" applyFont="1" applyFill="1" applyBorder="1" applyAlignment="1">
      <alignment horizontal="center"/>
    </xf>
    <xf numFmtId="164" fontId="3" fillId="3" borderId="17" xfId="0" applyNumberFormat="1" applyFont="1" applyFill="1" applyBorder="1" applyAlignment="1">
      <alignment horizontal="center" vertical="center"/>
    </xf>
    <xf numFmtId="12" fontId="3" fillId="3" borderId="17" xfId="0" applyNumberFormat="1" applyFont="1" applyFill="1" applyBorder="1" applyAlignment="1">
      <alignment vertical="center"/>
    </xf>
    <xf numFmtId="0" fontId="3" fillId="3" borderId="17" xfId="2" applyNumberFormat="1" applyFont="1" applyFill="1" applyBorder="1" applyAlignment="1">
      <alignment horizontal="center" vertical="center"/>
    </xf>
    <xf numFmtId="0" fontId="3" fillId="7" borderId="5" xfId="0" applyFont="1" applyFill="1" applyBorder="1" applyAlignment="1">
      <alignment vertical="center"/>
    </xf>
    <xf numFmtId="0" fontId="3" fillId="7" borderId="0" xfId="0" applyFont="1" applyFill="1" applyAlignment="1">
      <alignment vertical="center"/>
    </xf>
    <xf numFmtId="0" fontId="11" fillId="4" borderId="0" xfId="0" applyFont="1" applyFill="1"/>
    <xf numFmtId="0" fontId="2" fillId="3" borderId="0" xfId="0" applyFont="1" applyFill="1"/>
    <xf numFmtId="0" fontId="11" fillId="3" borderId="0" xfId="0" applyFont="1" applyFill="1" applyAlignment="1">
      <alignment horizontal="center"/>
    </xf>
    <xf numFmtId="0" fontId="11" fillId="12" borderId="22" xfId="4" applyFont="1" applyFill="1" applyBorder="1" applyAlignment="1">
      <alignment horizontal="center" vertical="center" wrapText="1"/>
    </xf>
    <xf numFmtId="0" fontId="11" fillId="12" borderId="21" xfId="0" applyFont="1" applyFill="1" applyBorder="1" applyAlignment="1">
      <alignment horizontal="center" vertical="center" wrapText="1"/>
    </xf>
    <xf numFmtId="165" fontId="3" fillId="3" borderId="30" xfId="2" applyNumberFormat="1" applyFont="1" applyFill="1" applyBorder="1" applyAlignment="1">
      <alignment horizontal="center" vertical="top"/>
    </xf>
    <xf numFmtId="165" fontId="3" fillId="3" borderId="29" xfId="2" applyNumberFormat="1" applyFont="1" applyFill="1" applyBorder="1" applyAlignment="1">
      <alignment horizontal="center" vertical="top"/>
    </xf>
    <xf numFmtId="0" fontId="12" fillId="3" borderId="0" xfId="0" applyFont="1" applyFill="1" applyAlignment="1">
      <alignment horizontal="left" vertical="top"/>
    </xf>
    <xf numFmtId="44" fontId="12" fillId="3" borderId="0" xfId="2" applyFont="1" applyFill="1" applyBorder="1" applyAlignment="1">
      <alignment vertical="top"/>
    </xf>
    <xf numFmtId="167" fontId="12" fillId="3" borderId="0" xfId="3" applyNumberFormat="1" applyFont="1" applyFill="1" applyBorder="1" applyAlignment="1">
      <alignment vertical="top"/>
    </xf>
    <xf numFmtId="0" fontId="3" fillId="0" borderId="0" xfId="0" applyFont="1"/>
    <xf numFmtId="0" fontId="3" fillId="6" borderId="17" xfId="0" applyFont="1" applyFill="1" applyBorder="1"/>
    <xf numFmtId="0" fontId="3" fillId="7" borderId="17" xfId="0" applyFont="1" applyFill="1" applyBorder="1"/>
    <xf numFmtId="0" fontId="3" fillId="8" borderId="17" xfId="0" applyFont="1" applyFill="1" applyBorder="1"/>
    <xf numFmtId="0" fontId="3" fillId="3" borderId="17" xfId="0" applyFont="1" applyFill="1" applyBorder="1" applyAlignment="1">
      <alignment vertical="center"/>
    </xf>
    <xf numFmtId="0" fontId="7" fillId="3" borderId="0" xfId="0" applyFont="1" applyFill="1" applyAlignment="1">
      <alignment vertical="center" wrapText="1"/>
    </xf>
    <xf numFmtId="165" fontId="3" fillId="3" borderId="0" xfId="2" applyNumberFormat="1" applyFont="1" applyFill="1" applyBorder="1" applyAlignment="1">
      <alignment horizontal="center" vertical="center"/>
    </xf>
    <xf numFmtId="165" fontId="3" fillId="3" borderId="0" xfId="2" applyNumberFormat="1" applyFont="1" applyFill="1" applyBorder="1" applyAlignment="1">
      <alignment vertical="center"/>
    </xf>
    <xf numFmtId="165" fontId="5" fillId="3" borderId="0" xfId="3" applyNumberFormat="1" applyFont="1" applyFill="1" applyBorder="1"/>
    <xf numFmtId="10" fontId="5" fillId="3" borderId="0" xfId="3" applyNumberFormat="1" applyFont="1" applyFill="1" applyBorder="1"/>
    <xf numFmtId="0" fontId="3" fillId="10" borderId="9" xfId="0" applyFont="1" applyFill="1" applyBorder="1" applyAlignment="1">
      <alignment vertical="top"/>
    </xf>
    <xf numFmtId="0" fontId="3" fillId="10" borderId="21" xfId="0" applyFont="1" applyFill="1" applyBorder="1" applyAlignment="1">
      <alignment vertical="top"/>
    </xf>
    <xf numFmtId="0" fontId="7" fillId="10" borderId="11" xfId="0" applyFont="1" applyFill="1" applyBorder="1" applyAlignment="1">
      <alignment horizontal="left" vertical="top"/>
    </xf>
    <xf numFmtId="164" fontId="3" fillId="3" borderId="32" xfId="0" applyNumberFormat="1" applyFont="1" applyFill="1" applyBorder="1"/>
    <xf numFmtId="164" fontId="3" fillId="3" borderId="32" xfId="0" applyNumberFormat="1" applyFont="1" applyFill="1" applyBorder="1" applyAlignment="1">
      <alignment vertical="center"/>
    </xf>
    <xf numFmtId="0" fontId="3" fillId="3" borderId="32" xfId="0" applyFont="1" applyFill="1" applyBorder="1" applyAlignment="1">
      <alignment horizontal="center"/>
    </xf>
    <xf numFmtId="0" fontId="3" fillId="3" borderId="32" xfId="0" applyFont="1" applyFill="1" applyBorder="1" applyAlignment="1">
      <alignment horizontal="center" vertical="center"/>
    </xf>
    <xf numFmtId="165" fontId="3" fillId="3" borderId="32" xfId="2" applyNumberFormat="1" applyFont="1" applyFill="1" applyBorder="1" applyAlignment="1">
      <alignment horizontal="center"/>
    </xf>
    <xf numFmtId="165" fontId="3" fillId="3" borderId="32" xfId="2" applyNumberFormat="1" applyFont="1" applyFill="1" applyBorder="1"/>
    <xf numFmtId="165" fontId="3" fillId="3" borderId="32" xfId="2" applyNumberFormat="1" applyFont="1" applyFill="1" applyBorder="1" applyAlignment="1">
      <alignment horizontal="center" vertical="center"/>
    </xf>
    <xf numFmtId="12" fontId="3" fillId="3" borderId="32" xfId="0" applyNumberFormat="1" applyFont="1" applyFill="1" applyBorder="1"/>
    <xf numFmtId="165" fontId="3" fillId="3" borderId="32" xfId="2" applyNumberFormat="1" applyFont="1" applyFill="1" applyBorder="1" applyAlignment="1">
      <alignment vertical="center"/>
    </xf>
    <xf numFmtId="165" fontId="3" fillId="3" borderId="32" xfId="2" applyNumberFormat="1" applyFont="1" applyFill="1" applyBorder="1" applyAlignment="1">
      <alignment horizontal="center" vertical="top"/>
    </xf>
    <xf numFmtId="166" fontId="3" fillId="3" borderId="32" xfId="0" applyNumberFormat="1" applyFont="1" applyFill="1" applyBorder="1" applyAlignment="1">
      <alignment vertical="center"/>
    </xf>
    <xf numFmtId="0" fontId="3" fillId="9" borderId="32" xfId="2" applyNumberFormat="1" applyFont="1" applyFill="1" applyBorder="1" applyAlignment="1">
      <alignment horizontal="center"/>
    </xf>
    <xf numFmtId="0" fontId="3" fillId="9" borderId="24" xfId="2" applyNumberFormat="1" applyFont="1" applyFill="1" applyBorder="1" applyAlignment="1">
      <alignment horizontal="center"/>
    </xf>
    <xf numFmtId="165" fontId="3" fillId="3" borderId="25" xfId="2" applyNumberFormat="1" applyFont="1" applyFill="1" applyBorder="1"/>
    <xf numFmtId="0" fontId="2" fillId="3" borderId="0" xfId="0" applyFont="1" applyFill="1" applyAlignment="1">
      <alignment horizontal="center"/>
    </xf>
    <xf numFmtId="0" fontId="3" fillId="3" borderId="18" xfId="0" applyFont="1" applyFill="1" applyBorder="1" applyAlignment="1">
      <alignment vertical="center"/>
    </xf>
    <xf numFmtId="0" fontId="2" fillId="4" borderId="36" xfId="0" applyFont="1" applyFill="1" applyBorder="1" applyAlignment="1">
      <alignment horizontal="center"/>
    </xf>
    <xf numFmtId="0" fontId="3" fillId="6" borderId="18" xfId="0" applyFont="1" applyFill="1" applyBorder="1"/>
    <xf numFmtId="0" fontId="3" fillId="7" borderId="18" xfId="0" applyFont="1" applyFill="1" applyBorder="1"/>
    <xf numFmtId="0" fontId="3" fillId="8" borderId="18" xfId="0" applyFont="1" applyFill="1" applyBorder="1"/>
    <xf numFmtId="0" fontId="3" fillId="3" borderId="5" xfId="0" applyFont="1" applyFill="1" applyBorder="1" applyAlignment="1">
      <alignment vertical="center" wrapText="1"/>
    </xf>
    <xf numFmtId="0" fontId="0" fillId="3" borderId="0" xfId="0" applyFill="1"/>
    <xf numFmtId="0" fontId="0" fillId="18" borderId="0" xfId="0" applyFill="1"/>
    <xf numFmtId="0" fontId="15" fillId="18" borderId="0" xfId="0" applyFont="1" applyFill="1"/>
    <xf numFmtId="0" fontId="17" fillId="17" borderId="17" xfId="0" applyFont="1" applyFill="1" applyBorder="1" applyAlignment="1">
      <alignment horizontal="center" vertical="top" wrapText="1"/>
    </xf>
    <xf numFmtId="0" fontId="18" fillId="0" borderId="17" xfId="0" applyFont="1" applyBorder="1" applyAlignment="1">
      <alignment horizontal="left" vertical="top" wrapText="1"/>
    </xf>
    <xf numFmtId="4" fontId="18" fillId="0" borderId="17" xfId="0" applyNumberFormat="1" applyFont="1" applyBorder="1" applyAlignment="1">
      <alignment vertical="top" wrapText="1"/>
    </xf>
    <xf numFmtId="0" fontId="18" fillId="0" borderId="17" xfId="0" applyFont="1" applyBorder="1" applyAlignment="1">
      <alignment vertical="top" wrapText="1"/>
    </xf>
    <xf numFmtId="10" fontId="18" fillId="0" borderId="17" xfId="0" applyNumberFormat="1" applyFont="1" applyBorder="1" applyAlignment="1">
      <alignment vertical="top" wrapText="1"/>
    </xf>
    <xf numFmtId="9" fontId="3" fillId="0" borderId="17" xfId="3" applyFont="1" applyFill="1" applyBorder="1" applyAlignment="1">
      <alignment horizontal="center"/>
    </xf>
    <xf numFmtId="9" fontId="14" fillId="15" borderId="31" xfId="5" applyNumberFormat="1" applyAlignment="1">
      <alignment horizontal="center"/>
    </xf>
    <xf numFmtId="43" fontId="3" fillId="0" borderId="17" xfId="1" applyFont="1" applyFill="1" applyBorder="1" applyAlignment="1">
      <alignment horizontal="center"/>
    </xf>
    <xf numFmtId="0" fontId="17" fillId="11" borderId="17" xfId="0" applyFont="1" applyFill="1" applyBorder="1" applyAlignment="1">
      <alignment horizontal="left" vertical="top" wrapText="1"/>
    </xf>
    <xf numFmtId="4" fontId="18" fillId="11" borderId="17" xfId="0" applyNumberFormat="1" applyFont="1" applyFill="1" applyBorder="1" applyAlignment="1">
      <alignment vertical="top" wrapText="1" indent="1"/>
    </xf>
    <xf numFmtId="4" fontId="17" fillId="11" borderId="17" xfId="0" applyNumberFormat="1" applyFont="1" applyFill="1" applyBorder="1" applyAlignment="1">
      <alignment vertical="top" wrapText="1" indent="1"/>
    </xf>
    <xf numFmtId="10" fontId="17" fillId="11" borderId="17" xfId="0" applyNumberFormat="1" applyFont="1" applyFill="1" applyBorder="1" applyAlignment="1">
      <alignment vertical="top" wrapText="1" indent="1"/>
    </xf>
    <xf numFmtId="0" fontId="5" fillId="11" borderId="17" xfId="0" applyFont="1" applyFill="1" applyBorder="1" applyAlignment="1">
      <alignment horizontal="center"/>
    </xf>
    <xf numFmtId="43" fontId="5" fillId="11" borderId="17" xfId="0" applyNumberFormat="1" applyFont="1" applyFill="1" applyBorder="1" applyAlignment="1">
      <alignment horizontal="center"/>
    </xf>
    <xf numFmtId="0" fontId="8" fillId="0" borderId="0" xfId="4" applyFill="1" applyBorder="1" applyAlignment="1">
      <alignment horizontal="left" vertical="top"/>
    </xf>
    <xf numFmtId="0" fontId="17" fillId="17" borderId="12" xfId="0" applyFont="1" applyFill="1" applyBorder="1" applyAlignment="1">
      <alignment horizontal="center" vertical="top" wrapText="1"/>
    </xf>
    <xf numFmtId="0" fontId="3" fillId="0" borderId="16" xfId="0" applyFont="1" applyBorder="1"/>
    <xf numFmtId="0" fontId="3" fillId="0" borderId="17" xfId="0" applyFont="1" applyBorder="1"/>
    <xf numFmtId="0" fontId="3" fillId="0" borderId="18" xfId="0" applyFont="1" applyBorder="1"/>
    <xf numFmtId="0" fontId="15" fillId="4" borderId="0" xfId="0" applyFont="1" applyFill="1"/>
    <xf numFmtId="165" fontId="3" fillId="3" borderId="24" xfId="2" applyNumberFormat="1" applyFont="1" applyFill="1" applyBorder="1"/>
    <xf numFmtId="0" fontId="3" fillId="3" borderId="24" xfId="2" applyNumberFormat="1" applyFont="1" applyFill="1" applyBorder="1" applyAlignment="1">
      <alignment horizontal="center"/>
    </xf>
    <xf numFmtId="10" fontId="3" fillId="3" borderId="36" xfId="3" applyNumberFormat="1" applyFont="1" applyFill="1" applyBorder="1"/>
    <xf numFmtId="164" fontId="3" fillId="3" borderId="28" xfId="0" applyNumberFormat="1" applyFont="1" applyFill="1" applyBorder="1"/>
    <xf numFmtId="0" fontId="3" fillId="3" borderId="28" xfId="0" applyFont="1" applyFill="1" applyBorder="1" applyAlignment="1">
      <alignment horizontal="center"/>
    </xf>
    <xf numFmtId="165" fontId="3" fillId="3" borderId="28" xfId="2" applyNumberFormat="1" applyFont="1" applyFill="1" applyBorder="1"/>
    <xf numFmtId="12" fontId="3" fillId="3" borderId="28" xfId="0" applyNumberFormat="1" applyFont="1" applyFill="1" applyBorder="1"/>
    <xf numFmtId="165" fontId="3" fillId="3" borderId="28" xfId="2" applyNumberFormat="1" applyFont="1" applyFill="1" applyBorder="1" applyAlignment="1">
      <alignment vertical="center"/>
    </xf>
    <xf numFmtId="0" fontId="3" fillId="3" borderId="28" xfId="2" applyNumberFormat="1" applyFont="1" applyFill="1" applyBorder="1" applyAlignment="1">
      <alignment horizontal="center"/>
    </xf>
    <xf numFmtId="0" fontId="3" fillId="6" borderId="11" xfId="0" applyFont="1" applyFill="1" applyBorder="1"/>
    <xf numFmtId="0" fontId="3" fillId="6" borderId="9" xfId="0" applyFont="1" applyFill="1" applyBorder="1"/>
    <xf numFmtId="0" fontId="3" fillId="6" borderId="21" xfId="0" applyFont="1" applyFill="1" applyBorder="1"/>
    <xf numFmtId="0" fontId="3" fillId="7" borderId="15" xfId="0" applyFont="1" applyFill="1" applyBorder="1" applyAlignment="1">
      <alignment vertical="center"/>
    </xf>
    <xf numFmtId="0" fontId="3" fillId="7" borderId="15" xfId="0" applyFont="1" applyFill="1" applyBorder="1"/>
    <xf numFmtId="0" fontId="2" fillId="4" borderId="20" xfId="0" applyFont="1" applyFill="1" applyBorder="1"/>
    <xf numFmtId="0" fontId="2" fillId="4" borderId="20" xfId="0" applyFont="1" applyFill="1" applyBorder="1" applyAlignment="1">
      <alignment horizontal="center"/>
    </xf>
    <xf numFmtId="0" fontId="2" fillId="4" borderId="23" xfId="0" applyFont="1" applyFill="1" applyBorder="1" applyAlignment="1">
      <alignment horizontal="center"/>
    </xf>
    <xf numFmtId="0" fontId="3" fillId="3" borderId="44" xfId="0" applyFont="1" applyFill="1" applyBorder="1" applyAlignment="1">
      <alignment horizontal="center"/>
    </xf>
    <xf numFmtId="12" fontId="3" fillId="3" borderId="25" xfId="0" applyNumberFormat="1" applyFont="1" applyFill="1" applyBorder="1"/>
    <xf numFmtId="165" fontId="3" fillId="0" borderId="24" xfId="2" applyNumberFormat="1" applyFont="1" applyFill="1" applyBorder="1"/>
    <xf numFmtId="44" fontId="3" fillId="3" borderId="24" xfId="2" applyFont="1" applyFill="1" applyBorder="1"/>
    <xf numFmtId="0" fontId="12" fillId="16" borderId="8" xfId="0" applyFont="1" applyFill="1" applyBorder="1"/>
    <xf numFmtId="0" fontId="16" fillId="16" borderId="10" xfId="0" applyFont="1" applyFill="1" applyBorder="1"/>
    <xf numFmtId="0" fontId="11" fillId="14" borderId="8" xfId="0" applyFont="1" applyFill="1" applyBorder="1"/>
    <xf numFmtId="0" fontId="5" fillId="14" borderId="10" xfId="0" applyFont="1" applyFill="1" applyBorder="1"/>
    <xf numFmtId="0" fontId="2" fillId="0" borderId="0" xfId="0" applyFont="1"/>
    <xf numFmtId="0" fontId="16" fillId="0" borderId="0" xfId="0" applyFont="1"/>
    <xf numFmtId="0" fontId="3" fillId="0" borderId="0" xfId="0" applyFont="1" applyAlignment="1">
      <alignment vertical="center"/>
    </xf>
    <xf numFmtId="0" fontId="5" fillId="0" borderId="0" xfId="0" applyFont="1"/>
    <xf numFmtId="0" fontId="8" fillId="0" borderId="0" xfId="4"/>
    <xf numFmtId="0" fontId="3" fillId="9" borderId="24" xfId="0" applyFont="1" applyFill="1" applyBorder="1" applyAlignment="1">
      <alignment horizontal="center"/>
    </xf>
    <xf numFmtId="0" fontId="3" fillId="3" borderId="32" xfId="2" applyNumberFormat="1" applyFont="1" applyFill="1" applyBorder="1" applyAlignment="1">
      <alignment horizontal="center"/>
    </xf>
    <xf numFmtId="0" fontId="3" fillId="3" borderId="17" xfId="0" applyFont="1" applyFill="1" applyBorder="1"/>
    <xf numFmtId="0" fontId="3" fillId="3" borderId="18" xfId="0" applyFont="1" applyFill="1" applyBorder="1"/>
    <xf numFmtId="165" fontId="3" fillId="3" borderId="32" xfId="0" applyNumberFormat="1" applyFont="1" applyFill="1" applyBorder="1" applyAlignment="1">
      <alignment vertical="center"/>
    </xf>
    <xf numFmtId="0" fontId="21" fillId="0" borderId="0" xfId="0" applyFont="1"/>
    <xf numFmtId="44" fontId="3" fillId="0" borderId="0" xfId="2" applyFont="1"/>
    <xf numFmtId="0" fontId="3" fillId="11" borderId="0" xfId="0" applyFont="1" applyFill="1"/>
    <xf numFmtId="164" fontId="3" fillId="9" borderId="24" xfId="0" applyNumberFormat="1" applyFont="1" applyFill="1" applyBorder="1"/>
    <xf numFmtId="0" fontId="11" fillId="12" borderId="22" xfId="0" applyFont="1" applyFill="1" applyBorder="1" applyAlignment="1">
      <alignment horizontal="center" vertical="center" wrapText="1"/>
    </xf>
    <xf numFmtId="10" fontId="3" fillId="3" borderId="29" xfId="3" applyNumberFormat="1" applyFont="1" applyFill="1" applyBorder="1" applyAlignment="1">
      <alignment vertical="top"/>
    </xf>
    <xf numFmtId="10" fontId="16" fillId="3" borderId="29" xfId="3" applyNumberFormat="1" applyFont="1" applyFill="1" applyBorder="1" applyAlignment="1">
      <alignment vertical="top"/>
    </xf>
    <xf numFmtId="164" fontId="3" fillId="3" borderId="13" xfId="0" applyNumberFormat="1" applyFont="1" applyFill="1" applyBorder="1" applyAlignment="1">
      <alignment horizontal="center"/>
    </xf>
    <xf numFmtId="0" fontId="3" fillId="3" borderId="13" xfId="0" applyFont="1" applyFill="1" applyBorder="1" applyAlignment="1">
      <alignment horizontal="center" vertical="center"/>
    </xf>
    <xf numFmtId="0" fontId="3" fillId="3" borderId="13" xfId="2" applyNumberFormat="1" applyFont="1" applyFill="1" applyBorder="1" applyAlignment="1">
      <alignment horizontal="center"/>
    </xf>
    <xf numFmtId="12" fontId="3" fillId="3" borderId="13" xfId="0" applyNumberFormat="1" applyFont="1" applyFill="1" applyBorder="1"/>
    <xf numFmtId="165" fontId="3" fillId="3" borderId="13" xfId="2" applyNumberFormat="1" applyFont="1" applyFill="1" applyBorder="1" applyAlignment="1">
      <alignment vertical="center"/>
    </xf>
    <xf numFmtId="165" fontId="3" fillId="3" borderId="13" xfId="2" applyNumberFormat="1" applyFont="1" applyFill="1" applyBorder="1"/>
    <xf numFmtId="10" fontId="3" fillId="3" borderId="14" xfId="3" applyNumberFormat="1" applyFont="1" applyFill="1" applyBorder="1"/>
    <xf numFmtId="10" fontId="3" fillId="3" borderId="45" xfId="3" applyNumberFormat="1" applyFont="1" applyFill="1" applyBorder="1"/>
    <xf numFmtId="168" fontId="3" fillId="3" borderId="45" xfId="3" applyNumberFormat="1" applyFont="1" applyFill="1" applyBorder="1" applyAlignment="1">
      <alignment vertical="top"/>
    </xf>
    <xf numFmtId="0" fontId="3" fillId="9" borderId="17" xfId="0" applyFont="1" applyFill="1" applyBorder="1" applyAlignment="1">
      <alignment horizontal="center" vertical="center"/>
    </xf>
    <xf numFmtId="12" fontId="3" fillId="9" borderId="17" xfId="0" applyNumberFormat="1" applyFont="1" applyFill="1" applyBorder="1" applyAlignment="1">
      <alignment vertical="center"/>
    </xf>
    <xf numFmtId="165" fontId="3" fillId="9" borderId="17" xfId="2" applyNumberFormat="1" applyFont="1" applyFill="1" applyBorder="1" applyAlignment="1">
      <alignment vertical="center"/>
    </xf>
    <xf numFmtId="0" fontId="3" fillId="9" borderId="17" xfId="2" applyNumberFormat="1" applyFont="1" applyFill="1" applyBorder="1" applyAlignment="1">
      <alignment horizontal="center" vertical="center"/>
    </xf>
    <xf numFmtId="164" fontId="3" fillId="9" borderId="17" xfId="0" applyNumberFormat="1" applyFont="1" applyFill="1" applyBorder="1"/>
    <xf numFmtId="12" fontId="3" fillId="9" borderId="17" xfId="0" applyNumberFormat="1" applyFont="1" applyFill="1" applyBorder="1"/>
    <xf numFmtId="0" fontId="3" fillId="9" borderId="17" xfId="2" applyNumberFormat="1" applyFont="1" applyFill="1" applyBorder="1" applyAlignment="1">
      <alignment horizontal="center"/>
    </xf>
    <xf numFmtId="165" fontId="3" fillId="9" borderId="17" xfId="2" applyNumberFormat="1" applyFont="1" applyFill="1" applyBorder="1"/>
    <xf numFmtId="165" fontId="3" fillId="9" borderId="24" xfId="2" applyNumberFormat="1" applyFont="1" applyFill="1" applyBorder="1" applyAlignment="1">
      <alignment horizontal="center"/>
    </xf>
    <xf numFmtId="12" fontId="3" fillId="9" borderId="25" xfId="0" applyNumberFormat="1" applyFont="1" applyFill="1" applyBorder="1"/>
    <xf numFmtId="0" fontId="11" fillId="19" borderId="8" xfId="0" applyFont="1" applyFill="1" applyBorder="1"/>
    <xf numFmtId="0" fontId="5" fillId="19" borderId="10" xfId="0" applyFont="1" applyFill="1" applyBorder="1"/>
    <xf numFmtId="0" fontId="11" fillId="20" borderId="8" xfId="0" applyFont="1" applyFill="1" applyBorder="1"/>
    <xf numFmtId="0" fontId="5" fillId="20" borderId="10" xfId="0" applyFont="1" applyFill="1" applyBorder="1"/>
    <xf numFmtId="0" fontId="11" fillId="21" borderId="8" xfId="0" applyFont="1" applyFill="1" applyBorder="1"/>
    <xf numFmtId="0" fontId="5" fillId="21" borderId="10" xfId="0" applyFont="1" applyFill="1" applyBorder="1"/>
    <xf numFmtId="44" fontId="3" fillId="3" borderId="13" xfId="2" applyFont="1" applyFill="1" applyBorder="1"/>
    <xf numFmtId="44" fontId="3" fillId="3" borderId="17" xfId="2" applyFont="1" applyFill="1" applyBorder="1" applyAlignment="1">
      <alignment vertical="center"/>
    </xf>
    <xf numFmtId="0" fontId="3" fillId="9" borderId="17" xfId="0" applyFont="1" applyFill="1" applyBorder="1" applyAlignment="1">
      <alignment vertical="center"/>
    </xf>
    <xf numFmtId="10" fontId="3" fillId="3" borderId="51" xfId="3" applyNumberFormat="1" applyFont="1" applyFill="1" applyBorder="1"/>
    <xf numFmtId="10" fontId="3" fillId="9" borderId="25" xfId="3" applyNumberFormat="1" applyFont="1" applyFill="1" applyBorder="1"/>
    <xf numFmtId="10" fontId="3" fillId="3" borderId="30" xfId="3" applyNumberFormat="1" applyFont="1" applyFill="1" applyBorder="1"/>
    <xf numFmtId="0" fontId="26" fillId="0" borderId="0" xfId="0" applyFont="1" applyAlignment="1">
      <alignment vertical="center"/>
    </xf>
    <xf numFmtId="10" fontId="3" fillId="3" borderId="32" xfId="3" applyNumberFormat="1" applyFont="1" applyFill="1" applyBorder="1" applyAlignment="1">
      <alignment vertical="top"/>
    </xf>
    <xf numFmtId="10" fontId="3" fillId="3" borderId="17" xfId="3" applyNumberFormat="1" applyFont="1" applyFill="1" applyBorder="1" applyAlignment="1">
      <alignment vertical="top"/>
    </xf>
    <xf numFmtId="167" fontId="3" fillId="3" borderId="17" xfId="3" applyNumberFormat="1" applyFont="1" applyFill="1" applyBorder="1" applyAlignment="1">
      <alignment vertical="top"/>
    </xf>
    <xf numFmtId="164" fontId="3" fillId="3" borderId="24" xfId="0" applyNumberFormat="1" applyFont="1" applyFill="1" applyBorder="1" applyAlignment="1">
      <alignment horizontal="center" vertical="center"/>
    </xf>
    <xf numFmtId="0" fontId="3" fillId="3" borderId="24" xfId="0" applyFont="1" applyFill="1" applyBorder="1" applyAlignment="1">
      <alignment horizontal="center" vertical="center"/>
    </xf>
    <xf numFmtId="12" fontId="3" fillId="3" borderId="24" xfId="0" applyNumberFormat="1" applyFont="1" applyFill="1" applyBorder="1" applyAlignment="1">
      <alignment vertical="center"/>
    </xf>
    <xf numFmtId="165" fontId="3" fillId="3" borderId="24" xfId="2" applyNumberFormat="1" applyFont="1" applyFill="1" applyBorder="1" applyAlignment="1">
      <alignment vertical="center"/>
    </xf>
    <xf numFmtId="0" fontId="3" fillId="3" borderId="24" xfId="2" applyNumberFormat="1" applyFont="1" applyFill="1" applyBorder="1" applyAlignment="1">
      <alignment horizontal="center" vertical="center"/>
    </xf>
    <xf numFmtId="165" fontId="3" fillId="3" borderId="17" xfId="2" applyNumberFormat="1" applyFont="1" applyFill="1" applyBorder="1" applyAlignment="1">
      <alignment horizontal="center" vertical="top"/>
    </xf>
    <xf numFmtId="12" fontId="3" fillId="9" borderId="28" xfId="0" applyNumberFormat="1" applyFont="1" applyFill="1" applyBorder="1"/>
    <xf numFmtId="164" fontId="3" fillId="9" borderId="17" xfId="0" applyNumberFormat="1" applyFont="1" applyFill="1" applyBorder="1" applyAlignment="1">
      <alignment horizontal="center" vertical="center"/>
    </xf>
    <xf numFmtId="44" fontId="3" fillId="9" borderId="17" xfId="2" applyFont="1" applyFill="1" applyBorder="1" applyAlignment="1">
      <alignment vertical="center"/>
    </xf>
    <xf numFmtId="0" fontId="3" fillId="3" borderId="23" xfId="0" applyFont="1" applyFill="1" applyBorder="1" applyAlignment="1">
      <alignment horizontal="center"/>
    </xf>
    <xf numFmtId="0" fontId="3" fillId="7" borderId="20" xfId="0" applyFont="1" applyFill="1" applyBorder="1"/>
    <xf numFmtId="0" fontId="3" fillId="6" borderId="7" xfId="0" applyFont="1" applyFill="1" applyBorder="1"/>
    <xf numFmtId="0" fontId="3" fillId="8" borderId="7" xfId="0" applyFont="1" applyFill="1" applyBorder="1"/>
    <xf numFmtId="0" fontId="3" fillId="7" borderId="23" xfId="0" applyFont="1" applyFill="1" applyBorder="1"/>
    <xf numFmtId="44" fontId="3" fillId="9" borderId="24" xfId="2" applyFont="1" applyFill="1" applyBorder="1"/>
    <xf numFmtId="165" fontId="3" fillId="9" borderId="24" xfId="2" applyNumberFormat="1" applyFont="1" applyFill="1" applyBorder="1"/>
    <xf numFmtId="10" fontId="3" fillId="9" borderId="36" xfId="3" applyNumberFormat="1" applyFont="1" applyFill="1" applyBorder="1"/>
    <xf numFmtId="0" fontId="3" fillId="9" borderId="0" xfId="0" applyFont="1" applyFill="1"/>
    <xf numFmtId="0" fontId="3" fillId="6" borderId="5" xfId="0" applyFont="1" applyFill="1" applyBorder="1"/>
    <xf numFmtId="0" fontId="3" fillId="6" borderId="15" xfId="0" applyFont="1" applyFill="1" applyBorder="1"/>
    <xf numFmtId="164" fontId="3" fillId="9" borderId="24" xfId="0" applyNumberFormat="1" applyFont="1" applyFill="1" applyBorder="1" applyAlignment="1">
      <alignment horizontal="center"/>
    </xf>
    <xf numFmtId="0" fontId="3" fillId="9" borderId="24" xfId="0" applyFont="1" applyFill="1" applyBorder="1" applyAlignment="1">
      <alignment horizontal="center" vertical="center"/>
    </xf>
    <xf numFmtId="12" fontId="3" fillId="9" borderId="24" xfId="0" applyNumberFormat="1" applyFont="1" applyFill="1" applyBorder="1"/>
    <xf numFmtId="165" fontId="3" fillId="9" borderId="24" xfId="2" applyNumberFormat="1" applyFont="1" applyFill="1" applyBorder="1" applyAlignment="1">
      <alignment vertical="center"/>
    </xf>
    <xf numFmtId="164" fontId="3" fillId="9" borderId="28" xfId="0" applyNumberFormat="1" applyFont="1" applyFill="1" applyBorder="1"/>
    <xf numFmtId="0" fontId="3" fillId="9" borderId="28" xfId="0" applyFont="1" applyFill="1" applyBorder="1" applyAlignment="1">
      <alignment horizontal="center" vertical="center"/>
    </xf>
    <xf numFmtId="165" fontId="3" fillId="9" borderId="28" xfId="2" applyNumberFormat="1" applyFont="1" applyFill="1" applyBorder="1" applyAlignment="1">
      <alignment vertical="center"/>
    </xf>
    <xf numFmtId="0" fontId="3" fillId="9" borderId="28" xfId="2" applyNumberFormat="1" applyFont="1" applyFill="1" applyBorder="1" applyAlignment="1">
      <alignment horizontal="center"/>
    </xf>
    <xf numFmtId="165" fontId="3" fillId="9" borderId="28" xfId="2" applyNumberFormat="1" applyFont="1" applyFill="1" applyBorder="1"/>
    <xf numFmtId="0" fontId="15" fillId="3" borderId="0" xfId="0" applyFont="1" applyFill="1"/>
    <xf numFmtId="0" fontId="3" fillId="3" borderId="30" xfId="0" applyFont="1" applyFill="1" applyBorder="1"/>
    <xf numFmtId="0" fontId="19" fillId="0" borderId="0" xfId="0" applyFont="1"/>
    <xf numFmtId="0" fontId="0" fillId="11" borderId="0" xfId="0" applyFill="1"/>
    <xf numFmtId="164" fontId="3" fillId="3" borderId="32" xfId="0" applyNumberFormat="1" applyFont="1" applyFill="1" applyBorder="1" applyAlignment="1">
      <alignment horizontal="center"/>
    </xf>
    <xf numFmtId="164" fontId="3" fillId="3" borderId="32" xfId="0" applyNumberFormat="1" applyFont="1" applyFill="1" applyBorder="1" applyAlignment="1">
      <alignment horizontal="left" vertical="center"/>
    </xf>
    <xf numFmtId="12" fontId="3" fillId="3" borderId="32" xfId="0" applyNumberFormat="1" applyFont="1" applyFill="1" applyBorder="1" applyAlignment="1">
      <alignment vertical="center"/>
    </xf>
    <xf numFmtId="0" fontId="3" fillId="3" borderId="32" xfId="2" applyNumberFormat="1" applyFont="1" applyFill="1" applyBorder="1" applyAlignment="1">
      <alignment horizontal="center" vertical="center"/>
    </xf>
    <xf numFmtId="10" fontId="3" fillId="3" borderId="32" xfId="3" applyNumberFormat="1" applyFont="1" applyFill="1" applyBorder="1" applyAlignment="1">
      <alignment vertical="center"/>
    </xf>
    <xf numFmtId="0" fontId="3" fillId="3" borderId="53" xfId="2" applyNumberFormat="1" applyFont="1" applyFill="1" applyBorder="1" applyAlignment="1">
      <alignment horizontal="center"/>
    </xf>
    <xf numFmtId="3" fontId="3" fillId="3" borderId="17" xfId="0" applyNumberFormat="1" applyFont="1" applyFill="1" applyBorder="1" applyAlignment="1">
      <alignment vertical="center"/>
    </xf>
    <xf numFmtId="0" fontId="3" fillId="3" borderId="28" xfId="0" applyFont="1" applyFill="1" applyBorder="1" applyAlignment="1">
      <alignment horizontal="center" vertical="center"/>
    </xf>
    <xf numFmtId="165" fontId="3" fillId="3" borderId="53" xfId="2" applyNumberFormat="1" applyFont="1" applyFill="1" applyBorder="1" applyAlignment="1">
      <alignment horizontal="center"/>
    </xf>
    <xf numFmtId="168" fontId="3" fillId="3" borderId="25" xfId="3" applyNumberFormat="1" applyFont="1" applyFill="1" applyBorder="1" applyAlignment="1">
      <alignment vertical="top"/>
    </xf>
    <xf numFmtId="0" fontId="3" fillId="3" borderId="11" xfId="0" applyFont="1" applyFill="1" applyBorder="1" applyAlignment="1">
      <alignment vertical="center" wrapText="1"/>
    </xf>
    <xf numFmtId="164" fontId="3" fillId="3" borderId="50" xfId="0" applyNumberFormat="1" applyFont="1" applyFill="1" applyBorder="1"/>
    <xf numFmtId="0" fontId="3" fillId="3" borderId="50" xfId="0" applyFont="1" applyFill="1" applyBorder="1" applyAlignment="1">
      <alignment horizontal="center"/>
    </xf>
    <xf numFmtId="165" fontId="3" fillId="3" borderId="50" xfId="2" applyNumberFormat="1" applyFont="1" applyFill="1" applyBorder="1" applyAlignment="1">
      <alignment horizontal="center"/>
    </xf>
    <xf numFmtId="12" fontId="3" fillId="3" borderId="50" xfId="0" applyNumberFormat="1" applyFont="1" applyFill="1" applyBorder="1"/>
    <xf numFmtId="165" fontId="3" fillId="3" borderId="50" xfId="2" applyNumberFormat="1" applyFont="1" applyFill="1" applyBorder="1"/>
    <xf numFmtId="165" fontId="3" fillId="3" borderId="46" xfId="2" applyNumberFormat="1" applyFont="1" applyFill="1" applyBorder="1"/>
    <xf numFmtId="168" fontId="3" fillId="3" borderId="46" xfId="3" applyNumberFormat="1" applyFont="1" applyFill="1" applyBorder="1" applyAlignment="1">
      <alignment vertical="top"/>
    </xf>
    <xf numFmtId="44" fontId="3" fillId="3" borderId="0" xfId="0" applyNumberFormat="1" applyFont="1" applyFill="1"/>
    <xf numFmtId="165" fontId="3" fillId="3" borderId="30" xfId="2" applyNumberFormat="1" applyFont="1" applyFill="1" applyBorder="1"/>
    <xf numFmtId="168" fontId="3" fillId="3" borderId="30" xfId="3" applyNumberFormat="1" applyFont="1" applyFill="1" applyBorder="1" applyAlignment="1">
      <alignment vertical="top"/>
    </xf>
    <xf numFmtId="164" fontId="3" fillId="3" borderId="32" xfId="0" applyNumberFormat="1" applyFont="1" applyFill="1" applyBorder="1" applyAlignment="1">
      <alignment horizontal="left"/>
    </xf>
    <xf numFmtId="12" fontId="3" fillId="3" borderId="30" xfId="0" applyNumberFormat="1" applyFont="1" applyFill="1" applyBorder="1"/>
    <xf numFmtId="10" fontId="3" fillId="3" borderId="18" xfId="3" applyNumberFormat="1" applyFont="1" applyFill="1" applyBorder="1" applyAlignment="1">
      <alignment vertical="top"/>
    </xf>
    <xf numFmtId="165" fontId="3" fillId="22" borderId="24" xfId="2" applyNumberFormat="1" applyFont="1" applyFill="1" applyBorder="1" applyAlignment="1">
      <alignment horizontal="center"/>
    </xf>
    <xf numFmtId="165" fontId="3" fillId="22" borderId="17" xfId="2" applyNumberFormat="1" applyFont="1" applyFill="1" applyBorder="1" applyAlignment="1">
      <alignment vertical="center"/>
    </xf>
    <xf numFmtId="165" fontId="3" fillId="22" borderId="17" xfId="2" applyNumberFormat="1" applyFont="1" applyFill="1" applyBorder="1" applyAlignment="1">
      <alignment horizontal="center" vertical="top"/>
    </xf>
    <xf numFmtId="10" fontId="3" fillId="22" borderId="18" xfId="3" applyNumberFormat="1" applyFont="1" applyFill="1" applyBorder="1" applyAlignment="1">
      <alignment vertical="top"/>
    </xf>
    <xf numFmtId="164" fontId="3" fillId="22" borderId="28" xfId="0" applyNumberFormat="1" applyFont="1" applyFill="1" applyBorder="1"/>
    <xf numFmtId="0" fontId="3" fillId="22" borderId="28" xfId="0" applyFont="1" applyFill="1" applyBorder="1" applyAlignment="1">
      <alignment horizontal="center" vertical="center"/>
    </xf>
    <xf numFmtId="12" fontId="3" fillId="22" borderId="28" xfId="0" applyNumberFormat="1" applyFont="1" applyFill="1" applyBorder="1"/>
    <xf numFmtId="0" fontId="3" fillId="22" borderId="28" xfId="2" applyNumberFormat="1" applyFont="1" applyFill="1" applyBorder="1" applyAlignment="1">
      <alignment horizontal="center"/>
    </xf>
    <xf numFmtId="165" fontId="3" fillId="22" borderId="28" xfId="2" applyNumberFormat="1" applyFont="1" applyFill="1" applyBorder="1"/>
    <xf numFmtId="164" fontId="3" fillId="22" borderId="24" xfId="0" applyNumberFormat="1" applyFont="1" applyFill="1" applyBorder="1" applyAlignment="1">
      <alignment horizontal="center"/>
    </xf>
    <xf numFmtId="0" fontId="3" fillId="22" borderId="24" xfId="0" applyFont="1" applyFill="1" applyBorder="1" applyAlignment="1">
      <alignment horizontal="center" vertical="center"/>
    </xf>
    <xf numFmtId="12" fontId="3" fillId="22" borderId="24" xfId="0" applyNumberFormat="1" applyFont="1" applyFill="1" applyBorder="1"/>
    <xf numFmtId="165" fontId="3" fillId="22" borderId="24" xfId="2" applyNumberFormat="1" applyFont="1" applyFill="1" applyBorder="1" applyAlignment="1">
      <alignment vertical="center"/>
    </xf>
    <xf numFmtId="0" fontId="3" fillId="22" borderId="24" xfId="2" applyNumberFormat="1" applyFont="1" applyFill="1" applyBorder="1" applyAlignment="1">
      <alignment horizontal="center"/>
    </xf>
    <xf numFmtId="165" fontId="3" fillId="22" borderId="24" xfId="2" applyNumberFormat="1" applyFont="1" applyFill="1" applyBorder="1"/>
    <xf numFmtId="165" fontId="3" fillId="22" borderId="24" xfId="2" applyNumberFormat="1" applyFont="1" applyFill="1" applyBorder="1" applyAlignment="1">
      <alignment horizontal="center" vertical="top"/>
    </xf>
    <xf numFmtId="10" fontId="3" fillId="22" borderId="36" xfId="3" applyNumberFormat="1" applyFont="1" applyFill="1" applyBorder="1" applyAlignment="1">
      <alignment vertical="top"/>
    </xf>
    <xf numFmtId="0" fontId="3" fillId="3" borderId="33" xfId="0" applyFont="1" applyFill="1" applyBorder="1" applyAlignment="1">
      <alignment horizontal="left"/>
    </xf>
    <xf numFmtId="0" fontId="3" fillId="3" borderId="56" xfId="0" applyFont="1" applyFill="1" applyBorder="1" applyAlignment="1">
      <alignment horizontal="left"/>
    </xf>
    <xf numFmtId="164" fontId="3" fillId="22" borderId="17" xfId="0" applyNumberFormat="1" applyFont="1" applyFill="1" applyBorder="1" applyAlignment="1">
      <alignment horizontal="center" vertical="center"/>
    </xf>
    <xf numFmtId="0" fontId="2" fillId="4" borderId="57" xfId="0" applyFont="1" applyFill="1" applyBorder="1"/>
    <xf numFmtId="0" fontId="5" fillId="3" borderId="5" xfId="0" applyFont="1" applyFill="1" applyBorder="1" applyAlignment="1">
      <alignment vertical="center" wrapText="1"/>
    </xf>
    <xf numFmtId="0" fontId="3" fillId="3" borderId="58" xfId="0" applyFont="1" applyFill="1" applyBorder="1" applyAlignment="1">
      <alignment vertical="center" wrapText="1"/>
    </xf>
    <xf numFmtId="0" fontId="3" fillId="3" borderId="57" xfId="0" applyFont="1" applyFill="1" applyBorder="1" applyAlignment="1">
      <alignment vertical="center" wrapText="1"/>
    </xf>
    <xf numFmtId="0" fontId="3" fillId="3" borderId="37" xfId="0" applyFont="1" applyFill="1" applyBorder="1" applyAlignment="1">
      <alignment vertical="center" wrapText="1"/>
    </xf>
    <xf numFmtId="0" fontId="3" fillId="3" borderId="49" xfId="0" applyFont="1" applyFill="1" applyBorder="1" applyAlignment="1">
      <alignment vertical="center" wrapText="1"/>
    </xf>
    <xf numFmtId="0" fontId="3" fillId="22" borderId="57" xfId="0" applyFont="1" applyFill="1" applyBorder="1" applyAlignment="1">
      <alignment vertical="center" wrapText="1"/>
    </xf>
    <xf numFmtId="0" fontId="3" fillId="22" borderId="49" xfId="0" applyFont="1" applyFill="1" applyBorder="1" applyAlignment="1">
      <alignment vertical="center" wrapText="1"/>
    </xf>
    <xf numFmtId="0" fontId="3" fillId="3" borderId="43" xfId="0" applyFont="1" applyFill="1" applyBorder="1" applyAlignment="1">
      <alignment vertical="center" wrapText="1"/>
    </xf>
    <xf numFmtId="0" fontId="3" fillId="0" borderId="49" xfId="0" applyFont="1" applyBorder="1" applyAlignment="1">
      <alignment vertical="center" wrapText="1"/>
    </xf>
    <xf numFmtId="0" fontId="3" fillId="0" borderId="30" xfId="0" applyFont="1" applyBorder="1"/>
    <xf numFmtId="0" fontId="3" fillId="10" borderId="46" xfId="0" applyFont="1" applyFill="1" applyBorder="1" applyAlignment="1">
      <alignment vertical="top"/>
    </xf>
    <xf numFmtId="0" fontId="11" fillId="12" borderId="55" xfId="4" applyFont="1" applyFill="1" applyBorder="1" applyAlignment="1">
      <alignment horizontal="center" vertical="center" wrapText="1"/>
    </xf>
    <xf numFmtId="165" fontId="16" fillId="3" borderId="45" xfId="2" applyNumberFormat="1" applyFont="1" applyFill="1" applyBorder="1" applyAlignment="1">
      <alignment horizontal="center" vertical="top"/>
    </xf>
    <xf numFmtId="165" fontId="3" fillId="3" borderId="45" xfId="2" applyNumberFormat="1" applyFont="1" applyFill="1" applyBorder="1" applyAlignment="1">
      <alignment horizontal="center" vertical="top"/>
    </xf>
    <xf numFmtId="44" fontId="12" fillId="3" borderId="30" xfId="2" applyFont="1" applyFill="1" applyBorder="1" applyAlignment="1">
      <alignment vertical="top"/>
    </xf>
    <xf numFmtId="0" fontId="16" fillId="16" borderId="59" xfId="0" applyFont="1" applyFill="1" applyBorder="1"/>
    <xf numFmtId="164" fontId="3" fillId="3" borderId="30" xfId="0" applyNumberFormat="1" applyFont="1" applyFill="1" applyBorder="1"/>
    <xf numFmtId="0" fontId="5" fillId="14" borderId="59" xfId="0" applyFont="1" applyFill="1" applyBorder="1"/>
    <xf numFmtId="0" fontId="2" fillId="4" borderId="6" xfId="0" applyFont="1" applyFill="1" applyBorder="1" applyAlignment="1">
      <alignment horizontal="center"/>
    </xf>
    <xf numFmtId="0" fontId="5" fillId="19" borderId="59" xfId="0" applyFont="1" applyFill="1" applyBorder="1"/>
    <xf numFmtId="0" fontId="5" fillId="20" borderId="59" xfId="0" applyFont="1" applyFill="1" applyBorder="1"/>
    <xf numFmtId="0" fontId="3" fillId="3" borderId="30" xfId="0" applyFont="1" applyFill="1" applyBorder="1" applyAlignment="1">
      <alignment vertical="center"/>
    </xf>
    <xf numFmtId="0" fontId="5" fillId="21" borderId="59" xfId="0" applyFont="1" applyFill="1" applyBorder="1"/>
    <xf numFmtId="168" fontId="3" fillId="3" borderId="15" xfId="3" applyNumberFormat="1" applyFont="1" applyFill="1" applyBorder="1" applyAlignment="1">
      <alignment vertical="top"/>
    </xf>
    <xf numFmtId="0" fontId="12" fillId="23" borderId="8" xfId="0" applyFont="1" applyFill="1" applyBorder="1" applyAlignment="1">
      <alignment horizontal="left" vertical="top"/>
    </xf>
    <xf numFmtId="0" fontId="3" fillId="3" borderId="5" xfId="0" applyFont="1" applyFill="1" applyBorder="1" applyAlignment="1">
      <alignment horizontal="left" vertical="top"/>
    </xf>
    <xf numFmtId="0" fontId="3" fillId="3" borderId="5" xfId="0" applyFont="1" applyFill="1" applyBorder="1" applyAlignment="1">
      <alignment horizontal="left" vertical="top" wrapText="1"/>
    </xf>
    <xf numFmtId="0" fontId="16" fillId="3" borderId="5" xfId="0" applyFont="1" applyFill="1" applyBorder="1" applyAlignment="1">
      <alignment horizontal="left" vertical="top" wrapText="1"/>
    </xf>
    <xf numFmtId="0" fontId="12" fillId="23" borderId="10" xfId="0" applyFont="1" applyFill="1" applyBorder="1" applyAlignment="1">
      <alignment horizontal="left" vertical="top"/>
    </xf>
    <xf numFmtId="44" fontId="12" fillId="24" borderId="55" xfId="2" applyFont="1" applyFill="1" applyBorder="1" applyAlignment="1">
      <alignment vertical="top"/>
    </xf>
    <xf numFmtId="44" fontId="12" fillId="24" borderId="22" xfId="2" applyFont="1" applyFill="1" applyBorder="1" applyAlignment="1">
      <alignment vertical="top"/>
    </xf>
    <xf numFmtId="10" fontId="12" fillId="24" borderId="22" xfId="3" applyNumberFormat="1" applyFont="1" applyFill="1" applyBorder="1" applyAlignment="1">
      <alignment vertical="top"/>
    </xf>
    <xf numFmtId="0" fontId="5" fillId="3" borderId="0" xfId="0" applyFont="1" applyFill="1" applyAlignment="1">
      <alignment horizontal="left" vertical="center" wrapText="1" indent="1"/>
    </xf>
    <xf numFmtId="0" fontId="3" fillId="10" borderId="30" xfId="0" applyFont="1" applyFill="1" applyBorder="1" applyAlignment="1">
      <alignment vertical="top"/>
    </xf>
    <xf numFmtId="0" fontId="11" fillId="4" borderId="11" xfId="0" applyFont="1" applyFill="1" applyBorder="1"/>
    <xf numFmtId="0" fontId="2" fillId="4" borderId="9" xfId="0" applyFont="1" applyFill="1" applyBorder="1"/>
    <xf numFmtId="0" fontId="11" fillId="4" borderId="9" xfId="0" applyFont="1" applyFill="1" applyBorder="1" applyAlignment="1">
      <alignment horizontal="center" vertical="center"/>
    </xf>
    <xf numFmtId="0" fontId="11" fillId="4" borderId="21" xfId="0" applyFont="1" applyFill="1" applyBorder="1" applyAlignment="1">
      <alignment horizontal="center" vertical="center"/>
    </xf>
    <xf numFmtId="10" fontId="12" fillId="23" borderId="44" xfId="3" applyNumberFormat="1" applyFont="1" applyFill="1" applyBorder="1" applyAlignment="1">
      <alignment horizontal="center" vertical="top"/>
    </xf>
    <xf numFmtId="169" fontId="12" fillId="23" borderId="10" xfId="2" applyNumberFormat="1" applyFont="1" applyFill="1" applyBorder="1" applyAlignment="1">
      <alignment horizontal="center" vertical="top"/>
    </xf>
    <xf numFmtId="166" fontId="5" fillId="24" borderId="17" xfId="0" applyNumberFormat="1" applyFont="1" applyFill="1" applyBorder="1" applyAlignment="1">
      <alignment vertical="center"/>
    </xf>
    <xf numFmtId="167" fontId="5" fillId="24" borderId="27" xfId="3" applyNumberFormat="1" applyFont="1" applyFill="1" applyBorder="1" applyAlignment="1">
      <alignment vertical="center"/>
    </xf>
    <xf numFmtId="165" fontId="5" fillId="24" borderId="19" xfId="3" applyNumberFormat="1" applyFont="1" applyFill="1" applyBorder="1"/>
    <xf numFmtId="10" fontId="5" fillId="24" borderId="23" xfId="3" applyNumberFormat="1" applyFont="1" applyFill="1" applyBorder="1" applyAlignment="1">
      <alignment vertical="center"/>
    </xf>
    <xf numFmtId="165" fontId="5" fillId="3" borderId="17" xfId="0" applyNumberFormat="1" applyFont="1" applyFill="1" applyBorder="1" applyAlignment="1">
      <alignment vertical="center"/>
    </xf>
    <xf numFmtId="167" fontId="5" fillId="3" borderId="4" xfId="3" applyNumberFormat="1" applyFont="1" applyFill="1" applyBorder="1" applyAlignment="1">
      <alignment vertical="center"/>
    </xf>
    <xf numFmtId="166" fontId="5" fillId="24" borderId="19" xfId="0" applyNumberFormat="1" applyFont="1" applyFill="1" applyBorder="1" applyAlignment="1">
      <alignment vertical="center"/>
    </xf>
    <xf numFmtId="10" fontId="5" fillId="24" borderId="48" xfId="3" applyNumberFormat="1" applyFont="1" applyFill="1" applyBorder="1" applyAlignment="1">
      <alignment vertical="center"/>
    </xf>
    <xf numFmtId="0" fontId="7" fillId="3" borderId="37" xfId="0" applyFont="1" applyFill="1" applyBorder="1" applyAlignment="1">
      <alignment vertical="center" wrapText="1"/>
    </xf>
    <xf numFmtId="164" fontId="5" fillId="3" borderId="17" xfId="0" applyNumberFormat="1" applyFont="1" applyFill="1" applyBorder="1" applyAlignment="1">
      <alignment vertical="center"/>
    </xf>
    <xf numFmtId="0" fontId="5" fillId="3" borderId="17" xfId="0" applyFont="1" applyFill="1" applyBorder="1" applyAlignment="1">
      <alignment horizontal="center" vertical="center"/>
    </xf>
    <xf numFmtId="165" fontId="5" fillId="3" borderId="17" xfId="2" applyNumberFormat="1" applyFont="1" applyFill="1" applyBorder="1" applyAlignment="1">
      <alignment horizontal="center" vertical="center"/>
    </xf>
    <xf numFmtId="165" fontId="5" fillId="3" borderId="17" xfId="2" applyNumberFormat="1" applyFont="1" applyFill="1" applyBorder="1" applyAlignment="1">
      <alignment vertical="center"/>
    </xf>
    <xf numFmtId="10" fontId="5" fillId="3" borderId="18" xfId="3" applyNumberFormat="1" applyFont="1" applyFill="1" applyBorder="1" applyAlignment="1">
      <alignment vertical="center"/>
    </xf>
    <xf numFmtId="0" fontId="7" fillId="3" borderId="8" xfId="0" applyFont="1" applyFill="1" applyBorder="1" applyAlignment="1">
      <alignment vertical="center" wrapText="1"/>
    </xf>
    <xf numFmtId="0" fontId="7" fillId="24" borderId="8" xfId="0" applyFont="1" applyFill="1" applyBorder="1" applyAlignment="1">
      <alignment vertical="center" wrapText="1"/>
    </xf>
    <xf numFmtId="164" fontId="3" fillId="24" borderId="59" xfId="0" applyNumberFormat="1" applyFont="1" applyFill="1" applyBorder="1"/>
    <xf numFmtId="0" fontId="3" fillId="24" borderId="10" xfId="0" applyFont="1" applyFill="1" applyBorder="1" applyAlignment="1">
      <alignment horizontal="center"/>
    </xf>
    <xf numFmtId="165" fontId="3" fillId="24" borderId="10" xfId="2" applyNumberFormat="1" applyFont="1" applyFill="1" applyBorder="1" applyAlignment="1">
      <alignment horizontal="center" vertical="center"/>
    </xf>
    <xf numFmtId="165" fontId="3" fillId="24" borderId="10" xfId="2" applyNumberFormat="1" applyFont="1" applyFill="1" applyBorder="1" applyAlignment="1">
      <alignment vertical="center"/>
    </xf>
    <xf numFmtId="0" fontId="3" fillId="24" borderId="10" xfId="0" applyFont="1" applyFill="1" applyBorder="1"/>
    <xf numFmtId="165" fontId="5" fillId="24" borderId="10" xfId="3" applyNumberFormat="1" applyFont="1" applyFill="1" applyBorder="1"/>
    <xf numFmtId="10" fontId="5" fillId="24" borderId="22" xfId="3" applyNumberFormat="1" applyFont="1" applyFill="1" applyBorder="1"/>
    <xf numFmtId="164" fontId="5" fillId="3" borderId="54" xfId="0" applyNumberFormat="1" applyFont="1" applyFill="1" applyBorder="1" applyAlignment="1">
      <alignment vertical="center"/>
    </xf>
    <xf numFmtId="0" fontId="5" fillId="3" borderId="54" xfId="0" applyFont="1" applyFill="1" applyBorder="1" applyAlignment="1">
      <alignment horizontal="center" vertical="center"/>
    </xf>
    <xf numFmtId="165" fontId="5" fillId="3" borderId="54" xfId="2" applyNumberFormat="1" applyFont="1" applyFill="1" applyBorder="1" applyAlignment="1">
      <alignment horizontal="center" vertical="center"/>
    </xf>
    <xf numFmtId="165" fontId="5" fillId="3" borderId="54" xfId="2" applyNumberFormat="1" applyFont="1" applyFill="1" applyBorder="1" applyAlignment="1">
      <alignment vertical="center"/>
    </xf>
    <xf numFmtId="165" fontId="5" fillId="3" borderId="54" xfId="0" applyNumberFormat="1" applyFont="1" applyFill="1" applyBorder="1" applyAlignment="1">
      <alignment vertical="center"/>
    </xf>
    <xf numFmtId="10" fontId="5" fillId="3" borderId="55" xfId="3" applyNumberFormat="1" applyFont="1" applyFill="1" applyBorder="1" applyAlignment="1">
      <alignment vertical="center"/>
    </xf>
    <xf numFmtId="0" fontId="16" fillId="3" borderId="0" xfId="0" applyFont="1" applyFill="1"/>
    <xf numFmtId="0" fontId="5" fillId="3" borderId="0" xfId="0" applyFont="1" applyFill="1"/>
    <xf numFmtId="170" fontId="3" fillId="3" borderId="45" xfId="2" applyNumberFormat="1" applyFont="1" applyFill="1" applyBorder="1" applyAlignment="1">
      <alignment horizontal="center" vertical="top"/>
    </xf>
    <xf numFmtId="44" fontId="3" fillId="3" borderId="29" xfId="2" applyFont="1" applyFill="1" applyBorder="1" applyAlignment="1">
      <alignment horizontal="center" vertical="top"/>
    </xf>
    <xf numFmtId="44" fontId="16" fillId="3" borderId="29" xfId="2" applyFont="1" applyFill="1" applyBorder="1" applyAlignment="1">
      <alignment horizontal="center" vertical="top"/>
    </xf>
    <xf numFmtId="0" fontId="3" fillId="3" borderId="11" xfId="0" applyFont="1" applyFill="1" applyBorder="1" applyAlignment="1">
      <alignment vertical="top" wrapText="1"/>
    </xf>
    <xf numFmtId="0" fontId="3" fillId="3" borderId="5" xfId="0" applyFont="1" applyFill="1" applyBorder="1" applyAlignment="1">
      <alignment vertical="top"/>
    </xf>
    <xf numFmtId="0" fontId="3" fillId="3" borderId="20" xfId="0" applyFont="1" applyFill="1" applyBorder="1" applyAlignment="1">
      <alignment vertical="top"/>
    </xf>
    <xf numFmtId="44" fontId="3" fillId="3" borderId="21" xfId="0" applyNumberFormat="1" applyFont="1" applyFill="1" applyBorder="1" applyAlignment="1">
      <alignment vertical="top" wrapText="1"/>
    </xf>
    <xf numFmtId="0" fontId="33" fillId="4" borderId="0" xfId="0" applyFont="1" applyFill="1"/>
    <xf numFmtId="0" fontId="0" fillId="4" borderId="0" xfId="0" applyFill="1"/>
    <xf numFmtId="0" fontId="5" fillId="0" borderId="0" xfId="0" applyFont="1" applyAlignment="1">
      <alignment horizontal="center"/>
    </xf>
    <xf numFmtId="44" fontId="5" fillId="0" borderId="0" xfId="2" applyFont="1" applyAlignment="1">
      <alignment horizontal="center"/>
    </xf>
    <xf numFmtId="9" fontId="0" fillId="0" borderId="0" xfId="3" applyFont="1"/>
    <xf numFmtId="0" fontId="5" fillId="3" borderId="0" xfId="0" applyFont="1" applyFill="1" applyAlignment="1">
      <alignment horizontal="left" vertical="center" wrapText="1"/>
    </xf>
    <xf numFmtId="164" fontId="3" fillId="3" borderId="0" xfId="0" applyNumberFormat="1" applyFont="1" applyFill="1"/>
    <xf numFmtId="0" fontId="15" fillId="26" borderId="0" xfId="0" applyFont="1" applyFill="1"/>
    <xf numFmtId="164" fontId="0" fillId="0" borderId="0" xfId="1" applyNumberFormat="1" applyFont="1"/>
    <xf numFmtId="0" fontId="0" fillId="0" borderId="0" xfId="0" applyAlignment="1">
      <alignment horizontal="center"/>
    </xf>
    <xf numFmtId="164" fontId="0" fillId="0" borderId="0" xfId="0" applyNumberFormat="1"/>
    <xf numFmtId="0" fontId="3" fillId="3" borderId="0" xfId="0" applyFont="1" applyFill="1" applyAlignment="1">
      <alignment horizontal="left" vertical="top" wrapText="1"/>
    </xf>
    <xf numFmtId="0" fontId="16" fillId="3" borderId="0" xfId="0" applyFont="1" applyFill="1" applyAlignment="1">
      <alignment horizontal="left" vertical="top" wrapText="1"/>
    </xf>
    <xf numFmtId="0" fontId="3" fillId="3" borderId="0" xfId="0" applyFont="1" applyFill="1" applyAlignment="1">
      <alignment horizontal="left" vertical="top"/>
    </xf>
    <xf numFmtId="0" fontId="15" fillId="20" borderId="0" xfId="0" applyFont="1" applyFill="1"/>
    <xf numFmtId="0" fontId="2" fillId="20" borderId="0" xfId="0" applyFont="1" applyFill="1" applyAlignment="1">
      <alignment horizontal="left" vertical="top"/>
    </xf>
    <xf numFmtId="0" fontId="15" fillId="27" borderId="0" xfId="0" applyFont="1" applyFill="1"/>
    <xf numFmtId="0" fontId="2" fillId="27" borderId="0" xfId="0" applyFont="1" applyFill="1" applyAlignment="1">
      <alignment horizontal="left" vertical="top"/>
    </xf>
    <xf numFmtId="0" fontId="3" fillId="3" borderId="0" xfId="0" applyFont="1" applyFill="1" applyAlignment="1">
      <alignment horizontal="center" vertical="top" wrapText="1"/>
    </xf>
    <xf numFmtId="0" fontId="0" fillId="28" borderId="0" xfId="0" applyFill="1"/>
    <xf numFmtId="0" fontId="3" fillId="28" borderId="0" xfId="0" applyFont="1" applyFill="1" applyAlignment="1">
      <alignment horizontal="left" vertical="top"/>
    </xf>
    <xf numFmtId="0" fontId="0" fillId="25" borderId="0" xfId="0" applyFill="1"/>
    <xf numFmtId="0" fontId="3" fillId="25" borderId="0" xfId="0" applyFont="1" applyFill="1" applyAlignment="1">
      <alignment horizontal="left" vertical="top"/>
    </xf>
    <xf numFmtId="0" fontId="8" fillId="3" borderId="0" xfId="4" applyFill="1" applyBorder="1"/>
    <xf numFmtId="165" fontId="0" fillId="0" borderId="0" xfId="2" applyNumberFormat="1" applyFont="1"/>
    <xf numFmtId="0" fontId="2" fillId="27" borderId="0" xfId="0" applyFont="1" applyFill="1"/>
    <xf numFmtId="0" fontId="35" fillId="16" borderId="8" xfId="0" applyFont="1" applyFill="1" applyBorder="1"/>
    <xf numFmtId="0" fontId="34" fillId="16" borderId="10" xfId="0" applyFont="1" applyFill="1" applyBorder="1"/>
    <xf numFmtId="0" fontId="34" fillId="16" borderId="44" xfId="0" applyFont="1" applyFill="1" applyBorder="1"/>
    <xf numFmtId="171" fontId="36" fillId="3" borderId="32" xfId="2" applyNumberFormat="1" applyFont="1" applyFill="1" applyBorder="1" applyAlignment="1">
      <alignment horizontal="right" vertical="top"/>
    </xf>
    <xf numFmtId="171" fontId="36" fillId="3" borderId="32" xfId="0" applyNumberFormat="1" applyFont="1" applyFill="1" applyBorder="1" applyAlignment="1">
      <alignment horizontal="right" vertical="center"/>
    </xf>
    <xf numFmtId="171" fontId="36" fillId="3" borderId="30" xfId="2" applyNumberFormat="1" applyFont="1" applyFill="1" applyBorder="1" applyAlignment="1">
      <alignment horizontal="right" vertical="top"/>
    </xf>
    <xf numFmtId="171" fontId="30" fillId="24" borderId="53" xfId="3" applyNumberFormat="1" applyFont="1" applyFill="1" applyBorder="1"/>
    <xf numFmtId="171" fontId="30" fillId="23" borderId="54" xfId="3" applyNumberFormat="1" applyFont="1" applyFill="1" applyBorder="1"/>
    <xf numFmtId="0" fontId="36" fillId="3" borderId="5" xfId="0" applyFont="1" applyFill="1" applyBorder="1" applyAlignment="1">
      <alignment horizontal="left" vertical="center" wrapText="1"/>
    </xf>
    <xf numFmtId="0" fontId="38" fillId="24" borderId="49" xfId="0" applyFont="1" applyFill="1" applyBorder="1" applyAlignment="1">
      <alignment horizontal="left" vertical="center" wrapText="1"/>
    </xf>
    <xf numFmtId="171" fontId="30" fillId="24" borderId="28" xfId="0" applyNumberFormat="1" applyFont="1" applyFill="1" applyBorder="1" applyAlignment="1">
      <alignment horizontal="right" vertical="center"/>
    </xf>
    <xf numFmtId="171" fontId="30" fillId="23" borderId="53" xfId="3" applyNumberFormat="1" applyFont="1" applyFill="1" applyBorder="1"/>
    <xf numFmtId="10" fontId="30" fillId="23" borderId="62" xfId="3" applyNumberFormat="1" applyFont="1" applyFill="1" applyBorder="1" applyAlignment="1">
      <alignment vertical="center"/>
    </xf>
    <xf numFmtId="0" fontId="33" fillId="19" borderId="8" xfId="0" applyFont="1" applyFill="1" applyBorder="1"/>
    <xf numFmtId="0" fontId="30" fillId="19" borderId="10" xfId="0" applyFont="1" applyFill="1" applyBorder="1"/>
    <xf numFmtId="0" fontId="30" fillId="19" borderId="44" xfId="0" applyFont="1" applyFill="1" applyBorder="1"/>
    <xf numFmtId="0" fontId="37" fillId="4" borderId="20" xfId="0" applyFont="1" applyFill="1" applyBorder="1"/>
    <xf numFmtId="168" fontId="36" fillId="3" borderId="15" xfId="3" applyNumberFormat="1" applyFont="1" applyFill="1" applyBorder="1" applyAlignment="1">
      <alignment vertical="top"/>
    </xf>
    <xf numFmtId="10" fontId="30" fillId="24" borderId="67" xfId="3" applyNumberFormat="1" applyFont="1" applyFill="1" applyBorder="1" applyAlignment="1">
      <alignment vertical="center"/>
    </xf>
    <xf numFmtId="0" fontId="38" fillId="24" borderId="37" xfId="0" applyFont="1" applyFill="1" applyBorder="1" applyAlignment="1">
      <alignment vertical="center" wrapText="1"/>
    </xf>
    <xf numFmtId="0" fontId="36" fillId="24" borderId="34" xfId="0" applyFont="1" applyFill="1" applyBorder="1"/>
    <xf numFmtId="10" fontId="30" fillId="24" borderId="35" xfId="3" applyNumberFormat="1" applyFont="1" applyFill="1" applyBorder="1"/>
    <xf numFmtId="171" fontId="36" fillId="3" borderId="24" xfId="2" applyNumberFormat="1" applyFont="1" applyFill="1" applyBorder="1" applyAlignment="1">
      <alignment horizontal="right" vertical="top"/>
    </xf>
    <xf numFmtId="171" fontId="30" fillId="24" borderId="19" xfId="0" applyNumberFormat="1" applyFont="1" applyFill="1" applyBorder="1" applyAlignment="1">
      <alignment horizontal="right" vertical="center"/>
    </xf>
    <xf numFmtId="171" fontId="30" fillId="24" borderId="17" xfId="3" applyNumberFormat="1" applyFont="1" applyFill="1" applyBorder="1"/>
    <xf numFmtId="0" fontId="33" fillId="21" borderId="8" xfId="0" applyFont="1" applyFill="1" applyBorder="1"/>
    <xf numFmtId="0" fontId="30" fillId="21" borderId="10" xfId="0" applyFont="1" applyFill="1" applyBorder="1"/>
    <xf numFmtId="0" fontId="30" fillId="21" borderId="44" xfId="0" applyFont="1" applyFill="1" applyBorder="1"/>
    <xf numFmtId="0" fontId="36" fillId="3" borderId="58" xfId="0" applyFont="1" applyFill="1" applyBorder="1" applyAlignment="1">
      <alignment vertical="center" wrapText="1"/>
    </xf>
    <xf numFmtId="171" fontId="36" fillId="3" borderId="13" xfId="2" applyNumberFormat="1" applyFont="1" applyFill="1" applyBorder="1"/>
    <xf numFmtId="10" fontId="36" fillId="3" borderId="60" xfId="3" applyNumberFormat="1" applyFont="1" applyFill="1" applyBorder="1"/>
    <xf numFmtId="171" fontId="30" fillId="24" borderId="28" xfId="0" applyNumberFormat="1" applyFont="1" applyFill="1" applyBorder="1" applyAlignment="1">
      <alignment vertical="center"/>
    </xf>
    <xf numFmtId="10" fontId="30" fillId="24" borderId="38" xfId="3" applyNumberFormat="1" applyFont="1" applyFill="1" applyBorder="1" applyAlignment="1">
      <alignment vertical="center"/>
    </xf>
    <xf numFmtId="0" fontId="33" fillId="20" borderId="8" xfId="0" applyFont="1" applyFill="1" applyBorder="1"/>
    <xf numFmtId="0" fontId="30" fillId="20" borderId="10" xfId="0" applyFont="1" applyFill="1" applyBorder="1"/>
    <xf numFmtId="0" fontId="30" fillId="20" borderId="44" xfId="0" applyFont="1" applyFill="1" applyBorder="1"/>
    <xf numFmtId="0" fontId="39" fillId="3" borderId="5" xfId="0" applyFont="1" applyFill="1" applyBorder="1" applyAlignment="1">
      <alignment horizontal="left" vertical="center" wrapText="1"/>
    </xf>
    <xf numFmtId="171" fontId="36" fillId="3" borderId="24" xfId="0" applyNumberFormat="1" applyFont="1" applyFill="1" applyBorder="1" applyAlignment="1">
      <alignment horizontal="right" vertical="center"/>
    </xf>
    <xf numFmtId="165" fontId="30" fillId="24" borderId="19" xfId="3" applyNumberFormat="1" applyFont="1" applyFill="1" applyBorder="1"/>
    <xf numFmtId="10" fontId="30" fillId="24" borderId="48" xfId="3" applyNumberFormat="1" applyFont="1" applyFill="1" applyBorder="1"/>
    <xf numFmtId="167" fontId="36" fillId="3" borderId="18" xfId="3" applyNumberFormat="1" applyFont="1" applyFill="1" applyBorder="1" applyAlignment="1">
      <alignment vertical="top"/>
    </xf>
    <xf numFmtId="167" fontId="30" fillId="24" borderId="15" xfId="3" applyNumberFormat="1" applyFont="1" applyFill="1" applyBorder="1" applyAlignment="1">
      <alignment vertical="center"/>
    </xf>
    <xf numFmtId="10" fontId="30" fillId="24" borderId="23" xfId="3" applyNumberFormat="1" applyFont="1" applyFill="1" applyBorder="1" applyAlignment="1">
      <alignment vertical="center"/>
    </xf>
    <xf numFmtId="10" fontId="30" fillId="23" borderId="55" xfId="3" applyNumberFormat="1" applyFont="1" applyFill="1" applyBorder="1" applyAlignment="1">
      <alignment vertical="center"/>
    </xf>
    <xf numFmtId="0" fontId="36" fillId="3" borderId="5" xfId="0" applyFont="1" applyFill="1" applyBorder="1" applyAlignment="1">
      <alignment vertical="center" wrapText="1"/>
    </xf>
    <xf numFmtId="171" fontId="36" fillId="3" borderId="32" xfId="2" applyNumberFormat="1" applyFont="1" applyFill="1" applyBorder="1" applyAlignment="1">
      <alignment horizontal="right" vertical="center"/>
    </xf>
    <xf numFmtId="10" fontId="36" fillId="3" borderId="45" xfId="3" applyNumberFormat="1" applyFont="1" applyFill="1" applyBorder="1" applyAlignment="1">
      <alignment vertical="center"/>
    </xf>
    <xf numFmtId="0" fontId="40" fillId="0" borderId="0" xfId="0" applyFont="1"/>
    <xf numFmtId="0" fontId="0" fillId="30" borderId="0" xfId="0" applyFill="1"/>
    <xf numFmtId="0" fontId="16" fillId="30" borderId="0" xfId="0" applyFont="1" applyFill="1" applyAlignment="1">
      <alignment horizontal="left" vertical="top" wrapText="1"/>
    </xf>
    <xf numFmtId="0" fontId="0" fillId="0" borderId="0" xfId="0" applyAlignment="1">
      <alignment wrapText="1"/>
    </xf>
    <xf numFmtId="0" fontId="0" fillId="32" borderId="0" xfId="0" applyFill="1"/>
    <xf numFmtId="0" fontId="3" fillId="32" borderId="0" xfId="0" applyFont="1" applyFill="1" applyAlignment="1">
      <alignment horizontal="left" vertical="top" wrapText="1"/>
    </xf>
    <xf numFmtId="0" fontId="0" fillId="14" borderId="0" xfId="0" applyFill="1"/>
    <xf numFmtId="0" fontId="3" fillId="14" borderId="0" xfId="0" applyFont="1" applyFill="1" applyAlignment="1">
      <alignment horizontal="left" vertical="top" wrapText="1"/>
    </xf>
    <xf numFmtId="0" fontId="38" fillId="31" borderId="37" xfId="0" applyFont="1" applyFill="1" applyBorder="1" applyAlignment="1">
      <alignment horizontal="left" vertical="center" wrapText="1"/>
    </xf>
    <xf numFmtId="171" fontId="30" fillId="31" borderId="17" xfId="0" applyNumberFormat="1" applyFont="1" applyFill="1" applyBorder="1" applyAlignment="1">
      <alignment horizontal="right" vertical="center"/>
    </xf>
    <xf numFmtId="167" fontId="30" fillId="31" borderId="38" xfId="3" applyNumberFormat="1" applyFont="1" applyFill="1" applyBorder="1" applyAlignment="1">
      <alignment vertical="center"/>
    </xf>
    <xf numFmtId="0" fontId="36" fillId="3" borderId="69" xfId="0" applyFont="1" applyFill="1" applyBorder="1" applyAlignment="1">
      <alignment vertical="center" wrapText="1"/>
    </xf>
    <xf numFmtId="0" fontId="36" fillId="3" borderId="71" xfId="0" applyFont="1" applyFill="1" applyBorder="1" applyAlignment="1">
      <alignment vertical="center" wrapText="1"/>
    </xf>
    <xf numFmtId="171" fontId="36" fillId="3" borderId="72" xfId="2" applyNumberFormat="1" applyFont="1" applyFill="1" applyBorder="1" applyAlignment="1">
      <alignment horizontal="right" vertical="center"/>
    </xf>
    <xf numFmtId="10" fontId="36" fillId="3" borderId="73" xfId="3" applyNumberFormat="1" applyFont="1" applyFill="1" applyBorder="1" applyAlignment="1">
      <alignment vertical="center"/>
    </xf>
    <xf numFmtId="0" fontId="36" fillId="3" borderId="57" xfId="0" applyFont="1" applyFill="1" applyBorder="1" applyAlignment="1">
      <alignment vertical="center" wrapText="1"/>
    </xf>
    <xf numFmtId="165" fontId="36" fillId="3" borderId="27" xfId="2" applyNumberFormat="1" applyFont="1" applyFill="1" applyBorder="1" applyAlignment="1"/>
    <xf numFmtId="171" fontId="36" fillId="3" borderId="27" xfId="2" applyNumberFormat="1" applyFont="1" applyFill="1" applyBorder="1"/>
    <xf numFmtId="168" fontId="36" fillId="3" borderId="36" xfId="3" applyNumberFormat="1" applyFont="1" applyFill="1" applyBorder="1" applyAlignment="1">
      <alignment vertical="top"/>
    </xf>
    <xf numFmtId="165" fontId="36" fillId="3" borderId="74" xfId="2" applyNumberFormat="1" applyFont="1" applyFill="1" applyBorder="1" applyAlignment="1"/>
    <xf numFmtId="171" fontId="36" fillId="3" borderId="74" xfId="2" applyNumberFormat="1" applyFont="1" applyFill="1" applyBorder="1"/>
    <xf numFmtId="168" fontId="36" fillId="3" borderId="73" xfId="3" applyNumberFormat="1" applyFont="1" applyFill="1" applyBorder="1" applyAlignment="1">
      <alignment vertical="top"/>
    </xf>
    <xf numFmtId="171" fontId="36" fillId="3" borderId="24" xfId="2" applyNumberFormat="1" applyFont="1" applyFill="1" applyBorder="1" applyAlignment="1">
      <alignment horizontal="right" vertical="center"/>
    </xf>
    <xf numFmtId="10" fontId="36" fillId="3" borderId="56" xfId="3" applyNumberFormat="1" applyFont="1" applyFill="1" applyBorder="1" applyAlignment="1">
      <alignment vertical="top"/>
    </xf>
    <xf numFmtId="0" fontId="36" fillId="3" borderId="81" xfId="0" applyFont="1" applyFill="1" applyBorder="1" applyAlignment="1">
      <alignment vertical="center" wrapText="1"/>
    </xf>
    <xf numFmtId="171" fontId="36" fillId="3" borderId="82" xfId="2" applyNumberFormat="1" applyFont="1" applyFill="1" applyBorder="1" applyAlignment="1">
      <alignment horizontal="right" vertical="center"/>
    </xf>
    <xf numFmtId="171" fontId="36" fillId="3" borderId="82" xfId="2" applyNumberFormat="1" applyFont="1" applyFill="1" applyBorder="1" applyAlignment="1">
      <alignment horizontal="right" vertical="top"/>
    </xf>
    <xf numFmtId="171" fontId="36" fillId="3" borderId="72" xfId="2" applyNumberFormat="1" applyFont="1" applyFill="1" applyBorder="1" applyAlignment="1">
      <alignment horizontal="right" vertical="top"/>
    </xf>
    <xf numFmtId="165" fontId="36" fillId="3" borderId="0" xfId="2" applyNumberFormat="1" applyFont="1" applyFill="1" applyBorder="1" applyAlignment="1"/>
    <xf numFmtId="171" fontId="36" fillId="3" borderId="32" xfId="2" applyNumberFormat="1" applyFont="1" applyFill="1" applyBorder="1"/>
    <xf numFmtId="10" fontId="36" fillId="3" borderId="15" xfId="3" applyNumberFormat="1" applyFont="1" applyFill="1" applyBorder="1"/>
    <xf numFmtId="10" fontId="36" fillId="3" borderId="77" xfId="3" applyNumberFormat="1" applyFont="1" applyFill="1" applyBorder="1" applyAlignment="1">
      <alignment vertical="center"/>
    </xf>
    <xf numFmtId="171" fontId="36" fillId="3" borderId="72" xfId="2" applyNumberFormat="1" applyFont="1" applyFill="1" applyBorder="1" applyAlignment="1">
      <alignment vertical="center"/>
    </xf>
    <xf numFmtId="0" fontId="37" fillId="4" borderId="11" xfId="0" applyFont="1" applyFill="1" applyBorder="1"/>
    <xf numFmtId="0" fontId="36" fillId="3" borderId="78" xfId="0" applyFont="1" applyFill="1" applyBorder="1" applyAlignment="1">
      <alignment vertical="center" wrapText="1"/>
    </xf>
    <xf numFmtId="171" fontId="36" fillId="3" borderId="84" xfId="2" applyNumberFormat="1" applyFont="1" applyFill="1" applyBorder="1" applyAlignment="1">
      <alignment horizontal="right" vertical="center"/>
    </xf>
    <xf numFmtId="10" fontId="36" fillId="3" borderId="85" xfId="3" applyNumberFormat="1" applyFont="1" applyFill="1" applyBorder="1" applyAlignment="1">
      <alignment vertical="center"/>
    </xf>
    <xf numFmtId="10" fontId="30" fillId="23" borderId="23" xfId="3" applyNumberFormat="1" applyFont="1" applyFill="1" applyBorder="1" applyAlignment="1">
      <alignment vertical="center"/>
    </xf>
    <xf numFmtId="0" fontId="33" fillId="4" borderId="50" xfId="0" applyFont="1" applyFill="1" applyBorder="1" applyAlignment="1">
      <alignment horizontal="center"/>
    </xf>
    <xf numFmtId="0" fontId="33" fillId="4" borderId="68" xfId="0" applyFont="1" applyFill="1" applyBorder="1" applyAlignment="1">
      <alignment horizontal="center"/>
    </xf>
    <xf numFmtId="0" fontId="33" fillId="4" borderId="7" xfId="0" applyFont="1" applyFill="1" applyBorder="1" applyAlignment="1">
      <alignment horizontal="center"/>
    </xf>
    <xf numFmtId="0" fontId="33" fillId="4" borderId="23" xfId="0" applyFont="1" applyFill="1" applyBorder="1" applyAlignment="1">
      <alignment horizontal="center"/>
    </xf>
    <xf numFmtId="165" fontId="36" fillId="3" borderId="79" xfId="2" applyNumberFormat="1" applyFont="1" applyFill="1" applyBorder="1" applyAlignment="1"/>
    <xf numFmtId="171" fontId="36" fillId="3" borderId="84" xfId="2" applyNumberFormat="1" applyFont="1" applyFill="1" applyBorder="1"/>
    <xf numFmtId="10" fontId="36" fillId="3" borderId="80" xfId="3" applyNumberFormat="1" applyFont="1" applyFill="1" applyBorder="1"/>
    <xf numFmtId="0" fontId="38" fillId="31" borderId="43" xfId="0" applyFont="1" applyFill="1" applyBorder="1" applyAlignment="1">
      <alignment vertical="center" wrapText="1"/>
    </xf>
    <xf numFmtId="10" fontId="30" fillId="31" borderId="26" xfId="3" applyNumberFormat="1" applyFont="1" applyFill="1" applyBorder="1" applyAlignment="1">
      <alignment vertical="center"/>
    </xf>
    <xf numFmtId="171" fontId="30" fillId="29" borderId="17" xfId="0" applyNumberFormat="1" applyFont="1" applyFill="1" applyBorder="1" applyAlignment="1">
      <alignment vertical="center"/>
    </xf>
    <xf numFmtId="0" fontId="38" fillId="29" borderId="37" xfId="0" applyFont="1" applyFill="1" applyBorder="1" applyAlignment="1">
      <alignment vertical="center" wrapText="1"/>
    </xf>
    <xf numFmtId="10" fontId="30" fillId="29" borderId="35" xfId="3" applyNumberFormat="1" applyFont="1" applyFill="1" applyBorder="1" applyAlignment="1">
      <alignment vertical="center"/>
    </xf>
    <xf numFmtId="171" fontId="30" fillId="24" borderId="19" xfId="0" applyNumberFormat="1" applyFont="1" applyFill="1" applyBorder="1" applyAlignment="1">
      <alignment vertical="center"/>
    </xf>
    <xf numFmtId="171" fontId="34" fillId="3" borderId="82" xfId="2" applyNumberFormat="1" applyFont="1" applyFill="1" applyBorder="1" applyAlignment="1">
      <alignment vertical="center"/>
    </xf>
    <xf numFmtId="10" fontId="34" fillId="3" borderId="83" xfId="3" applyNumberFormat="1" applyFont="1" applyFill="1" applyBorder="1" applyAlignment="1">
      <alignment vertical="center"/>
    </xf>
    <xf numFmtId="171" fontId="34" fillId="3" borderId="72" xfId="2" applyNumberFormat="1" applyFont="1" applyFill="1" applyBorder="1" applyAlignment="1">
      <alignment vertical="center"/>
    </xf>
    <xf numFmtId="10" fontId="34" fillId="3" borderId="77" xfId="3" applyNumberFormat="1" applyFont="1" applyFill="1" applyBorder="1" applyAlignment="1">
      <alignment vertical="center"/>
    </xf>
    <xf numFmtId="0" fontId="38" fillId="29" borderId="8" xfId="0" applyFont="1" applyFill="1" applyBorder="1" applyAlignment="1">
      <alignment vertical="center" wrapText="1"/>
    </xf>
    <xf numFmtId="171" fontId="30" fillId="29" borderId="54" xfId="2" applyNumberFormat="1" applyFont="1" applyFill="1" applyBorder="1"/>
    <xf numFmtId="10" fontId="30" fillId="29" borderId="44" xfId="3" applyNumberFormat="1" applyFont="1" applyFill="1" applyBorder="1"/>
    <xf numFmtId="0" fontId="36" fillId="3" borderId="0" xfId="0" applyFont="1" applyFill="1"/>
    <xf numFmtId="0" fontId="3" fillId="3" borderId="29" xfId="0" applyFont="1" applyFill="1" applyBorder="1" applyAlignment="1">
      <alignment horizontal="center" vertical="center"/>
    </xf>
    <xf numFmtId="0" fontId="5" fillId="3" borderId="29" xfId="0" applyFont="1" applyFill="1" applyBorder="1" applyAlignment="1">
      <alignment horizontal="center" vertical="center"/>
    </xf>
    <xf numFmtId="0" fontId="5" fillId="16" borderId="22" xfId="0" applyFont="1" applyFill="1" applyBorder="1" applyAlignment="1">
      <alignment horizontal="center" vertical="center"/>
    </xf>
    <xf numFmtId="0" fontId="5" fillId="14" borderId="22" xfId="0" applyFont="1" applyFill="1" applyBorder="1" applyAlignment="1">
      <alignment horizontal="center" vertical="center"/>
    </xf>
    <xf numFmtId="0" fontId="5" fillId="33" borderId="22" xfId="0" applyFont="1" applyFill="1" applyBorder="1" applyAlignment="1">
      <alignment horizontal="center" vertical="center"/>
    </xf>
    <xf numFmtId="0" fontId="11" fillId="20" borderId="22" xfId="0" applyFont="1" applyFill="1" applyBorder="1" applyAlignment="1">
      <alignment horizontal="center" vertical="center"/>
    </xf>
    <xf numFmtId="0" fontId="11" fillId="21" borderId="22" xfId="0" applyFont="1" applyFill="1" applyBorder="1" applyAlignment="1">
      <alignment horizontal="center" vertical="center"/>
    </xf>
    <xf numFmtId="0" fontId="33" fillId="14" borderId="8" xfId="0" applyFont="1" applyFill="1" applyBorder="1"/>
    <xf numFmtId="0" fontId="30" fillId="14" borderId="10" xfId="0" applyFont="1" applyFill="1" applyBorder="1"/>
    <xf numFmtId="0" fontId="30" fillId="14" borderId="44" xfId="0" applyFont="1" applyFill="1" applyBorder="1"/>
    <xf numFmtId="171" fontId="36" fillId="3" borderId="84" xfId="2" applyNumberFormat="1" applyFont="1" applyFill="1" applyBorder="1" applyAlignment="1">
      <alignment vertical="center"/>
    </xf>
    <xf numFmtId="10" fontId="36" fillId="3" borderId="80" xfId="3" applyNumberFormat="1" applyFont="1" applyFill="1" applyBorder="1" applyAlignment="1">
      <alignment vertical="center"/>
    </xf>
    <xf numFmtId="171" fontId="30" fillId="31" borderId="17" xfId="2" applyNumberFormat="1" applyFont="1" applyFill="1" applyBorder="1"/>
    <xf numFmtId="10" fontId="30" fillId="31" borderId="35" xfId="3" applyNumberFormat="1" applyFont="1" applyFill="1" applyBorder="1"/>
    <xf numFmtId="0" fontId="36" fillId="3" borderId="37" xfId="0" applyFont="1" applyFill="1" applyBorder="1" applyAlignment="1">
      <alignment horizontal="left" vertical="center" wrapText="1"/>
    </xf>
    <xf numFmtId="171" fontId="36" fillId="3" borderId="17" xfId="0" applyNumberFormat="1" applyFont="1" applyFill="1" applyBorder="1" applyAlignment="1">
      <alignment horizontal="right" vertical="center"/>
    </xf>
    <xf numFmtId="171" fontId="36" fillId="3" borderId="17" xfId="2" applyNumberFormat="1" applyFont="1" applyFill="1" applyBorder="1"/>
    <xf numFmtId="10" fontId="36" fillId="3" borderId="35" xfId="3" applyNumberFormat="1" applyFont="1" applyFill="1" applyBorder="1"/>
    <xf numFmtId="165" fontId="36" fillId="3" borderId="76" xfId="2" applyNumberFormat="1" applyFont="1" applyFill="1" applyBorder="1" applyAlignment="1"/>
    <xf numFmtId="10" fontId="36" fillId="3" borderId="77" xfId="3" applyNumberFormat="1" applyFont="1" applyFill="1" applyBorder="1"/>
    <xf numFmtId="0" fontId="38" fillId="24" borderId="8" xfId="0" applyFont="1" applyFill="1" applyBorder="1" applyAlignment="1">
      <alignment vertical="center" wrapText="1"/>
    </xf>
    <xf numFmtId="0" fontId="36" fillId="24" borderId="10" xfId="0" applyFont="1" applyFill="1" applyBorder="1"/>
    <xf numFmtId="165" fontId="30" fillId="24" borderId="54" xfId="3" applyNumberFormat="1" applyFont="1" applyFill="1" applyBorder="1"/>
    <xf numFmtId="10" fontId="30" fillId="24" borderId="44" xfId="3" applyNumberFormat="1" applyFont="1" applyFill="1" applyBorder="1"/>
    <xf numFmtId="165" fontId="36" fillId="3" borderId="75" xfId="2" applyNumberFormat="1" applyFont="1" applyFill="1" applyBorder="1" applyAlignment="1"/>
    <xf numFmtId="171" fontId="36" fillId="3" borderId="70" xfId="2" applyNumberFormat="1" applyFont="1" applyFill="1" applyBorder="1"/>
    <xf numFmtId="0" fontId="12" fillId="34" borderId="12" xfId="0" applyFont="1" applyFill="1" applyBorder="1" applyAlignment="1">
      <alignment horizontal="center" vertical="center"/>
    </xf>
    <xf numFmtId="0" fontId="12" fillId="34" borderId="13" xfId="0" applyFont="1" applyFill="1" applyBorder="1" applyAlignment="1">
      <alignment horizontal="center" vertical="center" wrapText="1"/>
    </xf>
    <xf numFmtId="0" fontId="12" fillId="23" borderId="14" xfId="0" applyFont="1" applyFill="1" applyBorder="1" applyAlignment="1">
      <alignment horizontal="center" vertical="center"/>
    </xf>
    <xf numFmtId="0" fontId="3" fillId="3" borderId="61" xfId="0" applyFont="1" applyFill="1" applyBorder="1" applyAlignment="1">
      <alignment horizontal="center" vertical="center"/>
    </xf>
    <xf numFmtId="0" fontId="3" fillId="3" borderId="52" xfId="0" applyFont="1" applyFill="1" applyBorder="1" applyAlignment="1">
      <alignment horizontal="center" vertical="center"/>
    </xf>
    <xf numFmtId="0" fontId="34" fillId="3" borderId="0" xfId="0" applyFont="1" applyFill="1"/>
    <xf numFmtId="0" fontId="42" fillId="3" borderId="0" xfId="0" applyFont="1" applyFill="1" applyAlignment="1">
      <alignment horizontal="center"/>
    </xf>
    <xf numFmtId="0" fontId="36" fillId="3" borderId="61" xfId="0" applyFont="1" applyFill="1" applyBorder="1" applyAlignment="1">
      <alignment horizontal="center" vertical="center"/>
    </xf>
    <xf numFmtId="0" fontId="36" fillId="3" borderId="29" xfId="0" applyFont="1" applyFill="1" applyBorder="1" applyAlignment="1">
      <alignment horizontal="center" vertical="center"/>
    </xf>
    <xf numFmtId="165" fontId="36" fillId="3" borderId="87" xfId="2" applyNumberFormat="1" applyFont="1" applyFill="1" applyBorder="1" applyAlignment="1"/>
    <xf numFmtId="171" fontId="36" fillId="3" borderId="87" xfId="2" applyNumberFormat="1" applyFont="1" applyFill="1" applyBorder="1"/>
    <xf numFmtId="168" fontId="36" fillId="3" borderId="85" xfId="3" applyNumberFormat="1" applyFont="1" applyFill="1" applyBorder="1" applyAlignment="1">
      <alignment vertical="top"/>
    </xf>
    <xf numFmtId="171" fontId="3" fillId="3" borderId="65" xfId="0" applyNumberFormat="1" applyFont="1" applyFill="1" applyBorder="1" applyAlignment="1">
      <alignment horizontal="center"/>
    </xf>
    <xf numFmtId="171" fontId="3" fillId="3" borderId="19" xfId="0" applyNumberFormat="1" applyFont="1" applyFill="1" applyBorder="1" applyAlignment="1">
      <alignment horizontal="center"/>
    </xf>
    <xf numFmtId="171" fontId="5" fillId="3" borderId="48" xfId="0" applyNumberFormat="1" applyFont="1" applyFill="1" applyBorder="1" applyAlignment="1">
      <alignment horizontal="center"/>
    </xf>
    <xf numFmtId="0" fontId="3" fillId="3" borderId="29" xfId="0" applyFont="1" applyFill="1" applyBorder="1" applyAlignment="1">
      <alignment horizontal="center"/>
    </xf>
    <xf numFmtId="0" fontId="3" fillId="3" borderId="52" xfId="0" applyFont="1" applyFill="1" applyBorder="1" applyAlignment="1">
      <alignment horizontal="center"/>
    </xf>
    <xf numFmtId="2" fontId="3" fillId="3" borderId="29" xfId="0" applyNumberFormat="1" applyFont="1" applyFill="1" applyBorder="1" applyAlignment="1">
      <alignment horizontal="center"/>
    </xf>
    <xf numFmtId="0" fontId="36" fillId="3" borderId="52" xfId="0" applyFont="1" applyFill="1" applyBorder="1" applyAlignment="1">
      <alignment horizontal="center" vertical="center"/>
    </xf>
    <xf numFmtId="0" fontId="36" fillId="3" borderId="0" xfId="0" applyFont="1" applyFill="1" applyAlignment="1">
      <alignment horizontal="center" vertical="center"/>
    </xf>
    <xf numFmtId="2" fontId="3" fillId="3" borderId="0" xfId="0" applyNumberFormat="1" applyFont="1" applyFill="1" applyAlignment="1">
      <alignment horizontal="center"/>
    </xf>
    <xf numFmtId="171" fontId="30" fillId="24" borderId="53" xfId="0" applyNumberFormat="1" applyFont="1" applyFill="1" applyBorder="1" applyAlignment="1">
      <alignment horizontal="right" vertical="center"/>
    </xf>
    <xf numFmtId="0" fontId="34" fillId="3" borderId="86" xfId="0" applyFont="1" applyFill="1" applyBorder="1" applyAlignment="1">
      <alignment vertical="center" wrapText="1"/>
    </xf>
    <xf numFmtId="0" fontId="34" fillId="3" borderId="76" xfId="0" applyFont="1" applyFill="1" applyBorder="1" applyAlignment="1">
      <alignment vertical="center" wrapText="1"/>
    </xf>
    <xf numFmtId="0" fontId="57" fillId="3" borderId="33" xfId="0" applyFont="1" applyFill="1" applyBorder="1"/>
    <xf numFmtId="0" fontId="57" fillId="3" borderId="0" xfId="0" applyFont="1" applyFill="1"/>
    <xf numFmtId="0" fontId="31" fillId="3" borderId="0" xfId="0" applyFont="1" applyFill="1" applyAlignment="1">
      <alignment horizontal="center"/>
    </xf>
    <xf numFmtId="0" fontId="57" fillId="3" borderId="88" xfId="0" applyFont="1" applyFill="1" applyBorder="1"/>
    <xf numFmtId="0" fontId="57" fillId="3" borderId="88" xfId="0" applyFont="1" applyFill="1" applyBorder="1" applyAlignment="1">
      <alignment horizontal="left" vertical="top" wrapText="1"/>
    </xf>
    <xf numFmtId="0" fontId="0" fillId="65" borderId="0" xfId="0" applyFill="1"/>
    <xf numFmtId="0" fontId="57" fillId="11" borderId="0" xfId="0" applyFont="1" applyFill="1" applyAlignment="1">
      <alignment horizontal="left" vertical="top" wrapText="1"/>
    </xf>
    <xf numFmtId="173" fontId="36" fillId="3" borderId="83" xfId="3" applyNumberFormat="1" applyFont="1" applyFill="1" applyBorder="1" applyAlignment="1">
      <alignment vertical="top"/>
    </xf>
    <xf numFmtId="173" fontId="36" fillId="3" borderId="77" xfId="3" applyNumberFormat="1" applyFont="1" applyFill="1" applyBorder="1" applyAlignment="1">
      <alignment vertical="top"/>
    </xf>
    <xf numFmtId="0" fontId="31" fillId="3" borderId="0" xfId="0" applyFont="1" applyFill="1"/>
    <xf numFmtId="0" fontId="31" fillId="3" borderId="0" xfId="0" applyFont="1" applyFill="1" applyAlignment="1">
      <alignment horizontal="left" vertical="center" wrapText="1"/>
    </xf>
    <xf numFmtId="0" fontId="57" fillId="3" borderId="33" xfId="0" applyFont="1" applyFill="1" applyBorder="1" applyAlignment="1">
      <alignment horizontal="left" vertical="top" wrapText="1"/>
    </xf>
    <xf numFmtId="0" fontId="60" fillId="3" borderId="88" xfId="0" applyFont="1" applyFill="1" applyBorder="1" applyAlignment="1">
      <alignment horizontal="left" vertical="top" wrapText="1"/>
    </xf>
    <xf numFmtId="0" fontId="60" fillId="3" borderId="88" xfId="0" applyFont="1" applyFill="1" applyBorder="1"/>
    <xf numFmtId="167" fontId="60" fillId="3" borderId="88" xfId="0" applyNumberFormat="1" applyFont="1" applyFill="1" applyBorder="1"/>
    <xf numFmtId="0" fontId="60" fillId="3" borderId="0" xfId="0" applyFont="1" applyFill="1" applyAlignment="1">
      <alignment horizontal="left" vertical="top" wrapText="1"/>
    </xf>
    <xf numFmtId="0" fontId="60" fillId="3" borderId="0" xfId="0" applyFont="1" applyFill="1"/>
    <xf numFmtId="167" fontId="60" fillId="3" borderId="0" xfId="0" applyNumberFormat="1" applyFont="1" applyFill="1"/>
    <xf numFmtId="169" fontId="60" fillId="3" borderId="33" xfId="2" applyNumberFormat="1" applyFont="1" applyFill="1" applyBorder="1" applyAlignment="1">
      <alignment horizontal="center" vertical="center"/>
    </xf>
    <xf numFmtId="167" fontId="60" fillId="3" borderId="33" xfId="3" applyNumberFormat="1" applyFont="1" applyFill="1" applyBorder="1" applyAlignment="1">
      <alignment horizontal="center" vertical="center"/>
    </xf>
    <xf numFmtId="172" fontId="59" fillId="3" borderId="0" xfId="0" applyNumberFormat="1" applyFont="1" applyFill="1" applyAlignment="1">
      <alignment horizontal="center"/>
    </xf>
    <xf numFmtId="167" fontId="59" fillId="3" borderId="0" xfId="3" applyNumberFormat="1" applyFont="1" applyFill="1" applyAlignment="1">
      <alignment horizontal="center"/>
    </xf>
    <xf numFmtId="0" fontId="61" fillId="3" borderId="0" xfId="0" applyFont="1" applyFill="1" applyAlignment="1">
      <alignment horizontal="left" vertical="top" wrapText="1"/>
    </xf>
    <xf numFmtId="0" fontId="57" fillId="3" borderId="89" xfId="0" applyFont="1" applyFill="1" applyBorder="1" applyAlignment="1">
      <alignment horizontal="left" vertical="top" wrapText="1"/>
    </xf>
    <xf numFmtId="0" fontId="58" fillId="3" borderId="0" xfId="0" applyFont="1" applyFill="1"/>
    <xf numFmtId="0" fontId="59" fillId="3" borderId="33" xfId="0" applyFont="1" applyFill="1" applyBorder="1"/>
    <xf numFmtId="0" fontId="60" fillId="3" borderId="33" xfId="0" applyFont="1" applyFill="1" applyBorder="1"/>
    <xf numFmtId="0" fontId="59" fillId="3" borderId="33" xfId="0" applyFont="1" applyFill="1" applyBorder="1" applyAlignment="1">
      <alignment horizontal="center"/>
    </xf>
    <xf numFmtId="167" fontId="59" fillId="3" borderId="98" xfId="3" applyNumberFormat="1" applyFont="1" applyFill="1" applyBorder="1" applyAlignment="1">
      <alignment horizontal="center"/>
    </xf>
    <xf numFmtId="10" fontId="59" fillId="3" borderId="0" xfId="3" applyNumberFormat="1" applyFont="1" applyFill="1" applyAlignment="1">
      <alignment horizontal="center"/>
    </xf>
    <xf numFmtId="0" fontId="59" fillId="3" borderId="0" xfId="0" applyFont="1" applyFill="1" applyAlignment="1">
      <alignment horizontal="center"/>
    </xf>
    <xf numFmtId="171" fontId="59" fillId="3" borderId="0" xfId="0" applyNumberFormat="1" applyFont="1" applyFill="1" applyAlignment="1">
      <alignment horizontal="center"/>
    </xf>
    <xf numFmtId="171" fontId="59" fillId="3" borderId="98" xfId="0" applyNumberFormat="1" applyFont="1" applyFill="1" applyBorder="1" applyAlignment="1">
      <alignment horizontal="center"/>
    </xf>
    <xf numFmtId="0" fontId="60" fillId="3" borderId="89" xfId="0" applyFont="1" applyFill="1" applyBorder="1"/>
    <xf numFmtId="0" fontId="63" fillId="3" borderId="0" xfId="0" applyFont="1" applyFill="1" applyAlignment="1">
      <alignment horizontal="left" vertical="top" wrapText="1"/>
    </xf>
    <xf numFmtId="171" fontId="60" fillId="3" borderId="88" xfId="0" applyNumberFormat="1" applyFont="1" applyFill="1" applyBorder="1" applyAlignment="1">
      <alignment horizontal="left" vertical="top" wrapText="1"/>
    </xf>
    <xf numFmtId="171" fontId="60" fillId="3" borderId="0" xfId="0" applyNumberFormat="1" applyFont="1" applyFill="1"/>
    <xf numFmtId="171" fontId="60" fillId="3" borderId="0" xfId="0" applyNumberFormat="1" applyFont="1" applyFill="1" applyAlignment="1">
      <alignment horizontal="left" vertical="top" wrapText="1"/>
    </xf>
    <xf numFmtId="171" fontId="60" fillId="3" borderId="88" xfId="0" applyNumberFormat="1" applyFont="1" applyFill="1" applyBorder="1"/>
    <xf numFmtId="171" fontId="60" fillId="3" borderId="33" xfId="2" applyNumberFormat="1" applyFont="1" applyFill="1" applyBorder="1" applyAlignment="1">
      <alignment horizontal="center" vertical="center"/>
    </xf>
    <xf numFmtId="171" fontId="60" fillId="3" borderId="33" xfId="0" applyNumberFormat="1" applyFont="1" applyFill="1" applyBorder="1"/>
    <xf numFmtId="0" fontId="19" fillId="3" borderId="0" xfId="0" applyFont="1" applyFill="1"/>
    <xf numFmtId="3" fontId="0" fillId="0" borderId="0" xfId="0" applyNumberFormat="1"/>
    <xf numFmtId="0" fontId="19" fillId="0" borderId="0" xfId="0" applyFont="1" applyAlignment="1">
      <alignment horizontal="center"/>
    </xf>
    <xf numFmtId="0" fontId="62" fillId="3" borderId="0" xfId="0" applyFont="1" applyFill="1"/>
    <xf numFmtId="44" fontId="0" fillId="0" borderId="0" xfId="2" applyFont="1"/>
    <xf numFmtId="164" fontId="19" fillId="0" borderId="0" xfId="0" applyNumberFormat="1" applyFont="1"/>
    <xf numFmtId="0" fontId="0" fillId="11" borderId="0" xfId="0" applyFill="1" applyAlignment="1">
      <alignment wrapText="1"/>
    </xf>
    <xf numFmtId="0" fontId="57" fillId="11" borderId="88" xfId="0" applyFont="1" applyFill="1" applyBorder="1" applyAlignment="1">
      <alignment horizontal="left" vertical="top" wrapText="1"/>
    </xf>
    <xf numFmtId="0" fontId="61" fillId="11" borderId="0" xfId="0" applyFont="1" applyFill="1" applyAlignment="1">
      <alignment horizontal="left" vertical="top" wrapText="1"/>
    </xf>
    <xf numFmtId="0" fontId="57" fillId="11" borderId="89" xfId="0" applyFont="1" applyFill="1" applyBorder="1" applyAlignment="1">
      <alignment horizontal="left" vertical="top" wrapText="1"/>
    </xf>
    <xf numFmtId="0" fontId="12" fillId="16" borderId="0" xfId="0" applyFont="1" applyFill="1" applyAlignment="1">
      <alignment horizontal="left"/>
    </xf>
    <xf numFmtId="0" fontId="3" fillId="16" borderId="0" xfId="0" applyFont="1" applyFill="1"/>
    <xf numFmtId="0" fontId="12" fillId="3" borderId="0" xfId="0" applyFont="1" applyFill="1" applyAlignment="1">
      <alignment horizontal="center"/>
    </xf>
    <xf numFmtId="0" fontId="16" fillId="3" borderId="0" xfId="0" applyFont="1" applyFill="1" applyAlignment="1">
      <alignment horizontal="left"/>
    </xf>
    <xf numFmtId="0" fontId="12" fillId="13" borderId="0" xfId="0" applyFont="1" applyFill="1" applyAlignment="1">
      <alignment horizontal="left"/>
    </xf>
    <xf numFmtId="0" fontId="3" fillId="13" borderId="0" xfId="0" applyFont="1" applyFill="1"/>
    <xf numFmtId="0" fontId="12" fillId="6" borderId="0" xfId="0" applyFont="1" applyFill="1" applyAlignment="1">
      <alignment horizontal="left"/>
    </xf>
    <xf numFmtId="0" fontId="12" fillId="33" borderId="0" xfId="0" applyFont="1" applyFill="1" applyAlignment="1">
      <alignment horizontal="left"/>
    </xf>
    <xf numFmtId="0" fontId="3" fillId="33" borderId="0" xfId="0" applyFont="1" applyFill="1"/>
    <xf numFmtId="0" fontId="3" fillId="30" borderId="0" xfId="0" applyFont="1" applyFill="1"/>
    <xf numFmtId="0" fontId="5" fillId="30" borderId="0" xfId="0" applyFont="1" applyFill="1" applyAlignment="1">
      <alignment vertical="center"/>
    </xf>
    <xf numFmtId="171" fontId="3" fillId="3" borderId="63" xfId="0" applyNumberFormat="1" applyFont="1" applyFill="1" applyBorder="1" applyAlignment="1">
      <alignment horizontal="center"/>
    </xf>
    <xf numFmtId="171" fontId="3" fillId="3" borderId="28" xfId="0" applyNumberFormat="1" applyFont="1" applyFill="1" applyBorder="1" applyAlignment="1">
      <alignment horizontal="center"/>
    </xf>
    <xf numFmtId="171" fontId="5" fillId="3" borderId="64" xfId="0" applyNumberFormat="1" applyFont="1" applyFill="1" applyBorder="1" applyAlignment="1">
      <alignment horizontal="center"/>
    </xf>
    <xf numFmtId="0" fontId="0" fillId="0" borderId="0" xfId="0" applyAlignment="1">
      <alignment vertical="center" wrapText="1"/>
    </xf>
    <xf numFmtId="10" fontId="59" fillId="3" borderId="98" xfId="3" applyNumberFormat="1" applyFont="1" applyFill="1" applyBorder="1" applyAlignment="1">
      <alignment horizontal="center"/>
    </xf>
    <xf numFmtId="0" fontId="59" fillId="3" borderId="33" xfId="0" applyFont="1" applyFill="1" applyBorder="1" applyAlignment="1">
      <alignment horizontal="center" wrapText="1"/>
    </xf>
    <xf numFmtId="0" fontId="67" fillId="3" borderId="0" xfId="0" applyFont="1" applyFill="1" applyAlignment="1">
      <alignment horizontal="left" vertical="top" wrapText="1"/>
    </xf>
    <xf numFmtId="0" fontId="68" fillId="3" borderId="88" xfId="0" applyFont="1" applyFill="1" applyBorder="1"/>
    <xf numFmtId="0" fontId="68" fillId="3" borderId="0" xfId="0" applyFont="1" applyFill="1"/>
    <xf numFmtId="0" fontId="68" fillId="3" borderId="89" xfId="0" applyFont="1" applyFill="1" applyBorder="1"/>
    <xf numFmtId="10" fontId="60" fillId="3" borderId="88" xfId="0" applyNumberFormat="1" applyFont="1" applyFill="1" applyBorder="1"/>
    <xf numFmtId="10" fontId="59" fillId="3" borderId="0" xfId="0" applyNumberFormat="1" applyFont="1" applyFill="1" applyAlignment="1">
      <alignment horizontal="center"/>
    </xf>
    <xf numFmtId="10" fontId="60" fillId="3" borderId="0" xfId="0" applyNumberFormat="1" applyFont="1" applyFill="1"/>
    <xf numFmtId="10" fontId="60" fillId="3" borderId="33" xfId="3" applyNumberFormat="1" applyFont="1" applyFill="1" applyBorder="1" applyAlignment="1">
      <alignment horizontal="center" vertical="center"/>
    </xf>
    <xf numFmtId="10" fontId="60" fillId="3" borderId="33" xfId="0" applyNumberFormat="1" applyFont="1" applyFill="1" applyBorder="1"/>
    <xf numFmtId="0" fontId="8" fillId="3" borderId="0" xfId="4" applyFill="1" applyAlignment="1">
      <alignment wrapText="1"/>
    </xf>
    <xf numFmtId="171" fontId="59" fillId="3" borderId="98" xfId="0" applyNumberFormat="1" applyFont="1" applyFill="1" applyBorder="1" applyAlignment="1">
      <alignment horizontal="center" vertical="center"/>
    </xf>
    <xf numFmtId="167" fontId="59" fillId="3" borderId="98" xfId="3" applyNumberFormat="1" applyFont="1" applyFill="1" applyBorder="1" applyAlignment="1">
      <alignment horizontal="center" vertical="center"/>
    </xf>
    <xf numFmtId="3" fontId="60" fillId="3" borderId="88" xfId="1" applyNumberFormat="1" applyFont="1" applyFill="1" applyBorder="1" applyAlignment="1">
      <alignment horizontal="center"/>
    </xf>
    <xf numFmtId="3" fontId="60" fillId="3" borderId="0" xfId="1" applyNumberFormat="1" applyFont="1" applyFill="1" applyBorder="1" applyAlignment="1">
      <alignment horizontal="center"/>
    </xf>
    <xf numFmtId="3" fontId="61" fillId="11" borderId="0" xfId="1" applyNumberFormat="1" applyFont="1" applyFill="1" applyBorder="1" applyAlignment="1">
      <alignment horizontal="center" vertical="top" wrapText="1"/>
    </xf>
    <xf numFmtId="3" fontId="57" fillId="11" borderId="88" xfId="1" applyNumberFormat="1" applyFont="1" applyFill="1" applyBorder="1" applyAlignment="1">
      <alignment horizontal="center" vertical="top" wrapText="1"/>
    </xf>
    <xf numFmtId="3" fontId="57" fillId="11" borderId="89" xfId="1" applyNumberFormat="1" applyFont="1" applyFill="1" applyBorder="1" applyAlignment="1">
      <alignment horizontal="center" vertical="top" wrapText="1"/>
    </xf>
    <xf numFmtId="3" fontId="57" fillId="11" borderId="0" xfId="1" applyNumberFormat="1" applyFont="1" applyFill="1" applyBorder="1" applyAlignment="1">
      <alignment horizontal="center" vertical="top" wrapText="1"/>
    </xf>
    <xf numFmtId="3" fontId="60" fillId="3" borderId="0" xfId="1" applyNumberFormat="1" applyFont="1" applyFill="1" applyAlignment="1">
      <alignment horizontal="center"/>
    </xf>
    <xf numFmtId="3" fontId="59" fillId="3" borderId="98" xfId="1" applyNumberFormat="1" applyFont="1" applyFill="1" applyBorder="1" applyAlignment="1">
      <alignment horizontal="center"/>
    </xf>
    <xf numFmtId="3" fontId="60" fillId="3" borderId="88" xfId="0" applyNumberFormat="1" applyFont="1" applyFill="1" applyBorder="1" applyAlignment="1">
      <alignment vertical="top" wrapText="1"/>
    </xf>
    <xf numFmtId="3" fontId="60" fillId="3" borderId="0" xfId="0" applyNumberFormat="1" applyFont="1" applyFill="1" applyAlignment="1">
      <alignment vertical="top" wrapText="1"/>
    </xf>
    <xf numFmtId="3" fontId="60" fillId="3" borderId="88" xfId="0" applyNumberFormat="1" applyFont="1" applyFill="1" applyBorder="1"/>
    <xf numFmtId="3" fontId="60" fillId="3" borderId="0" xfId="0" applyNumberFormat="1" applyFont="1" applyFill="1"/>
    <xf numFmtId="3" fontId="60" fillId="3" borderId="33" xfId="2" applyNumberFormat="1" applyFont="1" applyFill="1" applyBorder="1" applyAlignment="1">
      <alignment vertical="center"/>
    </xf>
    <xf numFmtId="3" fontId="59" fillId="3" borderId="0" xfId="0" applyNumberFormat="1" applyFont="1" applyFill="1"/>
    <xf numFmtId="3" fontId="57" fillId="3" borderId="33" xfId="0" applyNumberFormat="1" applyFont="1" applyFill="1" applyBorder="1"/>
    <xf numFmtId="3" fontId="59" fillId="3" borderId="0" xfId="1" applyNumberFormat="1" applyFont="1" applyFill="1" applyAlignment="1">
      <alignment horizontal="center"/>
    </xf>
    <xf numFmtId="3" fontId="0" fillId="3" borderId="0" xfId="0" applyNumberFormat="1" applyFill="1"/>
    <xf numFmtId="3" fontId="3" fillId="3" borderId="0" xfId="0" applyNumberFormat="1" applyFont="1" applyFill="1"/>
    <xf numFmtId="3" fontId="59" fillId="3" borderId="33" xfId="0" applyNumberFormat="1" applyFont="1" applyFill="1" applyBorder="1" applyAlignment="1">
      <alignment horizontal="center"/>
    </xf>
    <xf numFmtId="3" fontId="57" fillId="3" borderId="0" xfId="0" applyNumberFormat="1" applyFont="1" applyFill="1"/>
    <xf numFmtId="3" fontId="31" fillId="3" borderId="0" xfId="0" applyNumberFormat="1" applyFont="1" applyFill="1" applyAlignment="1">
      <alignment horizontal="center"/>
    </xf>
    <xf numFmtId="3" fontId="60" fillId="3" borderId="88" xfId="0" applyNumberFormat="1" applyFont="1" applyFill="1" applyBorder="1" applyAlignment="1">
      <alignment horizontal="left" vertical="top" wrapText="1"/>
    </xf>
    <xf numFmtId="3" fontId="60" fillId="3" borderId="0" xfId="0" applyNumberFormat="1" applyFont="1" applyFill="1" applyAlignment="1">
      <alignment horizontal="left" vertical="top" wrapText="1"/>
    </xf>
    <xf numFmtId="3" fontId="60" fillId="3" borderId="33" xfId="2" applyNumberFormat="1" applyFont="1" applyFill="1" applyBorder="1" applyAlignment="1">
      <alignment horizontal="center" vertical="center"/>
    </xf>
    <xf numFmtId="3" fontId="59" fillId="3" borderId="0" xfId="0" applyNumberFormat="1" applyFont="1" applyFill="1" applyAlignment="1">
      <alignment horizontal="center"/>
    </xf>
    <xf numFmtId="3" fontId="60" fillId="3" borderId="33" xfId="0" applyNumberFormat="1" applyFont="1" applyFill="1" applyBorder="1"/>
    <xf numFmtId="3" fontId="59" fillId="3" borderId="98" xfId="1" applyNumberFormat="1" applyFont="1" applyFill="1" applyBorder="1" applyAlignment="1">
      <alignment horizontal="center" vertical="center"/>
    </xf>
    <xf numFmtId="3" fontId="58" fillId="3" borderId="0" xfId="0" applyNumberFormat="1" applyFont="1" applyFill="1"/>
    <xf numFmtId="3" fontId="59" fillId="3" borderId="33" xfId="0" applyNumberFormat="1" applyFont="1" applyFill="1" applyBorder="1" applyAlignment="1">
      <alignment horizontal="center" wrapText="1"/>
    </xf>
    <xf numFmtId="0" fontId="0" fillId="0" borderId="0" xfId="0" applyAlignment="1">
      <alignment vertical="top" wrapText="1"/>
    </xf>
    <xf numFmtId="171" fontId="0" fillId="3" borderId="0" xfId="0" applyNumberFormat="1" applyFill="1"/>
    <xf numFmtId="3" fontId="19" fillId="3" borderId="0" xfId="0" applyNumberFormat="1" applyFont="1" applyFill="1"/>
    <xf numFmtId="10" fontId="0" fillId="3" borderId="0" xfId="3" applyNumberFormat="1" applyFont="1" applyFill="1"/>
    <xf numFmtId="10" fontId="0" fillId="3" borderId="0" xfId="0" applyNumberFormat="1" applyFill="1"/>
    <xf numFmtId="9" fontId="0" fillId="3" borderId="0" xfId="3" applyFont="1" applyFill="1"/>
    <xf numFmtId="167" fontId="0" fillId="3" borderId="0" xfId="3" applyNumberFormat="1" applyFont="1" applyFill="1"/>
    <xf numFmtId="0" fontId="42" fillId="3" borderId="3" xfId="0" applyFont="1" applyFill="1" applyBorder="1" applyAlignment="1">
      <alignment horizontal="left"/>
    </xf>
    <xf numFmtId="0" fontId="42" fillId="3" borderId="15" xfId="0" applyFont="1" applyFill="1" applyBorder="1" applyAlignment="1">
      <alignment horizontal="left"/>
    </xf>
    <xf numFmtId="0" fontId="34" fillId="3" borderId="49" xfId="0" applyFont="1" applyFill="1" applyBorder="1" applyAlignment="1">
      <alignment horizontal="left"/>
    </xf>
    <xf numFmtId="43" fontId="0" fillId="3" borderId="0" xfId="1" applyFont="1" applyFill="1"/>
    <xf numFmtId="169" fontId="0" fillId="3" borderId="0" xfId="0" applyNumberFormat="1" applyFill="1"/>
    <xf numFmtId="0" fontId="57" fillId="3" borderId="0" xfId="0" applyFont="1" applyFill="1" applyAlignment="1">
      <alignment horizontal="left" vertical="top" wrapText="1"/>
    </xf>
    <xf numFmtId="0" fontId="59" fillId="3" borderId="0" xfId="0" applyFont="1" applyFill="1" applyAlignment="1">
      <alignment horizontal="left" vertical="top" wrapText="1"/>
    </xf>
    <xf numFmtId="0" fontId="57" fillId="3" borderId="0" xfId="0" applyFont="1" applyFill="1" applyAlignment="1">
      <alignment horizontal="center" vertical="center"/>
    </xf>
    <xf numFmtId="0" fontId="31" fillId="3" borderId="0" xfId="0" applyFont="1" applyFill="1" applyAlignment="1">
      <alignment vertical="top"/>
    </xf>
    <xf numFmtId="0" fontId="57" fillId="3" borderId="0" xfId="0" applyFont="1" applyFill="1" applyAlignment="1">
      <alignment vertical="top" wrapText="1"/>
    </xf>
    <xf numFmtId="0" fontId="31" fillId="3" borderId="0" xfId="0" applyFont="1" applyFill="1" applyAlignment="1">
      <alignment vertical="top" wrapText="1"/>
    </xf>
    <xf numFmtId="0" fontId="59" fillId="3" borderId="0" xfId="0" applyFont="1" applyFill="1" applyAlignment="1">
      <alignment vertical="top" wrapText="1"/>
    </xf>
    <xf numFmtId="0" fontId="59" fillId="3" borderId="3" xfId="0" applyFont="1" applyFill="1" applyBorder="1" applyAlignment="1">
      <alignment vertical="center" wrapText="1"/>
    </xf>
    <xf numFmtId="10" fontId="59" fillId="3" borderId="98" xfId="3" applyNumberFormat="1" applyFont="1" applyFill="1" applyBorder="1" applyAlignment="1">
      <alignment horizontal="center" vertical="center"/>
    </xf>
    <xf numFmtId="174" fontId="36" fillId="3" borderId="61" xfId="0" applyNumberFormat="1" applyFont="1" applyFill="1" applyBorder="1" applyAlignment="1">
      <alignment horizontal="center" vertical="center"/>
    </xf>
    <xf numFmtId="174" fontId="36" fillId="3" borderId="29" xfId="0" applyNumberFormat="1" applyFont="1" applyFill="1" applyBorder="1" applyAlignment="1">
      <alignment horizontal="center" vertical="center"/>
    </xf>
    <xf numFmtId="174" fontId="36" fillId="3" borderId="52" xfId="0" applyNumberFormat="1" applyFont="1" applyFill="1" applyBorder="1" applyAlignment="1">
      <alignment horizontal="center" vertical="center"/>
    </xf>
    <xf numFmtId="0" fontId="36" fillId="3" borderId="79" xfId="0" applyFont="1" applyFill="1" applyBorder="1" applyAlignment="1">
      <alignment vertical="center" wrapText="1"/>
    </xf>
    <xf numFmtId="0" fontId="36" fillId="3" borderId="76" xfId="0" applyFont="1" applyFill="1" applyBorder="1" applyAlignment="1">
      <alignment vertical="center" wrapText="1"/>
    </xf>
    <xf numFmtId="0" fontId="36" fillId="3" borderId="33" xfId="0" applyFont="1" applyFill="1" applyBorder="1" applyAlignment="1">
      <alignment vertical="center" wrapText="1"/>
    </xf>
    <xf numFmtId="2" fontId="3" fillId="3" borderId="61" xfId="0" applyNumberFormat="1" applyFont="1" applyFill="1" applyBorder="1" applyAlignment="1">
      <alignment horizontal="center"/>
    </xf>
    <xf numFmtId="0" fontId="3" fillId="3" borderId="29" xfId="0" applyFont="1" applyFill="1" applyBorder="1"/>
    <xf numFmtId="174" fontId="3" fillId="3" borderId="29" xfId="0" applyNumberFormat="1" applyFont="1" applyFill="1" applyBorder="1" applyAlignment="1">
      <alignment horizontal="center"/>
    </xf>
    <xf numFmtId="0" fontId="24" fillId="0" borderId="0" xfId="0" applyFont="1" applyAlignment="1">
      <alignment horizontal="center"/>
    </xf>
    <xf numFmtId="165" fontId="24" fillId="0" borderId="0" xfId="2" applyNumberFormat="1" applyFont="1" applyFill="1" applyBorder="1" applyAlignment="1">
      <alignment horizontal="center"/>
    </xf>
    <xf numFmtId="164" fontId="24" fillId="0" borderId="0" xfId="0" applyNumberFormat="1" applyFont="1"/>
    <xf numFmtId="0" fontId="24" fillId="0" borderId="0" xfId="0" applyFont="1"/>
    <xf numFmtId="165" fontId="24" fillId="0" borderId="0" xfId="0" applyNumberFormat="1" applyFont="1" applyAlignment="1">
      <alignment horizontal="center"/>
    </xf>
    <xf numFmtId="44" fontId="24" fillId="0" borderId="0" xfId="2" applyFont="1" applyFill="1" applyBorder="1" applyAlignment="1">
      <alignment horizontal="center"/>
    </xf>
    <xf numFmtId="0" fontId="28" fillId="0" borderId="0" xfId="0" applyFont="1"/>
    <xf numFmtId="0" fontId="29" fillId="0" borderId="0" xfId="0" applyFont="1"/>
    <xf numFmtId="165" fontId="29" fillId="0" borderId="0" xfId="2" applyNumberFormat="1" applyFont="1" applyFill="1" applyBorder="1"/>
    <xf numFmtId="164" fontId="22" fillId="0" borderId="0" xfId="1" applyNumberFormat="1" applyFont="1" applyFill="1" applyBorder="1"/>
    <xf numFmtId="44" fontId="22" fillId="0" borderId="0" xfId="2" applyFont="1" applyFill="1" applyBorder="1"/>
    <xf numFmtId="165" fontId="22" fillId="0" borderId="0" xfId="2" applyNumberFormat="1" applyFont="1" applyFill="1" applyBorder="1"/>
    <xf numFmtId="0" fontId="22" fillId="0" borderId="0" xfId="0" applyFont="1"/>
    <xf numFmtId="0" fontId="25" fillId="0" borderId="0" xfId="0" applyFont="1" applyAlignment="1">
      <alignment horizontal="center" vertical="center"/>
    </xf>
    <xf numFmtId="8" fontId="26" fillId="0" borderId="0" xfId="0" applyNumberFormat="1" applyFont="1" applyAlignment="1">
      <alignment vertical="center"/>
    </xf>
    <xf numFmtId="169" fontId="24" fillId="0" borderId="0" xfId="2" applyNumberFormat="1" applyFont="1" applyFill="1" applyBorder="1"/>
    <xf numFmtId="44" fontId="24" fillId="0" borderId="0" xfId="2" applyFont="1" applyFill="1" applyBorder="1"/>
    <xf numFmtId="44" fontId="24" fillId="0" borderId="0" xfId="0" applyNumberFormat="1" applyFont="1"/>
    <xf numFmtId="169" fontId="27" fillId="0" borderId="0" xfId="2" applyNumberFormat="1" applyFont="1" applyFill="1" applyBorder="1"/>
    <xf numFmtId="44" fontId="27" fillId="0" borderId="0" xfId="0" applyNumberFormat="1" applyFont="1" applyAlignment="1">
      <alignment horizontal="center"/>
    </xf>
    <xf numFmtId="0" fontId="57" fillId="11" borderId="0" xfId="0" applyFont="1" applyFill="1" applyAlignment="1">
      <alignment horizontal="center" vertical="center"/>
    </xf>
    <xf numFmtId="171" fontId="3" fillId="3" borderId="0" xfId="0" applyNumberFormat="1" applyFont="1" applyFill="1"/>
    <xf numFmtId="0" fontId="28" fillId="4" borderId="11" xfId="0" applyFont="1" applyFill="1" applyBorder="1"/>
    <xf numFmtId="0" fontId="29" fillId="4" borderId="0" xfId="0" applyFont="1" applyFill="1"/>
    <xf numFmtId="165" fontId="29" fillId="4" borderId="0" xfId="2" applyNumberFormat="1" applyFont="1" applyFill="1"/>
    <xf numFmtId="0" fontId="28" fillId="4" borderId="9" xfId="0" applyFont="1" applyFill="1" applyBorder="1"/>
    <xf numFmtId="0" fontId="28" fillId="4" borderId="21" xfId="0" applyFont="1" applyFill="1" applyBorder="1"/>
    <xf numFmtId="169" fontId="24" fillId="0" borderId="0" xfId="2" applyNumberFormat="1" applyFont="1"/>
    <xf numFmtId="44" fontId="24" fillId="0" borderId="0" xfId="2" applyFont="1"/>
    <xf numFmtId="169" fontId="24" fillId="0" borderId="33" xfId="2" applyNumberFormat="1" applyFont="1" applyBorder="1"/>
    <xf numFmtId="169" fontId="27" fillId="0" borderId="0" xfId="2" applyNumberFormat="1" applyFont="1"/>
    <xf numFmtId="165" fontId="5" fillId="0" borderId="0" xfId="2" applyNumberFormat="1" applyFont="1" applyFill="1"/>
    <xf numFmtId="44" fontId="3" fillId="0" borderId="0" xfId="2" applyFont="1" applyFill="1"/>
    <xf numFmtId="3" fontId="0" fillId="11" borderId="0" xfId="0" applyNumberFormat="1" applyFill="1"/>
    <xf numFmtId="0" fontId="3" fillId="11" borderId="0" xfId="0" applyFont="1" applyFill="1" applyAlignment="1">
      <alignment vertical="center"/>
    </xf>
    <xf numFmtId="0" fontId="28" fillId="4" borderId="0" xfId="0" applyFont="1" applyFill="1" applyAlignment="1">
      <alignment horizontal="center"/>
    </xf>
    <xf numFmtId="0" fontId="28" fillId="4" borderId="0" xfId="0" applyFont="1" applyFill="1"/>
    <xf numFmtId="0" fontId="24" fillId="4" borderId="0" xfId="0" applyFont="1" applyFill="1"/>
    <xf numFmtId="0" fontId="69" fillId="70" borderId="52" xfId="0" applyFont="1" applyFill="1" applyBorder="1" applyAlignment="1">
      <alignment horizontal="center" vertical="center"/>
    </xf>
    <xf numFmtId="0" fontId="69" fillId="70" borderId="23" xfId="0" applyFont="1" applyFill="1" applyBorder="1" applyAlignment="1">
      <alignment horizontal="center" vertical="center"/>
    </xf>
    <xf numFmtId="0" fontId="70" fillId="0" borderId="52" xfId="0" applyFont="1" applyBorder="1" applyAlignment="1">
      <alignment vertical="center"/>
    </xf>
    <xf numFmtId="8" fontId="70" fillId="0" borderId="23" xfId="0" applyNumberFormat="1" applyFont="1" applyBorder="1" applyAlignment="1">
      <alignment vertical="center"/>
    </xf>
    <xf numFmtId="44" fontId="19" fillId="0" borderId="0" xfId="2" applyFont="1"/>
    <xf numFmtId="0" fontId="64" fillId="0" borderId="0" xfId="0" applyFont="1"/>
    <xf numFmtId="174" fontId="36" fillId="11" borderId="29" xfId="0" applyNumberFormat="1" applyFont="1" applyFill="1" applyBorder="1" applyAlignment="1">
      <alignment horizontal="center" vertical="center"/>
    </xf>
    <xf numFmtId="0" fontId="36" fillId="11" borderId="71" xfId="0" applyFont="1" applyFill="1" applyBorder="1" applyAlignment="1">
      <alignment vertical="center" wrapText="1"/>
    </xf>
    <xf numFmtId="171" fontId="36" fillId="11" borderId="72" xfId="2" applyNumberFormat="1" applyFont="1" applyFill="1" applyBorder="1" applyAlignment="1">
      <alignment horizontal="right" vertical="center"/>
    </xf>
    <xf numFmtId="10" fontId="36" fillId="11" borderId="73" xfId="3" applyNumberFormat="1" applyFont="1" applyFill="1" applyBorder="1" applyAlignment="1">
      <alignment vertical="center"/>
    </xf>
    <xf numFmtId="0" fontId="3" fillId="11" borderId="29" xfId="0" applyFont="1" applyFill="1" applyBorder="1" applyAlignment="1">
      <alignment horizontal="center" vertical="center"/>
    </xf>
    <xf numFmtId="174" fontId="36" fillId="11" borderId="61" xfId="0" applyNumberFormat="1" applyFont="1" applyFill="1" applyBorder="1" applyAlignment="1">
      <alignment horizontal="center" vertical="center"/>
    </xf>
    <xf numFmtId="174" fontId="36" fillId="11" borderId="52" xfId="0" applyNumberFormat="1" applyFont="1" applyFill="1" applyBorder="1" applyAlignment="1">
      <alignment horizontal="center" vertical="center"/>
    </xf>
    <xf numFmtId="165" fontId="3" fillId="3" borderId="24" xfId="2" applyNumberFormat="1" applyFont="1" applyFill="1" applyBorder="1" applyAlignment="1">
      <alignment horizontal="center"/>
    </xf>
    <xf numFmtId="0" fontId="5" fillId="0" borderId="0" xfId="0" applyFont="1" applyAlignment="1">
      <alignment horizontal="left"/>
    </xf>
    <xf numFmtId="43" fontId="0" fillId="0" borderId="0" xfId="0" applyNumberFormat="1"/>
    <xf numFmtId="165" fontId="19" fillId="0" borderId="0" xfId="2" applyNumberFormat="1" applyFont="1"/>
    <xf numFmtId="0" fontId="24" fillId="4" borderId="0" xfId="0" applyFont="1" applyFill="1" applyAlignment="1">
      <alignment horizontal="center"/>
    </xf>
    <xf numFmtId="0" fontId="22" fillId="4" borderId="0" xfId="0" applyFont="1" applyFill="1"/>
    <xf numFmtId="164" fontId="22" fillId="4" borderId="0" xfId="1" applyNumberFormat="1" applyFont="1" applyFill="1" applyBorder="1"/>
    <xf numFmtId="44" fontId="22" fillId="4" borderId="0" xfId="2" applyFont="1" applyFill="1" applyBorder="1"/>
    <xf numFmtId="165" fontId="22" fillId="4" borderId="0" xfId="2" applyNumberFormat="1" applyFont="1" applyFill="1" applyBorder="1"/>
    <xf numFmtId="165" fontId="28" fillId="4" borderId="0" xfId="2" applyNumberFormat="1" applyFont="1" applyFill="1" applyBorder="1" applyAlignment="1">
      <alignment horizontal="left"/>
    </xf>
    <xf numFmtId="0" fontId="19" fillId="11" borderId="0" xfId="0" applyFont="1" applyFill="1"/>
    <xf numFmtId="164" fontId="0" fillId="11" borderId="0" xfId="1" applyNumberFormat="1" applyFont="1" applyFill="1"/>
    <xf numFmtId="0" fontId="3" fillId="3" borderId="0" xfId="0" applyFont="1" applyFill="1" applyAlignment="1">
      <alignment vertical="center" wrapText="1"/>
    </xf>
    <xf numFmtId="165" fontId="0" fillId="3" borderId="0" xfId="0" applyNumberFormat="1" applyFill="1"/>
    <xf numFmtId="0" fontId="74" fillId="0" borderId="0" xfId="0" applyFont="1"/>
    <xf numFmtId="0" fontId="0" fillId="0" borderId="2" xfId="0" applyBorder="1"/>
    <xf numFmtId="0" fontId="15" fillId="4" borderId="3" xfId="0" applyFont="1" applyFill="1" applyBorder="1" applyAlignment="1">
      <alignment horizontal="left"/>
    </xf>
    <xf numFmtId="0" fontId="15" fillId="4" borderId="3" xfId="0" applyFont="1" applyFill="1" applyBorder="1" applyAlignment="1">
      <alignment horizontal="center"/>
    </xf>
    <xf numFmtId="0" fontId="15" fillId="4" borderId="4" xfId="0" applyFont="1" applyFill="1" applyBorder="1" applyAlignment="1">
      <alignment horizontal="center"/>
    </xf>
    <xf numFmtId="0" fontId="0" fillId="0" borderId="30" xfId="0" applyBorder="1"/>
    <xf numFmtId="168" fontId="0" fillId="0" borderId="0" xfId="3" applyNumberFormat="1" applyFont="1" applyBorder="1"/>
    <xf numFmtId="164" fontId="0" fillId="0" borderId="0" xfId="1" applyNumberFormat="1" applyFont="1" applyBorder="1"/>
    <xf numFmtId="164" fontId="0" fillId="0" borderId="1" xfId="1" applyNumberFormat="1" applyFont="1" applyBorder="1"/>
    <xf numFmtId="0" fontId="19" fillId="0" borderId="25" xfId="0" applyFont="1" applyBorder="1"/>
    <xf numFmtId="0" fontId="19" fillId="0" borderId="33" xfId="0" applyFont="1" applyBorder="1"/>
    <xf numFmtId="164" fontId="19" fillId="0" borderId="33" xfId="1" applyNumberFormat="1" applyFont="1" applyBorder="1"/>
    <xf numFmtId="164" fontId="19" fillId="0" borderId="27" xfId="1" applyNumberFormat="1" applyFont="1" applyBorder="1"/>
    <xf numFmtId="0" fontId="15" fillId="4" borderId="2" xfId="0" applyFont="1" applyFill="1" applyBorder="1" applyAlignment="1">
      <alignment horizontal="left"/>
    </xf>
    <xf numFmtId="0" fontId="19" fillId="0" borderId="30" xfId="0" applyFont="1" applyBorder="1"/>
    <xf numFmtId="0" fontId="54" fillId="0" borderId="0" xfId="0" applyFont="1" applyAlignment="1">
      <alignment wrapText="1"/>
    </xf>
    <xf numFmtId="168" fontId="54" fillId="0" borderId="0" xfId="3" applyNumberFormat="1" applyFont="1" applyBorder="1"/>
    <xf numFmtId="164" fontId="54" fillId="0" borderId="0" xfId="1" applyNumberFormat="1" applyFont="1" applyBorder="1"/>
    <xf numFmtId="9" fontId="54" fillId="0" borderId="0" xfId="3" applyFont="1"/>
    <xf numFmtId="164" fontId="54" fillId="0" borderId="1" xfId="1" applyNumberFormat="1" applyFont="1" applyBorder="1"/>
    <xf numFmtId="0" fontId="19" fillId="0" borderId="0" xfId="0" applyFont="1" applyAlignment="1">
      <alignment horizontal="center" vertical="center" wrapText="1"/>
    </xf>
    <xf numFmtId="0" fontId="19" fillId="0" borderId="1" xfId="0" applyFont="1" applyBorder="1" applyAlignment="1">
      <alignment horizontal="center" vertical="center" wrapText="1"/>
    </xf>
    <xf numFmtId="0" fontId="0" fillId="0" borderId="33" xfId="0" applyBorder="1" applyAlignment="1">
      <alignment horizontal="center"/>
    </xf>
    <xf numFmtId="0" fontId="0" fillId="0" borderId="33" xfId="0" applyBorder="1" applyAlignment="1">
      <alignment horizontal="center" wrapText="1"/>
    </xf>
    <xf numFmtId="0" fontId="0" fillId="0" borderId="0" xfId="0" applyAlignment="1">
      <alignment horizontal="left" vertical="center"/>
    </xf>
    <xf numFmtId="0" fontId="0" fillId="0" borderId="0" xfId="0" applyAlignment="1">
      <alignment horizontal="center" vertical="center"/>
    </xf>
    <xf numFmtId="174" fontId="0" fillId="0" borderId="0" xfId="0" applyNumberFormat="1" applyAlignment="1">
      <alignment horizontal="center" vertical="center"/>
    </xf>
    <xf numFmtId="0" fontId="0" fillId="71" borderId="0" xfId="0" applyFill="1"/>
    <xf numFmtId="174" fontId="0" fillId="71" borderId="0" xfId="0" applyNumberFormat="1" applyFill="1" applyAlignment="1">
      <alignment horizontal="center" vertical="top"/>
    </xf>
    <xf numFmtId="0" fontId="0" fillId="0" borderId="33" xfId="0" applyBorder="1" applyAlignment="1">
      <alignment horizontal="left" vertical="center"/>
    </xf>
    <xf numFmtId="0" fontId="0" fillId="0" borderId="33" xfId="0" applyBorder="1" applyAlignment="1">
      <alignment horizontal="center" vertical="center"/>
    </xf>
    <xf numFmtId="174" fontId="0" fillId="0" borderId="33" xfId="0" applyNumberFormat="1" applyBorder="1" applyAlignment="1">
      <alignment horizontal="center" vertical="center"/>
    </xf>
    <xf numFmtId="0" fontId="19" fillId="0" borderId="0" xfId="0" applyFont="1" applyAlignment="1">
      <alignment horizontal="left" vertical="center"/>
    </xf>
    <xf numFmtId="0" fontId="19" fillId="0" borderId="0" xfId="0" applyFont="1" applyAlignment="1">
      <alignment horizontal="center" vertical="center"/>
    </xf>
    <xf numFmtId="174" fontId="19" fillId="0" borderId="0" xfId="0" applyNumberFormat="1" applyFont="1" applyAlignment="1">
      <alignment horizontal="center" vertical="center"/>
    </xf>
    <xf numFmtId="174" fontId="19" fillId="71" borderId="0" xfId="0" applyNumberFormat="1" applyFont="1" applyFill="1" applyAlignment="1">
      <alignment horizontal="center" vertical="top"/>
    </xf>
    <xf numFmtId="1" fontId="0" fillId="0" borderId="0" xfId="0" applyNumberFormat="1"/>
    <xf numFmtId="0" fontId="0" fillId="0" borderId="33" xfId="0" applyBorder="1"/>
    <xf numFmtId="0" fontId="15" fillId="12" borderId="0" xfId="0" applyFont="1" applyFill="1" applyAlignment="1">
      <alignment horizontal="center"/>
    </xf>
    <xf numFmtId="0" fontId="72" fillId="3" borderId="0" xfId="0" applyFont="1" applyFill="1" applyAlignment="1">
      <alignment horizontal="center"/>
    </xf>
    <xf numFmtId="10" fontId="11" fillId="3" borderId="0" xfId="3" applyNumberFormat="1" applyFont="1" applyFill="1" applyBorder="1" applyAlignment="1">
      <alignment horizontal="center" vertical="center"/>
    </xf>
    <xf numFmtId="164" fontId="19" fillId="3" borderId="0" xfId="1" applyNumberFormat="1" applyFont="1" applyFill="1"/>
    <xf numFmtId="0" fontId="72" fillId="26" borderId="0" xfId="0" applyFont="1" applyFill="1"/>
    <xf numFmtId="165" fontId="0" fillId="3" borderId="0" xfId="2" applyNumberFormat="1" applyFont="1" applyFill="1"/>
    <xf numFmtId="0" fontId="72" fillId="3" borderId="0" xfId="0" applyFont="1" applyFill="1"/>
    <xf numFmtId="0" fontId="53" fillId="3" borderId="0" xfId="0" applyFont="1" applyFill="1"/>
    <xf numFmtId="165" fontId="72" fillId="3" borderId="0" xfId="0" applyNumberFormat="1" applyFont="1" applyFill="1"/>
    <xf numFmtId="10" fontId="3" fillId="3" borderId="0" xfId="0" applyNumberFormat="1" applyFont="1" applyFill="1"/>
    <xf numFmtId="10" fontId="5" fillId="3" borderId="0" xfId="3" applyNumberFormat="1" applyFont="1" applyFill="1" applyBorder="1" applyAlignment="1">
      <alignment horizontal="center" vertical="center"/>
    </xf>
    <xf numFmtId="0" fontId="75" fillId="0" borderId="99" xfId="0" applyFont="1" applyBorder="1" applyAlignment="1">
      <alignment wrapText="1"/>
    </xf>
    <xf numFmtId="3" fontId="75" fillId="0" borderId="100" xfId="0" applyNumberFormat="1" applyFont="1" applyBorder="1" applyAlignment="1">
      <alignment wrapText="1"/>
    </xf>
    <xf numFmtId="0" fontId="75" fillId="0" borderId="100" xfId="0" applyFont="1" applyBorder="1" applyAlignment="1">
      <alignment wrapText="1"/>
    </xf>
    <xf numFmtId="0" fontId="77" fillId="0" borderId="0" xfId="0" applyFont="1" applyAlignment="1">
      <alignment wrapText="1"/>
    </xf>
    <xf numFmtId="3" fontId="77" fillId="0" borderId="0" xfId="0" applyNumberFormat="1" applyFont="1" applyAlignment="1">
      <alignment wrapText="1"/>
    </xf>
    <xf numFmtId="0" fontId="77" fillId="72" borderId="101" xfId="0" applyFont="1" applyFill="1" applyBorder="1" applyAlignment="1">
      <alignment wrapText="1"/>
    </xf>
    <xf numFmtId="3" fontId="77" fillId="72" borderId="102" xfId="0" applyNumberFormat="1" applyFont="1" applyFill="1" applyBorder="1" applyAlignment="1">
      <alignment wrapText="1"/>
    </xf>
    <xf numFmtId="44" fontId="5" fillId="0" borderId="0" xfId="2" applyFont="1" applyFill="1" applyAlignment="1">
      <alignment horizontal="center"/>
    </xf>
    <xf numFmtId="43" fontId="5" fillId="0" borderId="0" xfId="0" applyNumberFormat="1" applyFont="1"/>
    <xf numFmtId="164" fontId="5" fillId="0" borderId="0" xfId="0" applyNumberFormat="1" applyFont="1"/>
    <xf numFmtId="0" fontId="15" fillId="0" borderId="0" xfId="0" applyFont="1"/>
    <xf numFmtId="44" fontId="0" fillId="0" borderId="0" xfId="2" applyFont="1" applyFill="1"/>
    <xf numFmtId="44" fontId="3" fillId="0" borderId="0" xfId="0" applyNumberFormat="1" applyFont="1"/>
    <xf numFmtId="165" fontId="5" fillId="28" borderId="0" xfId="2" applyNumberFormat="1" applyFont="1" applyFill="1"/>
    <xf numFmtId="164" fontId="3" fillId="6" borderId="0" xfId="1" applyNumberFormat="1" applyFont="1" applyFill="1"/>
    <xf numFmtId="0" fontId="5" fillId="6" borderId="0" xfId="0" applyFont="1" applyFill="1" applyAlignment="1">
      <alignment horizontal="center"/>
    </xf>
    <xf numFmtId="44" fontId="5" fillId="6" borderId="0" xfId="2" applyFont="1" applyFill="1" applyAlignment="1">
      <alignment horizontal="center"/>
    </xf>
    <xf numFmtId="44" fontId="3" fillId="6" borderId="0" xfId="2" applyFont="1" applyFill="1"/>
    <xf numFmtId="0" fontId="3" fillId="64" borderId="0" xfId="0" applyFont="1" applyFill="1"/>
    <xf numFmtId="164" fontId="3" fillId="64" borderId="0" xfId="1" applyNumberFormat="1" applyFont="1" applyFill="1"/>
    <xf numFmtId="44" fontId="3" fillId="64" borderId="0" xfId="2" applyFont="1" applyFill="1"/>
    <xf numFmtId="0" fontId="5" fillId="64" borderId="0" xfId="0" applyFont="1" applyFill="1"/>
    <xf numFmtId="0" fontId="5" fillId="64" borderId="0" xfId="0" applyFont="1" applyFill="1" applyAlignment="1">
      <alignment horizontal="left"/>
    </xf>
    <xf numFmtId="164" fontId="5" fillId="64" borderId="0" xfId="0" applyNumberFormat="1" applyFont="1" applyFill="1" applyAlignment="1">
      <alignment horizontal="left"/>
    </xf>
    <xf numFmtId="0" fontId="3" fillId="18" borderId="0" xfId="0" applyFont="1" applyFill="1"/>
    <xf numFmtId="164" fontId="3" fillId="18" borderId="0" xfId="1" applyNumberFormat="1" applyFont="1" applyFill="1"/>
    <xf numFmtId="44" fontId="3" fillId="18" borderId="0" xfId="2" applyFont="1" applyFill="1"/>
    <xf numFmtId="43" fontId="3" fillId="18" borderId="0" xfId="0" applyNumberFormat="1" applyFont="1" applyFill="1"/>
    <xf numFmtId="43" fontId="3" fillId="6" borderId="0" xfId="0" applyNumberFormat="1" applyFont="1" applyFill="1"/>
    <xf numFmtId="165" fontId="72" fillId="3" borderId="0" xfId="2" applyNumberFormat="1" applyFont="1" applyFill="1"/>
    <xf numFmtId="0" fontId="3" fillId="0" borderId="0" xfId="0" applyFont="1" applyAlignment="1">
      <alignment horizontal="left" vertical="center"/>
    </xf>
    <xf numFmtId="44" fontId="3" fillId="0" borderId="0" xfId="2" applyFont="1" applyAlignment="1">
      <alignment horizontal="left" vertical="center"/>
    </xf>
    <xf numFmtId="164" fontId="3" fillId="0" borderId="0" xfId="1" applyNumberFormat="1" applyFont="1" applyFill="1" applyAlignment="1">
      <alignment horizontal="left" vertical="center"/>
    </xf>
    <xf numFmtId="43" fontId="3" fillId="0" borderId="0" xfId="0" applyNumberFormat="1" applyFont="1" applyAlignment="1">
      <alignment horizontal="left" vertical="center"/>
    </xf>
    <xf numFmtId="44" fontId="3" fillId="0" borderId="0" xfId="2" applyFont="1" applyFill="1" applyAlignment="1">
      <alignment horizontal="left" vertical="center"/>
    </xf>
    <xf numFmtId="165" fontId="3" fillId="0" borderId="0" xfId="2" applyNumberFormat="1" applyFont="1" applyFill="1" applyAlignment="1">
      <alignment horizontal="left" vertical="center"/>
    </xf>
    <xf numFmtId="164" fontId="3" fillId="0" borderId="0" xfId="0" applyNumberFormat="1" applyFont="1" applyAlignment="1">
      <alignment horizontal="left" vertical="center"/>
    </xf>
    <xf numFmtId="165" fontId="3" fillId="0" borderId="0" xfId="2" applyNumberFormat="1" applyFont="1" applyAlignment="1">
      <alignment horizontal="left" vertical="center"/>
    </xf>
    <xf numFmtId="164" fontId="3" fillId="0" borderId="0" xfId="1" applyNumberFormat="1" applyFont="1" applyAlignment="1">
      <alignment horizontal="left" vertical="center"/>
    </xf>
    <xf numFmtId="0" fontId="11" fillId="69" borderId="0" xfId="0" applyFont="1" applyFill="1" applyAlignment="1">
      <alignment horizontal="center" wrapText="1"/>
    </xf>
    <xf numFmtId="44" fontId="11" fillId="69" borderId="0" xfId="2" applyFont="1" applyFill="1" applyAlignment="1">
      <alignment horizontal="center" wrapText="1"/>
    </xf>
    <xf numFmtId="165" fontId="3" fillId="0" borderId="0" xfId="2" applyNumberFormat="1" applyFont="1" applyAlignment="1">
      <alignment horizontal="left" vertical="center" indent="2"/>
    </xf>
    <xf numFmtId="165" fontId="3" fillId="0" borderId="0" xfId="2" applyNumberFormat="1" applyFont="1" applyFill="1" applyAlignment="1">
      <alignment horizontal="left" vertical="center" indent="2"/>
    </xf>
    <xf numFmtId="164" fontId="15" fillId="4" borderId="0" xfId="0" applyNumberFormat="1" applyFont="1" applyFill="1"/>
    <xf numFmtId="165" fontId="15" fillId="4" borderId="0" xfId="2" applyNumberFormat="1" applyFont="1" applyFill="1"/>
    <xf numFmtId="165" fontId="19" fillId="3" borderId="0" xfId="2" applyNumberFormat="1" applyFont="1" applyFill="1"/>
    <xf numFmtId="164" fontId="5" fillId="0" borderId="0" xfId="1" applyNumberFormat="1" applyFont="1" applyFill="1"/>
    <xf numFmtId="0" fontId="19" fillId="3" borderId="0" xfId="0" applyFont="1" applyFill="1" applyAlignment="1">
      <alignment horizontal="center"/>
    </xf>
    <xf numFmtId="0" fontId="53" fillId="12" borderId="0" xfId="0" applyFont="1" applyFill="1"/>
    <xf numFmtId="165" fontId="72" fillId="13" borderId="0" xfId="0" applyNumberFormat="1" applyFont="1" applyFill="1"/>
    <xf numFmtId="0" fontId="15" fillId="5" borderId="0" xfId="0" applyFont="1" applyFill="1" applyAlignment="1">
      <alignment horizontal="center"/>
    </xf>
    <xf numFmtId="0" fontId="15" fillId="5" borderId="0" xfId="0" applyFont="1" applyFill="1"/>
    <xf numFmtId="165" fontId="15" fillId="5" borderId="0" xfId="2" applyNumberFormat="1" applyFont="1" applyFill="1"/>
    <xf numFmtId="165" fontId="15" fillId="5" borderId="0" xfId="0" applyNumberFormat="1" applyFont="1" applyFill="1"/>
    <xf numFmtId="165" fontId="72" fillId="26" borderId="0" xfId="2" applyNumberFormat="1" applyFont="1" applyFill="1"/>
    <xf numFmtId="0" fontId="15" fillId="3" borderId="0" xfId="0" applyFont="1" applyFill="1" applyAlignment="1">
      <alignment horizontal="center"/>
    </xf>
    <xf numFmtId="0" fontId="19" fillId="0" borderId="0" xfId="0" applyFont="1" applyAlignment="1">
      <alignment vertical="top"/>
    </xf>
    <xf numFmtId="0" fontId="19" fillId="0" borderId="0" xfId="0" applyFont="1" applyAlignment="1">
      <alignment horizontal="center" vertical="top" wrapText="1"/>
    </xf>
    <xf numFmtId="0" fontId="0" fillId="0" borderId="0" xfId="0" applyAlignment="1">
      <alignment vertical="top"/>
    </xf>
    <xf numFmtId="0" fontId="0" fillId="0" borderId="0" xfId="0" applyAlignment="1">
      <alignment horizontal="center" vertical="top" wrapText="1"/>
    </xf>
    <xf numFmtId="3" fontId="0" fillId="0" borderId="0" xfId="0" applyNumberFormat="1" applyAlignment="1">
      <alignment horizontal="center" vertical="top" wrapText="1"/>
    </xf>
    <xf numFmtId="164" fontId="21" fillId="0" borderId="0" xfId="1" applyNumberFormat="1" applyFont="1"/>
    <xf numFmtId="0" fontId="15" fillId="4" borderId="0" xfId="0" applyFont="1" applyFill="1" applyAlignment="1">
      <alignment horizontal="center"/>
    </xf>
    <xf numFmtId="3" fontId="60" fillId="3" borderId="0" xfId="1" applyNumberFormat="1" applyFont="1" applyFill="1" applyBorder="1" applyAlignment="1">
      <alignment horizontal="center" vertical="center"/>
    </xf>
    <xf numFmtId="0" fontId="59" fillId="3" borderId="0" xfId="0" applyFont="1" applyFill="1" applyAlignment="1">
      <alignment horizontal="left" vertical="center" wrapText="1"/>
    </xf>
    <xf numFmtId="167" fontId="60" fillId="3" borderId="0" xfId="3" applyNumberFormat="1" applyFont="1" applyFill="1" applyBorder="1" applyAlignment="1">
      <alignment horizontal="center" vertical="center"/>
    </xf>
    <xf numFmtId="0" fontId="57" fillId="3" borderId="0" xfId="0" applyFont="1" applyFill="1" applyAlignment="1">
      <alignment horizontal="center" vertical="center" wrapText="1"/>
    </xf>
    <xf numFmtId="0" fontId="3" fillId="3" borderId="24" xfId="0" applyFont="1" applyFill="1" applyBorder="1" applyAlignment="1">
      <alignment horizontal="center"/>
    </xf>
    <xf numFmtId="0" fontId="2" fillId="4" borderId="7" xfId="0" applyFont="1" applyFill="1" applyBorder="1" applyAlignment="1">
      <alignment horizontal="center"/>
    </xf>
    <xf numFmtId="0" fontId="3" fillId="3" borderId="17" xfId="0" applyFont="1" applyFill="1" applyBorder="1" applyAlignment="1">
      <alignment horizontal="center"/>
    </xf>
    <xf numFmtId="0" fontId="3" fillId="9" borderId="27" xfId="0" applyFont="1" applyFill="1" applyBorder="1" applyAlignment="1">
      <alignment horizontal="left"/>
    </xf>
    <xf numFmtId="0" fontId="3" fillId="9" borderId="24" xfId="0" applyFont="1" applyFill="1" applyBorder="1" applyAlignment="1">
      <alignment horizontal="left"/>
    </xf>
    <xf numFmtId="0" fontId="3" fillId="9" borderId="36" xfId="0" applyFont="1" applyFill="1" applyBorder="1" applyAlignment="1">
      <alignment horizontal="left"/>
    </xf>
    <xf numFmtId="0" fontId="3" fillId="3" borderId="0" xfId="0" applyFont="1" applyFill="1" applyAlignment="1">
      <alignment horizontal="left"/>
    </xf>
    <xf numFmtId="0" fontId="3" fillId="3" borderId="30" xfId="0" applyFont="1" applyFill="1" applyBorder="1" applyAlignment="1">
      <alignment horizontal="left"/>
    </xf>
    <xf numFmtId="0" fontId="3" fillId="3" borderId="1" xfId="0" applyFont="1" applyFill="1" applyBorder="1" applyAlignment="1">
      <alignment horizontal="left"/>
    </xf>
    <xf numFmtId="0" fontId="12" fillId="24" borderId="8" xfId="0" applyFont="1" applyFill="1" applyBorder="1" applyAlignment="1">
      <alignment horizontal="left" vertical="top"/>
    </xf>
    <xf numFmtId="0" fontId="2" fillId="4" borderId="24" xfId="0" applyFont="1" applyFill="1" applyBorder="1" applyAlignment="1">
      <alignment horizontal="center"/>
    </xf>
    <xf numFmtId="0" fontId="11" fillId="12" borderId="8" xfId="0" applyFont="1" applyFill="1" applyBorder="1" applyAlignment="1">
      <alignment horizontal="left" vertical="center" wrapText="1"/>
    </xf>
    <xf numFmtId="0" fontId="38" fillId="24" borderId="39" xfId="0" applyFont="1" applyFill="1" applyBorder="1" applyAlignment="1">
      <alignment horizontal="left" vertical="center" wrapText="1"/>
    </xf>
    <xf numFmtId="0" fontId="32" fillId="4" borderId="52" xfId="0" applyFont="1" applyFill="1" applyBorder="1" applyAlignment="1">
      <alignment horizontal="center" vertical="center"/>
    </xf>
    <xf numFmtId="0" fontId="38" fillId="24" borderId="20" xfId="0" applyFont="1" applyFill="1" applyBorder="1" applyAlignment="1">
      <alignment horizontal="left" vertical="center" wrapText="1"/>
    </xf>
    <xf numFmtId="0" fontId="17" fillId="17" borderId="13" xfId="0" applyFont="1" applyFill="1" applyBorder="1" applyAlignment="1">
      <alignment horizontal="center" vertical="top" wrapText="1"/>
    </xf>
    <xf numFmtId="165" fontId="3" fillId="3" borderId="1" xfId="2" applyNumberFormat="1" applyFont="1" applyFill="1" applyBorder="1" applyAlignment="1">
      <alignment horizontal="center"/>
    </xf>
    <xf numFmtId="0" fontId="4" fillId="5" borderId="0" xfId="0" applyFont="1" applyFill="1" applyAlignment="1">
      <alignment horizontal="left"/>
    </xf>
    <xf numFmtId="10" fontId="3" fillId="3" borderId="0" xfId="3" applyNumberFormat="1" applyFont="1" applyFill="1" applyBorder="1"/>
    <xf numFmtId="165" fontId="3" fillId="3" borderId="0" xfId="2" applyNumberFormat="1" applyFont="1" applyFill="1" applyBorder="1" applyAlignment="1">
      <alignment horizontal="center" vertical="top"/>
    </xf>
    <xf numFmtId="0" fontId="3" fillId="0" borderId="0" xfId="0" applyFont="1" applyAlignment="1">
      <alignment vertical="center" wrapText="1"/>
    </xf>
    <xf numFmtId="164" fontId="3" fillId="0" borderId="0" xfId="0" applyNumberFormat="1" applyFont="1"/>
    <xf numFmtId="0" fontId="2" fillId="12" borderId="0" xfId="0" applyFont="1" applyFill="1" applyAlignment="1">
      <alignment horizontal="center"/>
    </xf>
    <xf numFmtId="0" fontId="4" fillId="78" borderId="0" xfId="0" applyFont="1" applyFill="1" applyAlignment="1">
      <alignment horizontal="left"/>
    </xf>
    <xf numFmtId="164" fontId="3" fillId="3" borderId="0" xfId="0" applyNumberFormat="1" applyFont="1" applyFill="1" applyAlignment="1">
      <alignment horizontal="left" vertical="center"/>
    </xf>
    <xf numFmtId="0" fontId="0" fillId="0" borderId="0" xfId="0" applyAlignment="1">
      <alignment horizontal="left"/>
    </xf>
    <xf numFmtId="0" fontId="0" fillId="3" borderId="30" xfId="0" applyFill="1" applyBorder="1" applyAlignment="1">
      <alignment horizontal="left"/>
    </xf>
    <xf numFmtId="0" fontId="0" fillId="3" borderId="25" xfId="0" applyFill="1" applyBorder="1" applyAlignment="1">
      <alignment horizontal="left"/>
    </xf>
    <xf numFmtId="0" fontId="41" fillId="5" borderId="0" xfId="0" applyFont="1" applyFill="1"/>
    <xf numFmtId="0" fontId="4" fillId="5" borderId="0" xfId="0" applyFont="1" applyFill="1" applyAlignment="1">
      <alignment horizontal="right"/>
    </xf>
    <xf numFmtId="164" fontId="3" fillId="3" borderId="0" xfId="0" applyNumberFormat="1" applyFont="1" applyFill="1" applyAlignment="1">
      <alignment horizontal="right" vertical="center"/>
    </xf>
    <xf numFmtId="0" fontId="0" fillId="0" borderId="0" xfId="0" applyAlignment="1">
      <alignment horizontal="right"/>
    </xf>
    <xf numFmtId="0" fontId="12" fillId="3" borderId="0" xfId="0" applyFont="1" applyFill="1"/>
    <xf numFmtId="0" fontId="12" fillId="0" borderId="0" xfId="0" applyFont="1"/>
    <xf numFmtId="0" fontId="16" fillId="3" borderId="0" xfId="0" applyFont="1" applyFill="1" applyAlignment="1">
      <alignment vertical="center"/>
    </xf>
    <xf numFmtId="165" fontId="16" fillId="3" borderId="0" xfId="2" applyNumberFormat="1" applyFont="1" applyFill="1" applyBorder="1" applyAlignment="1">
      <alignment horizontal="center"/>
    </xf>
    <xf numFmtId="165" fontId="16" fillId="3" borderId="0" xfId="2" applyNumberFormat="1" applyFont="1" applyFill="1" applyBorder="1" applyAlignment="1">
      <alignment vertical="center"/>
    </xf>
    <xf numFmtId="164" fontId="5" fillId="3" borderId="0" xfId="0" applyNumberFormat="1" applyFont="1" applyFill="1" applyAlignment="1">
      <alignment horizontal="left" vertical="center"/>
    </xf>
    <xf numFmtId="0" fontId="5" fillId="0" borderId="0" xfId="0" applyFont="1" applyAlignment="1">
      <alignment horizontal="right"/>
    </xf>
    <xf numFmtId="0" fontId="12" fillId="78" borderId="0" xfId="0" applyFont="1" applyFill="1"/>
    <xf numFmtId="0" fontId="5" fillId="0" borderId="0" xfId="0" applyFont="1" applyAlignment="1">
      <alignment wrapText="1"/>
    </xf>
    <xf numFmtId="0" fontId="3" fillId="0" borderId="0" xfId="0" applyFont="1" applyAlignment="1">
      <alignment wrapText="1"/>
    </xf>
    <xf numFmtId="0" fontId="2" fillId="12" borderId="0" xfId="0" applyFont="1" applyFill="1" applyAlignment="1">
      <alignment horizontal="left"/>
    </xf>
    <xf numFmtId="0" fontId="2" fillId="12" borderId="1" xfId="0" applyFont="1" applyFill="1" applyBorder="1" applyAlignment="1">
      <alignment horizontal="center"/>
    </xf>
    <xf numFmtId="0" fontId="41" fillId="5" borderId="30" xfId="0" applyFont="1" applyFill="1" applyBorder="1"/>
    <xf numFmtId="0" fontId="4" fillId="5" borderId="1" xfId="0" applyFont="1" applyFill="1" applyBorder="1" applyAlignment="1">
      <alignment horizontal="left"/>
    </xf>
    <xf numFmtId="165" fontId="5" fillId="3" borderId="1" xfId="2" applyNumberFormat="1" applyFont="1" applyFill="1" applyBorder="1" applyAlignment="1">
      <alignment horizontal="center"/>
    </xf>
    <xf numFmtId="164" fontId="5" fillId="3" borderId="1" xfId="0" applyNumberFormat="1" applyFont="1" applyFill="1" applyBorder="1" applyAlignment="1">
      <alignment horizontal="center" vertical="center"/>
    </xf>
    <xf numFmtId="0" fontId="2" fillId="3" borderId="30" xfId="0" applyFont="1" applyFill="1" applyBorder="1" applyAlignment="1">
      <alignment horizontal="center"/>
    </xf>
    <xf numFmtId="0" fontId="3" fillId="0" borderId="1" xfId="0" applyFont="1" applyBorder="1"/>
    <xf numFmtId="165" fontId="16" fillId="3" borderId="0" xfId="2" applyNumberFormat="1" applyFont="1" applyFill="1" applyBorder="1" applyAlignment="1">
      <alignment horizontal="right"/>
    </xf>
    <xf numFmtId="0" fontId="71" fillId="78" borderId="0" xfId="0" applyFont="1" applyFill="1"/>
    <xf numFmtId="0" fontId="41" fillId="78" borderId="0" xfId="0" applyFont="1" applyFill="1"/>
    <xf numFmtId="0" fontId="79" fillId="78" borderId="0" xfId="0" applyFont="1" applyFill="1" applyAlignment="1">
      <alignment horizontal="left"/>
    </xf>
    <xf numFmtId="0" fontId="79" fillId="78" borderId="0" xfId="0" applyFont="1" applyFill="1" applyAlignment="1">
      <alignment horizontal="right"/>
    </xf>
    <xf numFmtId="0" fontId="71" fillId="78" borderId="0" xfId="0" applyFont="1" applyFill="1" applyAlignment="1">
      <alignment horizontal="left"/>
    </xf>
    <xf numFmtId="164" fontId="5" fillId="78" borderId="1" xfId="0" applyNumberFormat="1" applyFont="1" applyFill="1" applyBorder="1" applyAlignment="1">
      <alignment horizontal="center" vertical="center"/>
    </xf>
    <xf numFmtId="0" fontId="4" fillId="78" borderId="30" xfId="0" applyFont="1" applyFill="1" applyBorder="1" applyAlignment="1">
      <alignment horizontal="left"/>
    </xf>
    <xf numFmtId="0" fontId="4" fillId="73" borderId="25" xfId="0" applyFont="1" applyFill="1" applyBorder="1" applyAlignment="1">
      <alignment horizontal="left"/>
    </xf>
    <xf numFmtId="0" fontId="41" fillId="73" borderId="33" xfId="0" applyFont="1" applyFill="1" applyBorder="1"/>
    <xf numFmtId="0" fontId="4" fillId="73" borderId="33" xfId="0" applyFont="1" applyFill="1" applyBorder="1" applyAlignment="1">
      <alignment horizontal="left"/>
    </xf>
    <xf numFmtId="0" fontId="4" fillId="73" borderId="33" xfId="0" applyFont="1" applyFill="1" applyBorder="1" applyAlignment="1">
      <alignment horizontal="right"/>
    </xf>
    <xf numFmtId="164" fontId="11" fillId="73" borderId="27" xfId="0" applyNumberFormat="1" applyFont="1" applyFill="1" applyBorder="1" applyAlignment="1">
      <alignment horizontal="center" vertical="center"/>
    </xf>
    <xf numFmtId="0" fontId="16" fillId="3" borderId="0" xfId="0" applyFont="1" applyFill="1" applyAlignment="1">
      <alignment horizontal="center"/>
    </xf>
    <xf numFmtId="0" fontId="3" fillId="3" borderId="2" xfId="0" applyFont="1" applyFill="1" applyBorder="1"/>
    <xf numFmtId="0" fontId="3" fillId="3" borderId="3" xfId="0" applyFont="1" applyFill="1" applyBorder="1"/>
    <xf numFmtId="0" fontId="16" fillId="3" borderId="30" xfId="0" applyFont="1" applyFill="1" applyBorder="1" applyAlignment="1">
      <alignment horizontal="center"/>
    </xf>
    <xf numFmtId="0" fontId="16" fillId="78" borderId="30" xfId="0" applyFont="1" applyFill="1" applyBorder="1" applyAlignment="1">
      <alignment horizontal="center"/>
    </xf>
    <xf numFmtId="0" fontId="16" fillId="79" borderId="1" xfId="0" applyFont="1" applyFill="1" applyBorder="1"/>
    <xf numFmtId="0" fontId="3" fillId="81" borderId="0" xfId="0" applyFont="1" applyFill="1"/>
    <xf numFmtId="0" fontId="5" fillId="81" borderId="0" xfId="0" applyFont="1" applyFill="1"/>
    <xf numFmtId="0" fontId="12" fillId="81" borderId="0" xfId="0" applyFont="1" applyFill="1"/>
    <xf numFmtId="0" fontId="16" fillId="81" borderId="0" xfId="0" applyFont="1" applyFill="1"/>
    <xf numFmtId="0" fontId="0" fillId="81" borderId="0" xfId="0" applyFill="1"/>
    <xf numFmtId="0" fontId="72" fillId="81" borderId="0" xfId="0" applyFont="1" applyFill="1"/>
    <xf numFmtId="0" fontId="15" fillId="81" borderId="0" xfId="0" applyFont="1" applyFill="1"/>
    <xf numFmtId="0" fontId="53" fillId="81" borderId="0" xfId="0" applyFont="1" applyFill="1"/>
    <xf numFmtId="0" fontId="0" fillId="81" borderId="0" xfId="0" applyFill="1" applyAlignment="1">
      <alignment horizontal="center"/>
    </xf>
    <xf numFmtId="0" fontId="2" fillId="12" borderId="30" xfId="0" applyFont="1" applyFill="1" applyBorder="1" applyAlignment="1">
      <alignment horizontal="center"/>
    </xf>
    <xf numFmtId="0" fontId="2" fillId="12" borderId="0" xfId="0" applyFont="1" applyFill="1"/>
    <xf numFmtId="0" fontId="15" fillId="12" borderId="0" xfId="0" applyFont="1" applyFill="1"/>
    <xf numFmtId="0" fontId="72" fillId="78" borderId="0" xfId="0" applyFont="1" applyFill="1" applyAlignment="1">
      <alignment horizontal="center"/>
    </xf>
    <xf numFmtId="164" fontId="72" fillId="3" borderId="0" xfId="1" applyNumberFormat="1" applyFont="1" applyFill="1" applyAlignment="1">
      <alignment horizontal="center"/>
    </xf>
    <xf numFmtId="165" fontId="72" fillId="0" borderId="0" xfId="2" applyNumberFormat="1" applyFont="1"/>
    <xf numFmtId="9" fontId="15" fillId="81" borderId="0" xfId="0" applyNumberFormat="1" applyFont="1" applyFill="1"/>
    <xf numFmtId="0" fontId="72" fillId="81" borderId="0" xfId="0" applyFont="1" applyFill="1" applyAlignment="1">
      <alignment horizontal="center"/>
    </xf>
    <xf numFmtId="165" fontId="72" fillId="81" borderId="0" xfId="2" applyNumberFormat="1" applyFont="1" applyFill="1"/>
    <xf numFmtId="165" fontId="15" fillId="81" borderId="0" xfId="0" applyNumberFormat="1" applyFont="1" applyFill="1"/>
    <xf numFmtId="165" fontId="72" fillId="81" borderId="0" xfId="0" applyNumberFormat="1" applyFont="1" applyFill="1"/>
    <xf numFmtId="0" fontId="12" fillId="78" borderId="30" xfId="0" applyFont="1" applyFill="1" applyBorder="1"/>
    <xf numFmtId="0" fontId="12" fillId="78" borderId="1" xfId="0" applyFont="1" applyFill="1" applyBorder="1"/>
    <xf numFmtId="0" fontId="5" fillId="3" borderId="0" xfId="0" applyFont="1" applyFill="1" applyAlignment="1">
      <alignment horizontal="left" vertical="center"/>
    </xf>
    <xf numFmtId="0" fontId="11" fillId="12" borderId="0" xfId="0" applyFont="1" applyFill="1" applyAlignment="1">
      <alignment horizontal="center"/>
    </xf>
    <xf numFmtId="0" fontId="2" fillId="3" borderId="0" xfId="0" applyFont="1" applyFill="1" applyAlignment="1">
      <alignment horizontal="center" wrapText="1"/>
    </xf>
    <xf numFmtId="0" fontId="4" fillId="75" borderId="30" xfId="0" applyFont="1" applyFill="1" applyBorder="1" applyAlignment="1">
      <alignment horizontal="left"/>
    </xf>
    <xf numFmtId="0" fontId="71" fillId="75" borderId="0" xfId="0" applyFont="1" applyFill="1" applyAlignment="1">
      <alignment horizontal="left"/>
    </xf>
    <xf numFmtId="0" fontId="41" fillId="75" borderId="0" xfId="0" applyFont="1" applyFill="1"/>
    <xf numFmtId="0" fontId="4" fillId="75" borderId="0" xfId="0" applyFont="1" applyFill="1" applyAlignment="1">
      <alignment horizontal="left"/>
    </xf>
    <xf numFmtId="164" fontId="5" fillId="75" borderId="1" xfId="0" applyNumberFormat="1" applyFont="1" applyFill="1" applyBorder="1" applyAlignment="1">
      <alignment horizontal="center" vertical="center"/>
    </xf>
    <xf numFmtId="0" fontId="4" fillId="79" borderId="30" xfId="0" applyFont="1" applyFill="1" applyBorder="1" applyAlignment="1">
      <alignment horizontal="left"/>
    </xf>
    <xf numFmtId="0" fontId="71" fillId="79" borderId="0" xfId="0" applyFont="1" applyFill="1"/>
    <xf numFmtId="0" fontId="41" fillId="79" borderId="0" xfId="0" applyFont="1" applyFill="1"/>
    <xf numFmtId="0" fontId="79" fillId="79" borderId="0" xfId="0" applyFont="1" applyFill="1" applyAlignment="1">
      <alignment horizontal="left"/>
    </xf>
    <xf numFmtId="0" fontId="79" fillId="79" borderId="0" xfId="0" applyFont="1" applyFill="1" applyAlignment="1">
      <alignment horizontal="right"/>
    </xf>
    <xf numFmtId="164" fontId="5" fillId="79" borderId="1" xfId="0" applyNumberFormat="1" applyFont="1" applyFill="1" applyBorder="1" applyAlignment="1">
      <alignment horizontal="center" vertical="center"/>
    </xf>
    <xf numFmtId="0" fontId="71" fillId="79" borderId="0" xfId="0" applyFont="1" applyFill="1" applyAlignment="1">
      <alignment horizontal="left"/>
    </xf>
    <xf numFmtId="0" fontId="4" fillId="79" borderId="0" xfId="0" applyFont="1" applyFill="1" applyAlignment="1">
      <alignment horizontal="left"/>
    </xf>
    <xf numFmtId="0" fontId="2" fillId="3" borderId="30" xfId="0" applyFont="1" applyFill="1" applyBorder="1" applyAlignment="1">
      <alignment horizontal="center" wrapText="1"/>
    </xf>
    <xf numFmtId="164" fontId="3" fillId="3" borderId="0" xfId="0" applyNumberFormat="1" applyFont="1" applyFill="1" applyAlignment="1">
      <alignment horizontal="left" vertical="center" wrapText="1"/>
    </xf>
    <xf numFmtId="164" fontId="3" fillId="3" borderId="0" xfId="0" applyNumberFormat="1" applyFont="1" applyFill="1" applyAlignment="1">
      <alignment horizontal="right" vertical="center" wrapText="1"/>
    </xf>
    <xf numFmtId="165" fontId="3" fillId="3" borderId="1" xfId="2" applyNumberFormat="1" applyFont="1" applyFill="1" applyBorder="1" applyAlignment="1">
      <alignment horizontal="center" wrapText="1"/>
    </xf>
    <xf numFmtId="9" fontId="3" fillId="3" borderId="0" xfId="3" applyFont="1" applyFill="1" applyBorder="1" applyAlignment="1">
      <alignment horizontal="right" vertical="center"/>
    </xf>
    <xf numFmtId="164" fontId="5" fillId="3" borderId="1" xfId="0" quotePrefix="1" applyNumberFormat="1" applyFont="1" applyFill="1" applyBorder="1" applyAlignment="1">
      <alignment horizontal="center" vertical="center"/>
    </xf>
    <xf numFmtId="0" fontId="16" fillId="79" borderId="30" xfId="0" applyFont="1" applyFill="1" applyBorder="1" applyAlignment="1">
      <alignment horizontal="center"/>
    </xf>
    <xf numFmtId="165" fontId="16" fillId="3" borderId="0" xfId="2" applyNumberFormat="1" applyFont="1" applyFill="1" applyBorder="1" applyAlignment="1">
      <alignment horizontal="center" vertical="center"/>
    </xf>
    <xf numFmtId="0" fontId="72" fillId="81" borderId="0" xfId="0" applyFont="1" applyFill="1" applyAlignment="1">
      <alignment horizontal="left" vertical="center"/>
    </xf>
    <xf numFmtId="0" fontId="72" fillId="79" borderId="0" xfId="0" applyFont="1" applyFill="1" applyAlignment="1">
      <alignment horizontal="left" vertical="center"/>
    </xf>
    <xf numFmtId="0" fontId="72" fillId="26" borderId="0" xfId="0" applyFont="1" applyFill="1" applyAlignment="1">
      <alignment horizontal="center"/>
    </xf>
    <xf numFmtId="165" fontId="72" fillId="26" borderId="0" xfId="0" applyNumberFormat="1" applyFont="1" applyFill="1"/>
    <xf numFmtId="0" fontId="16" fillId="3" borderId="0" xfId="0" applyFont="1" applyFill="1" applyAlignment="1">
      <alignment vertical="center" wrapText="1"/>
    </xf>
    <xf numFmtId="0" fontId="73" fillId="79" borderId="0" xfId="0" applyFont="1" applyFill="1" applyAlignment="1">
      <alignment horizontal="left" vertical="center"/>
    </xf>
    <xf numFmtId="0" fontId="12" fillId="3" borderId="0" xfId="0" applyFont="1" applyFill="1" applyAlignment="1">
      <alignment vertical="center"/>
    </xf>
    <xf numFmtId="0" fontId="79" fillId="77" borderId="0" xfId="0" applyFont="1" applyFill="1" applyAlignment="1">
      <alignment horizontal="left"/>
    </xf>
    <xf numFmtId="0" fontId="71" fillId="77" borderId="0" xfId="0" applyFont="1" applyFill="1"/>
    <xf numFmtId="0" fontId="79" fillId="77" borderId="0" xfId="0" applyFont="1" applyFill="1" applyAlignment="1">
      <alignment horizontal="right"/>
    </xf>
    <xf numFmtId="164" fontId="5" fillId="77" borderId="1" xfId="0" applyNumberFormat="1" applyFont="1" applyFill="1" applyBorder="1" applyAlignment="1">
      <alignment horizontal="center" vertical="center"/>
    </xf>
    <xf numFmtId="0" fontId="41" fillId="77" borderId="0" xfId="0" applyFont="1" applyFill="1"/>
    <xf numFmtId="0" fontId="4" fillId="77" borderId="30" xfId="0" applyFont="1" applyFill="1" applyBorder="1" applyAlignment="1">
      <alignment horizontal="left"/>
    </xf>
    <xf numFmtId="0" fontId="71" fillId="77" borderId="0" xfId="0" applyFont="1" applyFill="1" applyAlignment="1">
      <alignment horizontal="left"/>
    </xf>
    <xf numFmtId="0" fontId="4" fillId="77" borderId="0" xfId="0" applyFont="1" applyFill="1" applyAlignment="1">
      <alignment horizontal="left"/>
    </xf>
    <xf numFmtId="176" fontId="3" fillId="3" borderId="0" xfId="0" applyNumberFormat="1" applyFont="1" applyFill="1" applyAlignment="1">
      <alignment horizontal="right" vertical="center"/>
    </xf>
    <xf numFmtId="164" fontId="16" fillId="3" borderId="0" xfId="1" applyNumberFormat="1" applyFont="1" applyFill="1" applyBorder="1" applyAlignment="1">
      <alignment horizontal="center"/>
    </xf>
    <xf numFmtId="0" fontId="12" fillId="77" borderId="30" xfId="0" applyFont="1" applyFill="1" applyBorder="1"/>
    <xf numFmtId="0" fontId="12" fillId="77" borderId="0" xfId="0" applyFont="1" applyFill="1"/>
    <xf numFmtId="0" fontId="12" fillId="77" borderId="1" xfId="0" applyFont="1" applyFill="1" applyBorder="1"/>
    <xf numFmtId="0" fontId="72" fillId="77" borderId="0" xfId="0" applyFont="1" applyFill="1" applyAlignment="1">
      <alignment horizontal="center"/>
    </xf>
    <xf numFmtId="0" fontId="2" fillId="85" borderId="30" xfId="0" applyFont="1" applyFill="1" applyBorder="1" applyAlignment="1">
      <alignment horizontal="center" wrapText="1"/>
    </xf>
    <xf numFmtId="0" fontId="16" fillId="85" borderId="0" xfId="0" applyFont="1" applyFill="1" applyAlignment="1">
      <alignment horizontal="left" vertical="top" wrapText="1"/>
    </xf>
    <xf numFmtId="0" fontId="2" fillId="86" borderId="30" xfId="0" applyFont="1" applyFill="1" applyBorder="1" applyAlignment="1">
      <alignment horizontal="center" wrapText="1"/>
    </xf>
    <xf numFmtId="0" fontId="16" fillId="86" borderId="0" xfId="0" applyFont="1" applyFill="1" applyAlignment="1">
      <alignment horizontal="left" vertical="top" wrapText="1"/>
    </xf>
    <xf numFmtId="0" fontId="2" fillId="87" borderId="30" xfId="0" applyFont="1" applyFill="1" applyBorder="1" applyAlignment="1">
      <alignment horizontal="center" wrapText="1"/>
    </xf>
    <xf numFmtId="0" fontId="16" fillId="87" borderId="0" xfId="0" applyFont="1" applyFill="1" applyAlignment="1">
      <alignment horizontal="left" vertical="top" wrapText="1"/>
    </xf>
    <xf numFmtId="0" fontId="2" fillId="89" borderId="30" xfId="0" applyFont="1" applyFill="1" applyBorder="1" applyAlignment="1">
      <alignment horizontal="center" wrapText="1"/>
    </xf>
    <xf numFmtId="0" fontId="16" fillId="89" borderId="0" xfId="0" applyFont="1" applyFill="1" applyAlignment="1">
      <alignment horizontal="left" vertical="top" wrapText="1"/>
    </xf>
    <xf numFmtId="0" fontId="2" fillId="89" borderId="30" xfId="0" applyFont="1" applyFill="1" applyBorder="1" applyAlignment="1">
      <alignment horizontal="center"/>
    </xf>
    <xf numFmtId="0" fontId="7" fillId="89" borderId="0" xfId="0" applyFont="1" applyFill="1" applyAlignment="1">
      <alignment vertical="center"/>
    </xf>
    <xf numFmtId="0" fontId="3" fillId="89" borderId="0" xfId="0" applyFont="1" applyFill="1" applyAlignment="1">
      <alignment vertical="center"/>
    </xf>
    <xf numFmtId="164" fontId="5" fillId="89" borderId="0" xfId="0" applyNumberFormat="1" applyFont="1" applyFill="1" applyAlignment="1">
      <alignment horizontal="left" vertical="center"/>
    </xf>
    <xf numFmtId="164" fontId="3" fillId="89" borderId="0" xfId="0" applyNumberFormat="1" applyFont="1" applyFill="1" applyAlignment="1">
      <alignment horizontal="right" vertical="center"/>
    </xf>
    <xf numFmtId="164" fontId="5" fillId="89" borderId="1" xfId="0" applyNumberFormat="1" applyFont="1" applyFill="1" applyBorder="1" applyAlignment="1">
      <alignment horizontal="center" vertical="center"/>
    </xf>
    <xf numFmtId="165" fontId="72" fillId="89" borderId="0" xfId="0" applyNumberFormat="1" applyFont="1" applyFill="1"/>
    <xf numFmtId="0" fontId="12" fillId="89" borderId="0" xfId="0" applyFont="1" applyFill="1" applyAlignment="1">
      <alignment horizontal="left"/>
    </xf>
    <xf numFmtId="0" fontId="12" fillId="89" borderId="30" xfId="0" applyFont="1" applyFill="1" applyBorder="1" applyAlignment="1">
      <alignment horizontal="left"/>
    </xf>
    <xf numFmtId="0" fontId="16" fillId="89" borderId="30" xfId="0" applyFont="1" applyFill="1" applyBorder="1" applyAlignment="1">
      <alignment horizontal="center"/>
    </xf>
    <xf numFmtId="165" fontId="5" fillId="89" borderId="0" xfId="2" applyNumberFormat="1" applyFont="1" applyFill="1" applyBorder="1" applyAlignment="1">
      <alignment horizontal="center" vertical="center"/>
    </xf>
    <xf numFmtId="165" fontId="5" fillId="89" borderId="0" xfId="2" applyNumberFormat="1" applyFont="1" applyFill="1" applyBorder="1" applyAlignment="1">
      <alignment vertical="center"/>
    </xf>
    <xf numFmtId="0" fontId="2" fillId="87" borderId="30" xfId="0" applyFont="1" applyFill="1" applyBorder="1" applyAlignment="1">
      <alignment horizontal="center"/>
    </xf>
    <xf numFmtId="0" fontId="7" fillId="87" borderId="0" xfId="0" applyFont="1" applyFill="1" applyAlignment="1">
      <alignment vertical="center"/>
    </xf>
    <xf numFmtId="0" fontId="3" fillId="87" borderId="0" xfId="0" applyFont="1" applyFill="1" applyAlignment="1">
      <alignment vertical="center"/>
    </xf>
    <xf numFmtId="164" fontId="5" fillId="87" borderId="0" xfId="0" applyNumberFormat="1" applyFont="1" applyFill="1" applyAlignment="1">
      <alignment horizontal="left" vertical="center"/>
    </xf>
    <xf numFmtId="164" fontId="3" fillId="87" borderId="0" xfId="0" applyNumberFormat="1" applyFont="1" applyFill="1" applyAlignment="1">
      <alignment horizontal="right" vertical="center"/>
    </xf>
    <xf numFmtId="164" fontId="5" fillId="87" borderId="1" xfId="0" applyNumberFormat="1" applyFont="1" applyFill="1" applyBorder="1" applyAlignment="1">
      <alignment horizontal="center" vertical="center"/>
    </xf>
    <xf numFmtId="165" fontId="72" fillId="87" borderId="0" xfId="2" applyNumberFormat="1" applyFont="1" applyFill="1"/>
    <xf numFmtId="0" fontId="12" fillId="87" borderId="0" xfId="0" applyFont="1" applyFill="1" applyAlignment="1">
      <alignment horizontal="left"/>
    </xf>
    <xf numFmtId="0" fontId="16" fillId="87" borderId="30" xfId="0" applyFont="1" applyFill="1" applyBorder="1" applyAlignment="1">
      <alignment horizontal="center"/>
    </xf>
    <xf numFmtId="165" fontId="5" fillId="87" borderId="0" xfId="2" applyNumberFormat="1" applyFont="1" applyFill="1" applyBorder="1" applyAlignment="1">
      <alignment horizontal="center" vertical="center"/>
    </xf>
    <xf numFmtId="165" fontId="5" fillId="87" borderId="0" xfId="2" applyNumberFormat="1" applyFont="1" applyFill="1" applyBorder="1" applyAlignment="1">
      <alignment vertical="center"/>
    </xf>
    <xf numFmtId="0" fontId="2" fillId="86" borderId="30" xfId="0" applyFont="1" applyFill="1" applyBorder="1" applyAlignment="1">
      <alignment horizontal="center"/>
    </xf>
    <xf numFmtId="0" fontId="7" fillId="86" borderId="0" xfId="0" applyFont="1" applyFill="1" applyAlignment="1">
      <alignment vertical="center"/>
    </xf>
    <xf numFmtId="0" fontId="3" fillId="86" borderId="0" xfId="0" applyFont="1" applyFill="1" applyAlignment="1">
      <alignment vertical="center"/>
    </xf>
    <xf numFmtId="164" fontId="5" fillId="86" borderId="0" xfId="0" applyNumberFormat="1" applyFont="1" applyFill="1" applyAlignment="1">
      <alignment horizontal="left" vertical="center"/>
    </xf>
    <xf numFmtId="164" fontId="3" fillId="86" borderId="0" xfId="0" applyNumberFormat="1" applyFont="1" applyFill="1" applyAlignment="1">
      <alignment horizontal="right" vertical="center"/>
    </xf>
    <xf numFmtId="164" fontId="5" fillId="86" borderId="1" xfId="0" applyNumberFormat="1" applyFont="1" applyFill="1" applyBorder="1" applyAlignment="1">
      <alignment horizontal="center" vertical="center"/>
    </xf>
    <xf numFmtId="165" fontId="72" fillId="85" borderId="0" xfId="0" applyNumberFormat="1" applyFont="1" applyFill="1"/>
    <xf numFmtId="0" fontId="12" fillId="85" borderId="0" xfId="0" applyFont="1" applyFill="1" applyAlignment="1">
      <alignment horizontal="left"/>
    </xf>
    <xf numFmtId="0" fontId="12" fillId="85" borderId="30" xfId="0" applyFont="1" applyFill="1" applyBorder="1" applyAlignment="1">
      <alignment horizontal="left"/>
    </xf>
    <xf numFmtId="0" fontId="16" fillId="85" borderId="30" xfId="0" applyFont="1" applyFill="1" applyBorder="1" applyAlignment="1">
      <alignment horizontal="center"/>
    </xf>
    <xf numFmtId="165" fontId="5" fillId="85" borderId="0" xfId="2" applyNumberFormat="1" applyFont="1" applyFill="1" applyBorder="1" applyAlignment="1">
      <alignment horizontal="center" vertical="center"/>
    </xf>
    <xf numFmtId="165" fontId="5" fillId="85" borderId="0" xfId="2" applyNumberFormat="1" applyFont="1" applyFill="1" applyBorder="1" applyAlignment="1">
      <alignment vertical="center"/>
    </xf>
    <xf numFmtId="0" fontId="2" fillId="85" borderId="30" xfId="0" applyFont="1" applyFill="1" applyBorder="1" applyAlignment="1">
      <alignment horizontal="center"/>
    </xf>
    <xf numFmtId="0" fontId="7" fillId="85" borderId="0" xfId="0" applyFont="1" applyFill="1" applyAlignment="1">
      <alignment vertical="center"/>
    </xf>
    <xf numFmtId="0" fontId="3" fillId="85" borderId="0" xfId="0" applyFont="1" applyFill="1" applyAlignment="1">
      <alignment vertical="center"/>
    </xf>
    <xf numFmtId="164" fontId="5" fillId="85" borderId="0" xfId="0" applyNumberFormat="1" applyFont="1" applyFill="1" applyAlignment="1">
      <alignment horizontal="left" vertical="center"/>
    </xf>
    <xf numFmtId="164" fontId="3" fillId="85" borderId="0" xfId="0" applyNumberFormat="1" applyFont="1" applyFill="1" applyAlignment="1">
      <alignment horizontal="right" vertical="center"/>
    </xf>
    <xf numFmtId="164" fontId="5" fillId="85" borderId="1" xfId="0" applyNumberFormat="1" applyFont="1" applyFill="1" applyBorder="1" applyAlignment="1">
      <alignment horizontal="center" vertical="center"/>
    </xf>
    <xf numFmtId="0" fontId="2" fillId="88" borderId="30" xfId="0" applyFont="1" applyFill="1" applyBorder="1" applyAlignment="1">
      <alignment horizontal="center" wrapText="1"/>
    </xf>
    <xf numFmtId="0" fontId="16" fillId="88" borderId="0" xfId="0" applyFont="1" applyFill="1" applyAlignment="1">
      <alignment horizontal="left" vertical="top" wrapText="1"/>
    </xf>
    <xf numFmtId="0" fontId="2" fillId="88" borderId="30" xfId="0" applyFont="1" applyFill="1" applyBorder="1" applyAlignment="1">
      <alignment horizontal="center"/>
    </xf>
    <xf numFmtId="0" fontId="7" fillId="88" borderId="0" xfId="0" applyFont="1" applyFill="1" applyAlignment="1">
      <alignment vertical="center"/>
    </xf>
    <xf numFmtId="0" fontId="3" fillId="88" borderId="0" xfId="0" applyFont="1" applyFill="1" applyAlignment="1">
      <alignment vertical="center"/>
    </xf>
    <xf numFmtId="164" fontId="5" fillId="88" borderId="0" xfId="0" applyNumberFormat="1" applyFont="1" applyFill="1" applyAlignment="1">
      <alignment horizontal="left" vertical="center"/>
    </xf>
    <xf numFmtId="164" fontId="3" fillId="88" borderId="0" xfId="0" applyNumberFormat="1" applyFont="1" applyFill="1" applyAlignment="1">
      <alignment horizontal="right" vertical="center"/>
    </xf>
    <xf numFmtId="164" fontId="5" fillId="88" borderId="1" xfId="0" applyNumberFormat="1" applyFont="1" applyFill="1" applyBorder="1" applyAlignment="1">
      <alignment horizontal="center" vertical="center"/>
    </xf>
    <xf numFmtId="0" fontId="4" fillId="76" borderId="30" xfId="0" applyFont="1" applyFill="1" applyBorder="1" applyAlignment="1">
      <alignment horizontal="left"/>
    </xf>
    <xf numFmtId="0" fontId="71" fillId="76" borderId="0" xfId="0" applyFont="1" applyFill="1"/>
    <xf numFmtId="0" fontId="41" fillId="76" borderId="0" xfId="0" applyFont="1" applyFill="1"/>
    <xf numFmtId="0" fontId="79" fillId="76" borderId="0" xfId="0" applyFont="1" applyFill="1" applyAlignment="1">
      <alignment horizontal="left"/>
    </xf>
    <xf numFmtId="0" fontId="79" fillId="76" borderId="0" xfId="0" applyFont="1" applyFill="1" applyAlignment="1">
      <alignment horizontal="right"/>
    </xf>
    <xf numFmtId="164" fontId="5" fillId="76" borderId="1" xfId="0" applyNumberFormat="1" applyFont="1" applyFill="1" applyBorder="1" applyAlignment="1">
      <alignment horizontal="center" vertical="center"/>
    </xf>
    <xf numFmtId="0" fontId="71" fillId="76" borderId="0" xfId="0" applyFont="1" applyFill="1" applyAlignment="1">
      <alignment horizontal="left"/>
    </xf>
    <xf numFmtId="0" fontId="4" fillId="76" borderId="0" xfId="0" applyFont="1" applyFill="1" applyAlignment="1">
      <alignment horizontal="left"/>
    </xf>
    <xf numFmtId="0" fontId="12" fillId="88" borderId="30" xfId="0" applyFont="1" applyFill="1" applyBorder="1" applyAlignment="1">
      <alignment horizontal="left"/>
    </xf>
    <xf numFmtId="0" fontId="16" fillId="88" borderId="30" xfId="0" applyFont="1" applyFill="1" applyBorder="1" applyAlignment="1">
      <alignment horizontal="center"/>
    </xf>
    <xf numFmtId="165" fontId="5" fillId="88" borderId="0" xfId="2" applyNumberFormat="1" applyFont="1" applyFill="1" applyBorder="1" applyAlignment="1">
      <alignment horizontal="center" vertical="center"/>
    </xf>
    <xf numFmtId="165" fontId="5" fillId="88" borderId="0" xfId="2" applyNumberFormat="1" applyFont="1" applyFill="1" applyBorder="1" applyAlignment="1">
      <alignment vertical="center"/>
    </xf>
    <xf numFmtId="0" fontId="12" fillId="76" borderId="30" xfId="0" applyFont="1" applyFill="1" applyBorder="1"/>
    <xf numFmtId="0" fontId="12" fillId="76" borderId="0" xfId="0" applyFont="1" applyFill="1"/>
    <xf numFmtId="0" fontId="12" fillId="76" borderId="1" xfId="0" applyFont="1" applyFill="1" applyBorder="1"/>
    <xf numFmtId="0" fontId="72" fillId="76" borderId="0" xfId="0" applyFont="1" applyFill="1" applyAlignment="1">
      <alignment horizontal="center"/>
    </xf>
    <xf numFmtId="165" fontId="72" fillId="88" borderId="0" xfId="0" applyNumberFormat="1" applyFont="1" applyFill="1"/>
    <xf numFmtId="0" fontId="5" fillId="3" borderId="0" xfId="0" applyFont="1" applyFill="1" applyAlignment="1">
      <alignment horizontal="right"/>
    </xf>
    <xf numFmtId="0" fontId="0" fillId="86" borderId="0" xfId="0" applyFill="1"/>
    <xf numFmtId="0" fontId="0" fillId="86" borderId="0" xfId="0" applyFill="1" applyAlignment="1">
      <alignment vertical="center" wrapText="1"/>
    </xf>
    <xf numFmtId="0" fontId="80" fillId="0" borderId="0" xfId="0" applyFont="1"/>
    <xf numFmtId="164" fontId="0" fillId="86" borderId="0" xfId="1" applyNumberFormat="1" applyFont="1" applyFill="1"/>
    <xf numFmtId="0" fontId="12" fillId="75" borderId="30" xfId="0" applyFont="1" applyFill="1" applyBorder="1"/>
    <xf numFmtId="0" fontId="12" fillId="75" borderId="0" xfId="0" applyFont="1" applyFill="1"/>
    <xf numFmtId="0" fontId="12" fillId="75" borderId="1" xfId="0" applyFont="1" applyFill="1" applyBorder="1"/>
    <xf numFmtId="0" fontId="72" fillId="75" borderId="0" xfId="0" applyFont="1" applyFill="1" applyAlignment="1">
      <alignment horizontal="center"/>
    </xf>
    <xf numFmtId="164" fontId="0" fillId="0" borderId="0" xfId="1" applyNumberFormat="1" applyFont="1" applyFill="1"/>
    <xf numFmtId="8" fontId="72" fillId="3" borderId="0" xfId="0" applyNumberFormat="1" applyFont="1" applyFill="1"/>
    <xf numFmtId="44" fontId="72" fillId="86" borderId="0" xfId="0" applyNumberFormat="1" applyFont="1" applyFill="1"/>
    <xf numFmtId="0" fontId="12" fillId="86" borderId="30" xfId="0" applyFont="1" applyFill="1" applyBorder="1" applyAlignment="1">
      <alignment horizontal="left"/>
    </xf>
    <xf numFmtId="0" fontId="16" fillId="86" borderId="30" xfId="0" applyFont="1" applyFill="1" applyBorder="1" applyAlignment="1">
      <alignment horizontal="center"/>
    </xf>
    <xf numFmtId="165" fontId="5" fillId="86" borderId="0" xfId="2" applyNumberFormat="1" applyFont="1" applyFill="1" applyBorder="1" applyAlignment="1">
      <alignment horizontal="center" vertical="center"/>
    </xf>
    <xf numFmtId="165" fontId="5" fillId="86" borderId="0" xfId="2" applyNumberFormat="1" applyFont="1" applyFill="1" applyBorder="1" applyAlignment="1">
      <alignment vertical="center"/>
    </xf>
    <xf numFmtId="0" fontId="16" fillId="75" borderId="30" xfId="0" applyFont="1" applyFill="1" applyBorder="1" applyAlignment="1">
      <alignment horizontal="center"/>
    </xf>
    <xf numFmtId="0" fontId="3" fillId="0" borderId="1" xfId="0" applyFont="1" applyBorder="1" applyAlignment="1">
      <alignment vertical="center" wrapText="1"/>
    </xf>
    <xf numFmtId="0" fontId="12" fillId="0" borderId="0" xfId="0" applyFont="1" applyAlignment="1">
      <alignment horizontal="left" vertical="top" wrapText="1"/>
    </xf>
    <xf numFmtId="0" fontId="5" fillId="0" borderId="0" xfId="0" applyFont="1" applyAlignment="1">
      <alignment vertical="center"/>
    </xf>
    <xf numFmtId="43" fontId="0" fillId="86" borderId="0" xfId="0" applyNumberFormat="1" applyFill="1"/>
    <xf numFmtId="43" fontId="73" fillId="81" borderId="0" xfId="0" applyNumberFormat="1" applyFont="1" applyFill="1"/>
    <xf numFmtId="0" fontId="3" fillId="75" borderId="0" xfId="0" applyFont="1" applyFill="1" applyAlignment="1">
      <alignment wrapText="1"/>
    </xf>
    <xf numFmtId="0" fontId="0" fillId="75" borderId="0" xfId="0" applyFill="1" applyAlignment="1">
      <alignment wrapText="1"/>
    </xf>
    <xf numFmtId="0" fontId="81" fillId="0" borderId="0" xfId="0" applyFont="1" applyAlignment="1">
      <alignment horizontal="center" vertical="center"/>
    </xf>
    <xf numFmtId="0" fontId="82" fillId="0" borderId="0" xfId="0" applyFont="1" applyAlignment="1">
      <alignment horizontal="center" vertical="center"/>
    </xf>
    <xf numFmtId="0" fontId="15" fillId="73" borderId="0" xfId="0" applyFont="1" applyFill="1" applyAlignment="1">
      <alignment horizontal="center"/>
    </xf>
    <xf numFmtId="0" fontId="15" fillId="73" borderId="0" xfId="0" applyFont="1" applyFill="1"/>
    <xf numFmtId="165" fontId="15" fillId="73" borderId="0" xfId="2" applyNumberFormat="1" applyFont="1" applyFill="1"/>
    <xf numFmtId="165" fontId="15" fillId="3" borderId="0" xfId="2" applyNumberFormat="1" applyFont="1" applyFill="1"/>
    <xf numFmtId="43" fontId="73" fillId="3" borderId="0" xfId="0" applyNumberFormat="1" applyFont="1" applyFill="1"/>
    <xf numFmtId="0" fontId="3" fillId="3" borderId="0" xfId="0" applyFont="1" applyFill="1" applyAlignment="1">
      <alignment horizontal="left" vertical="center" wrapText="1"/>
    </xf>
    <xf numFmtId="10" fontId="11" fillId="12" borderId="0" xfId="3" applyNumberFormat="1" applyFont="1" applyFill="1" applyBorder="1" applyAlignment="1">
      <alignment horizontal="center" vertical="center"/>
    </xf>
    <xf numFmtId="0" fontId="5" fillId="65" borderId="0" xfId="0" applyFont="1" applyFill="1" applyAlignment="1">
      <alignment horizontal="center" vertical="center" wrapText="1"/>
    </xf>
    <xf numFmtId="0" fontId="5" fillId="65" borderId="0" xfId="0" applyFont="1" applyFill="1" applyAlignment="1">
      <alignment horizontal="center" vertical="center"/>
    </xf>
    <xf numFmtId="171" fontId="11" fillId="12" borderId="0" xfId="0" applyNumberFormat="1" applyFont="1" applyFill="1" applyAlignment="1">
      <alignment horizontal="center" vertical="center"/>
    </xf>
    <xf numFmtId="165" fontId="12" fillId="87" borderId="0" xfId="0" applyNumberFormat="1" applyFont="1" applyFill="1" applyAlignment="1">
      <alignment horizontal="left"/>
    </xf>
    <xf numFmtId="164" fontId="16" fillId="3" borderId="0" xfId="0" applyNumberFormat="1" applyFont="1" applyFill="1" applyAlignment="1">
      <alignment horizontal="center" vertical="center"/>
    </xf>
    <xf numFmtId="0" fontId="16" fillId="3" borderId="0" xfId="0" applyFont="1" applyFill="1" applyAlignment="1">
      <alignment horizontal="center" vertical="center"/>
    </xf>
    <xf numFmtId="12" fontId="16" fillId="3" borderId="0" xfId="0" applyNumberFormat="1" applyFont="1" applyFill="1"/>
    <xf numFmtId="0" fontId="16" fillId="87" borderId="0" xfId="0" applyFont="1" applyFill="1" applyAlignment="1">
      <alignment horizontal="center"/>
    </xf>
    <xf numFmtId="0" fontId="7" fillId="87" borderId="0" xfId="0" applyFont="1" applyFill="1" applyAlignment="1">
      <alignment vertical="center" wrapText="1"/>
    </xf>
    <xf numFmtId="164" fontId="5" fillId="87" borderId="0" xfId="0" applyNumberFormat="1" applyFont="1" applyFill="1" applyAlignment="1">
      <alignment vertical="center"/>
    </xf>
    <xf numFmtId="0" fontId="5" fillId="87" borderId="0" xfId="0" applyFont="1" applyFill="1" applyAlignment="1">
      <alignment horizontal="center" vertical="center"/>
    </xf>
    <xf numFmtId="165" fontId="5" fillId="87" borderId="0" xfId="0" applyNumberFormat="1" applyFont="1" applyFill="1" applyAlignment="1">
      <alignment vertical="center"/>
    </xf>
    <xf numFmtId="0" fontId="7" fillId="87" borderId="0" xfId="0" applyFont="1" applyFill="1" applyAlignment="1">
      <alignment horizontal="left" vertical="center" wrapText="1"/>
    </xf>
    <xf numFmtId="166" fontId="5" fillId="87" borderId="0" xfId="0" applyNumberFormat="1" applyFont="1" applyFill="1" applyAlignment="1">
      <alignment vertical="center"/>
    </xf>
    <xf numFmtId="3" fontId="3" fillId="3" borderId="0" xfId="0" applyNumberFormat="1" applyFont="1" applyFill="1" applyAlignment="1">
      <alignment vertical="center"/>
    </xf>
    <xf numFmtId="12" fontId="3" fillId="3" borderId="0" xfId="0" applyNumberFormat="1" applyFont="1" applyFill="1"/>
    <xf numFmtId="0" fontId="16" fillId="78" borderId="0" xfId="0" applyFont="1" applyFill="1" applyAlignment="1">
      <alignment horizontal="center"/>
    </xf>
    <xf numFmtId="0" fontId="7" fillId="78" borderId="0" xfId="0" applyFont="1" applyFill="1" applyAlignment="1">
      <alignment horizontal="left" vertical="center" wrapText="1"/>
    </xf>
    <xf numFmtId="166" fontId="5" fillId="78" borderId="0" xfId="0" applyNumberFormat="1" applyFont="1" applyFill="1" applyAlignment="1">
      <alignment vertical="center"/>
    </xf>
    <xf numFmtId="0" fontId="16" fillId="79" borderId="0" xfId="0" applyFont="1" applyFill="1"/>
    <xf numFmtId="165" fontId="12" fillId="89" borderId="0" xfId="0" applyNumberFormat="1" applyFont="1" applyFill="1" applyAlignment="1">
      <alignment horizontal="left"/>
    </xf>
    <xf numFmtId="0" fontId="16" fillId="89" borderId="0" xfId="0" applyFont="1" applyFill="1" applyAlignment="1">
      <alignment horizontal="center"/>
    </xf>
    <xf numFmtId="0" fontId="7" fillId="89" borderId="0" xfId="0" applyFont="1" applyFill="1" applyAlignment="1">
      <alignment vertical="center" wrapText="1"/>
    </xf>
    <xf numFmtId="164" fontId="5" fillId="89" borderId="0" xfId="0" applyNumberFormat="1" applyFont="1" applyFill="1" applyAlignment="1">
      <alignment vertical="center"/>
    </xf>
    <xf numFmtId="0" fontId="5" fillId="89" borderId="0" xfId="0" applyFont="1" applyFill="1" applyAlignment="1">
      <alignment horizontal="center" vertical="center"/>
    </xf>
    <xf numFmtId="165" fontId="5" fillId="89" borderId="0" xfId="0" applyNumberFormat="1" applyFont="1" applyFill="1" applyAlignment="1">
      <alignment vertical="center"/>
    </xf>
    <xf numFmtId="0" fontId="7" fillId="89" borderId="0" xfId="0" applyFont="1" applyFill="1" applyAlignment="1">
      <alignment horizontal="left" vertical="center" wrapText="1"/>
    </xf>
    <xf numFmtId="166" fontId="5" fillId="89" borderId="0" xfId="0" applyNumberFormat="1" applyFont="1" applyFill="1" applyAlignment="1">
      <alignment vertical="center"/>
    </xf>
    <xf numFmtId="0" fontId="16" fillId="79" borderId="0" xfId="0" applyFont="1" applyFill="1" applyAlignment="1">
      <alignment horizontal="center"/>
    </xf>
    <xf numFmtId="0" fontId="7" fillId="79" borderId="0" xfId="0" applyFont="1" applyFill="1" applyAlignment="1">
      <alignment horizontal="left" vertical="center" wrapText="1"/>
    </xf>
    <xf numFmtId="166" fontId="5" fillId="79" borderId="0" xfId="0" applyNumberFormat="1" applyFont="1" applyFill="1" applyAlignment="1">
      <alignment vertical="center"/>
    </xf>
    <xf numFmtId="0" fontId="12" fillId="86" borderId="0" xfId="0" applyFont="1" applyFill="1" applyAlignment="1">
      <alignment horizontal="left"/>
    </xf>
    <xf numFmtId="165" fontId="12" fillId="86" borderId="0" xfId="0" applyNumberFormat="1" applyFont="1" applyFill="1" applyAlignment="1">
      <alignment horizontal="left"/>
    </xf>
    <xf numFmtId="0" fontId="16" fillId="86" borderId="0" xfId="0" applyFont="1" applyFill="1" applyAlignment="1">
      <alignment horizontal="center"/>
    </xf>
    <xf numFmtId="0" fontId="7" fillId="86" borderId="0" xfId="0" applyFont="1" applyFill="1" applyAlignment="1">
      <alignment vertical="center" wrapText="1"/>
    </xf>
    <xf numFmtId="164" fontId="5" fillId="86" borderId="0" xfId="0" applyNumberFormat="1" applyFont="1" applyFill="1" applyAlignment="1">
      <alignment vertical="center"/>
    </xf>
    <xf numFmtId="0" fontId="5" fillId="86" borderId="0" xfId="0" applyFont="1" applyFill="1" applyAlignment="1">
      <alignment horizontal="center" vertical="center"/>
    </xf>
    <xf numFmtId="165" fontId="5" fillId="86" borderId="0" xfId="0" applyNumberFormat="1" applyFont="1" applyFill="1" applyAlignment="1">
      <alignment vertical="center"/>
    </xf>
    <xf numFmtId="0" fontId="7" fillId="86" borderId="0" xfId="0" applyFont="1" applyFill="1" applyAlignment="1">
      <alignment horizontal="left" vertical="center" wrapText="1"/>
    </xf>
    <xf numFmtId="166" fontId="5" fillId="86" borderId="0" xfId="0" applyNumberFormat="1" applyFont="1" applyFill="1" applyAlignment="1">
      <alignment vertical="center"/>
    </xf>
    <xf numFmtId="0" fontId="16" fillId="75" borderId="0" xfId="0" applyFont="1" applyFill="1" applyAlignment="1">
      <alignment horizontal="center"/>
    </xf>
    <xf numFmtId="0" fontId="7" fillId="75" borderId="0" xfId="0" applyFont="1" applyFill="1" applyAlignment="1">
      <alignment horizontal="left" vertical="center" wrapText="1"/>
    </xf>
    <xf numFmtId="166" fontId="5" fillId="75" borderId="0" xfId="0" applyNumberFormat="1" applyFont="1" applyFill="1" applyAlignment="1">
      <alignment vertical="center"/>
    </xf>
    <xf numFmtId="43" fontId="3" fillId="3" borderId="0" xfId="0" applyNumberFormat="1" applyFont="1" applyFill="1"/>
    <xf numFmtId="0" fontId="12" fillId="88" borderId="0" xfId="0" applyFont="1" applyFill="1" applyAlignment="1">
      <alignment horizontal="left"/>
    </xf>
    <xf numFmtId="165" fontId="12" fillId="88" borderId="0" xfId="0" applyNumberFormat="1" applyFont="1" applyFill="1" applyAlignment="1">
      <alignment horizontal="left"/>
    </xf>
    <xf numFmtId="0" fontId="83" fillId="3" borderId="0" xfId="0" applyFont="1" applyFill="1"/>
    <xf numFmtId="0" fontId="16" fillId="88" borderId="0" xfId="0" applyFont="1" applyFill="1" applyAlignment="1">
      <alignment horizontal="center"/>
    </xf>
    <xf numFmtId="0" fontId="7" fillId="88" borderId="0" xfId="0" applyFont="1" applyFill="1" applyAlignment="1">
      <alignment vertical="center" wrapText="1"/>
    </xf>
    <xf numFmtId="164" fontId="5" fillId="88" borderId="0" xfId="0" applyNumberFormat="1" applyFont="1" applyFill="1" applyAlignment="1">
      <alignment vertical="center"/>
    </xf>
    <xf numFmtId="0" fontId="5" fillId="88" borderId="0" xfId="0" applyFont="1" applyFill="1" applyAlignment="1">
      <alignment horizontal="center" vertical="center"/>
    </xf>
    <xf numFmtId="165" fontId="5" fillId="88" borderId="0" xfId="0" applyNumberFormat="1" applyFont="1" applyFill="1" applyAlignment="1">
      <alignment vertical="center"/>
    </xf>
    <xf numFmtId="0" fontId="7" fillId="88" borderId="0" xfId="0" applyFont="1" applyFill="1" applyAlignment="1">
      <alignment horizontal="left" vertical="center" wrapText="1"/>
    </xf>
    <xf numFmtId="166" fontId="5" fillId="88" borderId="0" xfId="0" applyNumberFormat="1" applyFont="1" applyFill="1" applyAlignment="1">
      <alignment vertical="center"/>
    </xf>
    <xf numFmtId="0" fontId="16" fillId="76" borderId="0" xfId="0" applyFont="1" applyFill="1" applyAlignment="1">
      <alignment horizontal="center"/>
    </xf>
    <xf numFmtId="0" fontId="7" fillId="76" borderId="0" xfId="0" applyFont="1" applyFill="1" applyAlignment="1">
      <alignment horizontal="left" vertical="center" wrapText="1"/>
    </xf>
    <xf numFmtId="166" fontId="5" fillId="76" borderId="0" xfId="0" applyNumberFormat="1" applyFont="1" applyFill="1" applyAlignment="1">
      <alignment vertical="center"/>
    </xf>
    <xf numFmtId="0" fontId="16" fillId="77" borderId="0" xfId="0" applyFont="1" applyFill="1"/>
    <xf numFmtId="165" fontId="12" fillId="85" borderId="0" xfId="0" applyNumberFormat="1" applyFont="1" applyFill="1" applyAlignment="1">
      <alignment horizontal="left"/>
    </xf>
    <xf numFmtId="0" fontId="16" fillId="85" borderId="0" xfId="0" applyFont="1" applyFill="1" applyAlignment="1">
      <alignment horizontal="center"/>
    </xf>
    <xf numFmtId="0" fontId="7" fillId="85" borderId="0" xfId="0" applyFont="1" applyFill="1" applyAlignment="1">
      <alignment vertical="center" wrapText="1"/>
    </xf>
    <xf numFmtId="164" fontId="5" fillId="85" borderId="0" xfId="0" applyNumberFormat="1" applyFont="1" applyFill="1" applyAlignment="1">
      <alignment vertical="center"/>
    </xf>
    <xf numFmtId="0" fontId="5" fillId="85" borderId="0" xfId="0" applyFont="1" applyFill="1" applyAlignment="1">
      <alignment horizontal="center" vertical="center"/>
    </xf>
    <xf numFmtId="165" fontId="5" fillId="85" borderId="0" xfId="0" applyNumberFormat="1" applyFont="1" applyFill="1" applyAlignment="1">
      <alignment vertical="center"/>
    </xf>
    <xf numFmtId="0" fontId="7" fillId="85" borderId="0" xfId="0" applyFont="1" applyFill="1" applyAlignment="1">
      <alignment horizontal="left" vertical="center" wrapText="1"/>
    </xf>
    <xf numFmtId="166" fontId="5" fillId="85" borderId="0" xfId="0" applyNumberFormat="1" applyFont="1" applyFill="1" applyAlignment="1">
      <alignment vertical="center"/>
    </xf>
    <xf numFmtId="12" fontId="16" fillId="3" borderId="0" xfId="0" applyNumberFormat="1" applyFont="1" applyFill="1" applyAlignment="1">
      <alignment horizontal="center" vertical="center"/>
    </xf>
    <xf numFmtId="0" fontId="12" fillId="87" borderId="30" xfId="0" applyFont="1" applyFill="1" applyBorder="1"/>
    <xf numFmtId="0" fontId="12" fillId="87" borderId="0" xfId="0" applyFont="1" applyFill="1" applyAlignment="1">
      <alignment horizontal="center" vertical="center"/>
    </xf>
    <xf numFmtId="0" fontId="36" fillId="3" borderId="0" xfId="0" applyFont="1" applyFill="1" applyAlignment="1">
      <alignment wrapText="1"/>
    </xf>
    <xf numFmtId="0" fontId="36" fillId="3" borderId="0" xfId="0" applyFont="1" applyFill="1" applyAlignment="1">
      <alignment vertical="center"/>
    </xf>
    <xf numFmtId="0" fontId="36" fillId="4" borderId="0" xfId="0" applyFont="1" applyFill="1"/>
    <xf numFmtId="0" fontId="36" fillId="4" borderId="0" xfId="0" applyFont="1" applyFill="1" applyAlignment="1">
      <alignment wrapText="1"/>
    </xf>
    <xf numFmtId="0" fontId="36" fillId="0" borderId="0" xfId="0" applyFont="1"/>
    <xf numFmtId="0" fontId="36" fillId="0" borderId="0" xfId="0" applyFont="1" applyAlignment="1">
      <alignment wrapText="1"/>
    </xf>
    <xf numFmtId="49" fontId="36" fillId="0" borderId="0" xfId="0" applyNumberFormat="1" applyFont="1"/>
    <xf numFmtId="0" fontId="12" fillId="75" borderId="2" xfId="0" applyFont="1" applyFill="1" applyBorder="1"/>
    <xf numFmtId="0" fontId="12" fillId="75" borderId="3" xfId="0" applyFont="1" applyFill="1" applyBorder="1"/>
    <xf numFmtId="0" fontId="12" fillId="75" borderId="4" xfId="0" applyFont="1" applyFill="1" applyBorder="1"/>
    <xf numFmtId="0" fontId="3" fillId="81" borderId="0" xfId="0" applyFont="1" applyFill="1" applyAlignment="1">
      <alignment wrapText="1"/>
    </xf>
    <xf numFmtId="0" fontId="2" fillId="12" borderId="30" xfId="0" applyFont="1" applyFill="1" applyBorder="1" applyAlignment="1">
      <alignment wrapText="1"/>
    </xf>
    <xf numFmtId="0" fontId="2" fillId="12" borderId="0" xfId="0" applyFont="1" applyFill="1" applyAlignment="1">
      <alignment wrapText="1"/>
    </xf>
    <xf numFmtId="0" fontId="2" fillId="12" borderId="0" xfId="0" applyFont="1" applyFill="1" applyAlignment="1">
      <alignment horizontal="center" wrapText="1"/>
    </xf>
    <xf numFmtId="0" fontId="2" fillId="12" borderId="1" xfId="0" applyFont="1" applyFill="1" applyBorder="1" applyAlignment="1">
      <alignment horizontal="center" wrapText="1"/>
    </xf>
    <xf numFmtId="165" fontId="12" fillId="86" borderId="1" xfId="0" applyNumberFormat="1" applyFont="1" applyFill="1" applyBorder="1" applyAlignment="1">
      <alignment horizontal="left"/>
    </xf>
    <xf numFmtId="164" fontId="0" fillId="3" borderId="0" xfId="0" applyNumberFormat="1" applyFill="1"/>
    <xf numFmtId="165" fontId="16" fillId="3" borderId="1" xfId="2" applyNumberFormat="1" applyFont="1" applyFill="1" applyBorder="1" applyAlignment="1">
      <alignment horizontal="center"/>
    </xf>
    <xf numFmtId="0" fontId="5" fillId="75" borderId="0" xfId="0" applyFont="1" applyFill="1" applyAlignment="1">
      <alignment horizontal="left" vertical="center" wrapText="1"/>
    </xf>
    <xf numFmtId="164" fontId="5" fillId="75" borderId="0" xfId="1" applyNumberFormat="1" applyFont="1" applyFill="1" applyBorder="1" applyAlignment="1">
      <alignment horizontal="left" vertical="center" wrapText="1"/>
    </xf>
    <xf numFmtId="165" fontId="5" fillId="75" borderId="0" xfId="0" applyNumberFormat="1" applyFont="1" applyFill="1" applyAlignment="1">
      <alignment horizontal="left" vertical="center" wrapText="1"/>
    </xf>
    <xf numFmtId="0" fontId="0" fillId="0" borderId="1" xfId="0" applyBorder="1"/>
    <xf numFmtId="165" fontId="12" fillId="89" borderId="1" xfId="0" applyNumberFormat="1" applyFont="1" applyFill="1" applyBorder="1" applyAlignment="1">
      <alignment horizontal="left"/>
    </xf>
    <xf numFmtId="0" fontId="5" fillId="79" borderId="0" xfId="0" applyFont="1" applyFill="1" applyAlignment="1">
      <alignment horizontal="left" vertical="center" wrapText="1"/>
    </xf>
    <xf numFmtId="164" fontId="5" fillId="79" borderId="1" xfId="1" applyNumberFormat="1" applyFont="1" applyFill="1" applyBorder="1" applyAlignment="1">
      <alignment horizontal="left" vertical="center" wrapText="1"/>
    </xf>
    <xf numFmtId="165" fontId="5" fillId="79" borderId="1" xfId="2" applyNumberFormat="1" applyFont="1" applyFill="1" applyBorder="1" applyAlignment="1">
      <alignment horizontal="left" vertical="center" wrapText="1"/>
    </xf>
    <xf numFmtId="0" fontId="7" fillId="3" borderId="0" xfId="0" applyFont="1" applyFill="1" applyAlignment="1">
      <alignment horizontal="left" vertical="center" wrapText="1"/>
    </xf>
    <xf numFmtId="165" fontId="5" fillId="3" borderId="1" xfId="2" applyNumberFormat="1" applyFont="1" applyFill="1" applyBorder="1" applyAlignment="1">
      <alignment horizontal="left" vertical="center" wrapText="1"/>
    </xf>
    <xf numFmtId="0" fontId="2" fillId="12" borderId="25" xfId="0" applyFont="1" applyFill="1" applyBorder="1" applyAlignment="1">
      <alignment horizontal="center"/>
    </xf>
    <xf numFmtId="0" fontId="2" fillId="12" borderId="33" xfId="0" applyFont="1" applyFill="1" applyBorder="1" applyAlignment="1">
      <alignment horizontal="center"/>
    </xf>
    <xf numFmtId="0" fontId="41" fillId="12" borderId="33" xfId="0" applyFont="1" applyFill="1" applyBorder="1" applyAlignment="1">
      <alignment horizontal="left" vertical="center" wrapText="1"/>
    </xf>
    <xf numFmtId="164" fontId="11" fillId="12" borderId="27" xfId="1" applyNumberFormat="1" applyFont="1" applyFill="1" applyBorder="1" applyAlignment="1">
      <alignment horizontal="left" vertical="center" wrapText="1"/>
    </xf>
    <xf numFmtId="165" fontId="11" fillId="12" borderId="27" xfId="2" applyNumberFormat="1" applyFont="1" applyFill="1" applyBorder="1" applyAlignment="1">
      <alignment horizontal="left" vertical="center" wrapText="1"/>
    </xf>
    <xf numFmtId="177" fontId="19" fillId="0" borderId="0" xfId="0" applyNumberFormat="1" applyFont="1"/>
    <xf numFmtId="1" fontId="85" fillId="0" borderId="104" xfId="0" applyNumberFormat="1" applyFont="1" applyBorder="1" applyAlignment="1">
      <alignment vertical="center" wrapText="1"/>
    </xf>
    <xf numFmtId="0" fontId="85" fillId="0" borderId="105" xfId="0" applyFont="1" applyBorder="1" applyAlignment="1">
      <alignment vertical="center" wrapText="1"/>
    </xf>
    <xf numFmtId="0" fontId="0" fillId="90" borderId="0" xfId="0" applyFill="1"/>
    <xf numFmtId="1" fontId="85" fillId="0" borderId="106" xfId="0" applyNumberFormat="1" applyFont="1" applyBorder="1" applyAlignment="1">
      <alignment vertical="center" wrapText="1"/>
    </xf>
    <xf numFmtId="0" fontId="85" fillId="0" borderId="107" xfId="0" applyFont="1" applyBorder="1" applyAlignment="1">
      <alignment vertical="center" wrapText="1"/>
    </xf>
    <xf numFmtId="43" fontId="3" fillId="3" borderId="0" xfId="0" applyNumberFormat="1" applyFont="1" applyFill="1" applyAlignment="1">
      <alignment horizontal="right" vertical="center"/>
    </xf>
    <xf numFmtId="0" fontId="0" fillId="91" borderId="0" xfId="0" applyFill="1"/>
    <xf numFmtId="3" fontId="0" fillId="91" borderId="0" xfId="0" applyNumberFormat="1" applyFill="1"/>
    <xf numFmtId="9" fontId="0" fillId="91" borderId="0" xfId="3" applyFont="1" applyFill="1"/>
    <xf numFmtId="10" fontId="16" fillId="3" borderId="0" xfId="3" applyNumberFormat="1" applyFont="1" applyFill="1" applyBorder="1" applyAlignment="1">
      <alignment vertical="top"/>
    </xf>
    <xf numFmtId="10" fontId="5" fillId="87" borderId="0" xfId="3" applyNumberFormat="1" applyFont="1" applyFill="1" applyBorder="1" applyAlignment="1">
      <alignment vertical="center"/>
    </xf>
    <xf numFmtId="10" fontId="3" fillId="3" borderId="0" xfId="3" applyNumberFormat="1" applyFont="1" applyFill="1" applyBorder="1" applyAlignment="1">
      <alignment vertical="top"/>
    </xf>
    <xf numFmtId="10" fontId="5" fillId="78" borderId="0" xfId="3" applyNumberFormat="1" applyFont="1" applyFill="1" applyBorder="1" applyAlignment="1">
      <alignment vertical="center"/>
    </xf>
    <xf numFmtId="10" fontId="5" fillId="89" borderId="0" xfId="3" applyNumberFormat="1" applyFont="1" applyFill="1" applyBorder="1" applyAlignment="1">
      <alignment vertical="center"/>
    </xf>
    <xf numFmtId="10" fontId="5" fillId="79" borderId="0" xfId="3" applyNumberFormat="1" applyFont="1" applyFill="1" applyBorder="1" applyAlignment="1">
      <alignment vertical="center"/>
    </xf>
    <xf numFmtId="10" fontId="5" fillId="86" borderId="0" xfId="3" applyNumberFormat="1" applyFont="1" applyFill="1" applyBorder="1" applyAlignment="1">
      <alignment vertical="center"/>
    </xf>
    <xf numFmtId="10" fontId="5" fillId="75" borderId="0" xfId="3" applyNumberFormat="1" applyFont="1" applyFill="1" applyBorder="1" applyAlignment="1">
      <alignment vertical="center"/>
    </xf>
    <xf numFmtId="10" fontId="5" fillId="3" borderId="0" xfId="0" applyNumberFormat="1" applyFont="1" applyFill="1"/>
    <xf numFmtId="10" fontId="5" fillId="88" borderId="0" xfId="3" applyNumberFormat="1" applyFont="1" applyFill="1" applyBorder="1" applyAlignment="1">
      <alignment vertical="center"/>
    </xf>
    <xf numFmtId="10" fontId="5" fillId="76" borderId="0" xfId="3" applyNumberFormat="1" applyFont="1" applyFill="1" applyBorder="1" applyAlignment="1">
      <alignment vertical="center"/>
    </xf>
    <xf numFmtId="10" fontId="5" fillId="85" borderId="0" xfId="3" applyNumberFormat="1" applyFont="1" applyFill="1" applyBorder="1" applyAlignment="1">
      <alignment vertical="center"/>
    </xf>
    <xf numFmtId="164" fontId="3" fillId="81" borderId="0" xfId="1" applyNumberFormat="1" applyFont="1" applyFill="1"/>
    <xf numFmtId="164" fontId="3" fillId="3" borderId="4" xfId="1" applyNumberFormat="1" applyFont="1" applyFill="1" applyBorder="1"/>
    <xf numFmtId="164" fontId="3" fillId="3" borderId="1" xfId="1" applyNumberFormat="1" applyFont="1" applyFill="1" applyBorder="1"/>
    <xf numFmtId="164" fontId="12" fillId="78" borderId="0" xfId="1" applyNumberFormat="1" applyFont="1" applyFill="1" applyBorder="1"/>
    <xf numFmtId="164" fontId="2" fillId="12" borderId="1" xfId="1" applyNumberFormat="1" applyFont="1" applyFill="1" applyBorder="1" applyAlignment="1">
      <alignment horizontal="center"/>
    </xf>
    <xf numFmtId="164" fontId="4" fillId="5" borderId="1" xfId="1" applyNumberFormat="1" applyFont="1" applyFill="1" applyBorder="1" applyAlignment="1">
      <alignment horizontal="left"/>
    </xf>
    <xf numFmtId="164" fontId="12" fillId="87" borderId="1" xfId="1" applyNumberFormat="1" applyFont="1" applyFill="1" applyBorder="1" applyAlignment="1">
      <alignment horizontal="left"/>
    </xf>
    <xf numFmtId="164" fontId="16" fillId="3" borderId="1" xfId="1" applyNumberFormat="1" applyFont="1" applyFill="1" applyBorder="1" applyAlignment="1">
      <alignment vertical="top"/>
    </xf>
    <xf numFmtId="164" fontId="5" fillId="87" borderId="1" xfId="1" applyNumberFormat="1" applyFont="1" applyFill="1" applyBorder="1" applyAlignment="1">
      <alignment vertical="center"/>
    </xf>
    <xf numFmtId="164" fontId="3" fillId="3" borderId="1" xfId="1" applyNumberFormat="1" applyFont="1" applyFill="1" applyBorder="1" applyAlignment="1">
      <alignment vertical="top"/>
    </xf>
    <xf numFmtId="164" fontId="5" fillId="78" borderId="1" xfId="1" applyNumberFormat="1" applyFont="1" applyFill="1" applyBorder="1" applyAlignment="1">
      <alignment vertical="center"/>
    </xf>
    <xf numFmtId="164" fontId="16" fillId="79" borderId="1" xfId="1" applyNumberFormat="1" applyFont="1" applyFill="1" applyBorder="1"/>
    <xf numFmtId="164" fontId="12" fillId="89" borderId="1" xfId="1" applyNumberFormat="1" applyFont="1" applyFill="1" applyBorder="1" applyAlignment="1">
      <alignment horizontal="left"/>
    </xf>
    <xf numFmtId="164" fontId="5" fillId="89" borderId="1" xfId="1" applyNumberFormat="1" applyFont="1" applyFill="1" applyBorder="1" applyAlignment="1">
      <alignment vertical="center"/>
    </xf>
    <xf numFmtId="164" fontId="5" fillId="3" borderId="1" xfId="1" applyNumberFormat="1" applyFont="1" applyFill="1" applyBorder="1"/>
    <xf numFmtId="164" fontId="12" fillId="86" borderId="1" xfId="1" applyNumberFormat="1" applyFont="1" applyFill="1" applyBorder="1" applyAlignment="1">
      <alignment horizontal="left"/>
    </xf>
    <xf numFmtId="164" fontId="5" fillId="86" borderId="1" xfId="1" applyNumberFormat="1" applyFont="1" applyFill="1" applyBorder="1" applyAlignment="1">
      <alignment vertical="center"/>
    </xf>
    <xf numFmtId="164" fontId="5" fillId="75" borderId="1" xfId="1" applyNumberFormat="1" applyFont="1" applyFill="1" applyBorder="1" applyAlignment="1">
      <alignment vertical="center"/>
    </xf>
    <xf numFmtId="164" fontId="12" fillId="88" borderId="1" xfId="1" applyNumberFormat="1" applyFont="1" applyFill="1" applyBorder="1" applyAlignment="1">
      <alignment horizontal="left"/>
    </xf>
    <xf numFmtId="164" fontId="5" fillId="88" borderId="1" xfId="1" applyNumberFormat="1" applyFont="1" applyFill="1" applyBorder="1" applyAlignment="1">
      <alignment vertical="center"/>
    </xf>
    <xf numFmtId="164" fontId="5" fillId="76" borderId="1" xfId="1" applyNumberFormat="1" applyFont="1" applyFill="1" applyBorder="1" applyAlignment="1">
      <alignment vertical="center"/>
    </xf>
    <xf numFmtId="164" fontId="16" fillId="77" borderId="1" xfId="1" applyNumberFormat="1" applyFont="1" applyFill="1" applyBorder="1"/>
    <xf numFmtId="164" fontId="12" fillId="85" borderId="1" xfId="1" applyNumberFormat="1" applyFont="1" applyFill="1" applyBorder="1" applyAlignment="1">
      <alignment horizontal="left"/>
    </xf>
    <xf numFmtId="164" fontId="5" fillId="85" borderId="1" xfId="1" applyNumberFormat="1" applyFont="1" applyFill="1" applyBorder="1" applyAlignment="1">
      <alignment vertical="center"/>
    </xf>
    <xf numFmtId="164" fontId="16" fillId="3" borderId="1" xfId="1" applyNumberFormat="1" applyFont="1" applyFill="1" applyBorder="1" applyAlignment="1">
      <alignment horizontal="center" vertical="center"/>
    </xf>
    <xf numFmtId="164" fontId="3" fillId="0" borderId="0" xfId="1" applyNumberFormat="1" applyFont="1"/>
    <xf numFmtId="164" fontId="5" fillId="79" borderId="0" xfId="3" applyNumberFormat="1" applyFont="1" applyFill="1" applyBorder="1" applyAlignment="1">
      <alignment vertical="center"/>
    </xf>
    <xf numFmtId="164" fontId="0" fillId="11" borderId="0" xfId="0" applyNumberFormat="1" applyFill="1"/>
    <xf numFmtId="0" fontId="16" fillId="77" borderId="33" xfId="0" applyFont="1" applyFill="1" applyBorder="1" applyAlignment="1">
      <alignment horizontal="center"/>
    </xf>
    <xf numFmtId="0" fontId="7" fillId="77" borderId="33" xfId="0" applyFont="1" applyFill="1" applyBorder="1" applyAlignment="1">
      <alignment horizontal="left" vertical="center" wrapText="1"/>
    </xf>
    <xf numFmtId="166" fontId="5" fillId="77" borderId="33" xfId="0" applyNumberFormat="1" applyFont="1" applyFill="1" applyBorder="1" applyAlignment="1">
      <alignment vertical="center"/>
    </xf>
    <xf numFmtId="10" fontId="5" fillId="77" borderId="33" xfId="3" applyNumberFormat="1" applyFont="1" applyFill="1" applyBorder="1" applyAlignment="1">
      <alignment vertical="center"/>
    </xf>
    <xf numFmtId="164" fontId="5" fillId="77" borderId="27" xfId="1" applyNumberFormat="1" applyFont="1" applyFill="1" applyBorder="1" applyAlignment="1">
      <alignment vertical="center"/>
    </xf>
    <xf numFmtId="0" fontId="16" fillId="77" borderId="25" xfId="0" applyFont="1" applyFill="1" applyBorder="1" applyAlignment="1">
      <alignment horizontal="center"/>
    </xf>
    <xf numFmtId="164" fontId="5" fillId="3" borderId="0" xfId="0" applyNumberFormat="1" applyFont="1" applyFill="1" applyAlignment="1">
      <alignment horizontal="center" vertical="center"/>
    </xf>
    <xf numFmtId="0" fontId="11" fillId="3" borderId="30" xfId="0" applyFont="1" applyFill="1" applyBorder="1" applyAlignment="1">
      <alignment horizontal="center"/>
    </xf>
    <xf numFmtId="0" fontId="5" fillId="3" borderId="0" xfId="0" applyFont="1" applyFill="1" applyAlignment="1">
      <alignment vertical="center"/>
    </xf>
    <xf numFmtId="164" fontId="5" fillId="3" borderId="0" xfId="0" applyNumberFormat="1" applyFont="1" applyFill="1" applyAlignment="1">
      <alignment horizontal="right" vertical="center"/>
    </xf>
    <xf numFmtId="0" fontId="12" fillId="3" borderId="0" xfId="0" applyFont="1" applyFill="1" applyAlignment="1">
      <alignment horizontal="left"/>
    </xf>
    <xf numFmtId="0" fontId="12" fillId="3" borderId="0" xfId="0" applyFont="1" applyFill="1" applyAlignment="1">
      <alignment horizontal="center" vertical="center"/>
    </xf>
    <xf numFmtId="179" fontId="86" fillId="0" borderId="0" xfId="0" applyNumberFormat="1" applyFont="1"/>
    <xf numFmtId="179" fontId="21" fillId="0" borderId="0" xfId="0" applyNumberFormat="1" applyFont="1"/>
    <xf numFmtId="0" fontId="78" fillId="3" borderId="30" xfId="0" applyFont="1" applyFill="1" applyBorder="1" applyAlignment="1">
      <alignment horizontal="left" vertical="center" wrapText="1"/>
    </xf>
    <xf numFmtId="164" fontId="78" fillId="3" borderId="1" xfId="1" applyNumberFormat="1" applyFont="1" applyFill="1" applyBorder="1" applyAlignment="1">
      <alignment horizontal="right" vertical="center" wrapText="1"/>
    </xf>
    <xf numFmtId="9" fontId="78" fillId="3" borderId="1" xfId="3" applyFont="1" applyFill="1" applyBorder="1" applyAlignment="1">
      <alignment horizontal="right" vertical="center" wrapText="1"/>
    </xf>
    <xf numFmtId="0" fontId="78" fillId="3" borderId="25" xfId="0" applyFont="1" applyFill="1" applyBorder="1" applyAlignment="1">
      <alignment horizontal="left" vertical="center" wrapText="1"/>
    </xf>
    <xf numFmtId="0" fontId="19" fillId="3" borderId="30" xfId="0" applyFont="1" applyFill="1" applyBorder="1" applyAlignment="1">
      <alignment horizontal="left" vertical="top"/>
    </xf>
    <xf numFmtId="0" fontId="19" fillId="3" borderId="0" xfId="0" applyFont="1" applyFill="1" applyAlignment="1">
      <alignment horizontal="left" vertical="top"/>
    </xf>
    <xf numFmtId="0" fontId="19" fillId="3" borderId="1" xfId="0" applyFont="1" applyFill="1" applyBorder="1" applyAlignment="1">
      <alignment horizontal="left" vertical="top"/>
    </xf>
    <xf numFmtId="0" fontId="0" fillId="3" borderId="30" xfId="0" applyFill="1" applyBorder="1"/>
    <xf numFmtId="0" fontId="0" fillId="3" borderId="0" xfId="0" applyFill="1" applyAlignment="1">
      <alignment vertical="center" wrapText="1"/>
    </xf>
    <xf numFmtId="0" fontId="0" fillId="3" borderId="1" xfId="0" applyFill="1" applyBorder="1" applyAlignment="1">
      <alignment vertical="center" wrapText="1"/>
    </xf>
    <xf numFmtId="0" fontId="21" fillId="3" borderId="30" xfId="0" applyFont="1" applyFill="1" applyBorder="1"/>
    <xf numFmtId="0" fontId="21" fillId="3" borderId="0" xfId="0" applyFont="1" applyFill="1"/>
    <xf numFmtId="0" fontId="21" fillId="3" borderId="1" xfId="0" applyFont="1" applyFill="1" applyBorder="1"/>
    <xf numFmtId="0" fontId="21" fillId="3" borderId="25" xfId="0" applyFont="1" applyFill="1" applyBorder="1"/>
    <xf numFmtId="0" fontId="78" fillId="3" borderId="2" xfId="0" applyFont="1" applyFill="1" applyBorder="1" applyAlignment="1">
      <alignment horizontal="left" vertical="center" wrapText="1"/>
    </xf>
    <xf numFmtId="168" fontId="78" fillId="3" borderId="1" xfId="3" applyNumberFormat="1" applyFont="1" applyFill="1" applyBorder="1" applyAlignment="1">
      <alignment horizontal="right" vertical="center" wrapText="1"/>
    </xf>
    <xf numFmtId="44" fontId="16" fillId="3" borderId="0" xfId="2" applyFont="1" applyFill="1" applyBorder="1" applyAlignment="1">
      <alignment horizontal="center"/>
    </xf>
    <xf numFmtId="43" fontId="72" fillId="81" borderId="0" xfId="0" applyNumberFormat="1" applyFont="1" applyFill="1"/>
    <xf numFmtId="0" fontId="11" fillId="12" borderId="0" xfId="0" applyFont="1" applyFill="1" applyAlignment="1">
      <alignment horizontal="center" vertical="center" wrapText="1"/>
    </xf>
    <xf numFmtId="0" fontId="41" fillId="74" borderId="0" xfId="0" applyFont="1" applyFill="1" applyAlignment="1">
      <alignment vertical="center"/>
    </xf>
    <xf numFmtId="175" fontId="3" fillId="3" borderId="0" xfId="0" applyNumberFormat="1" applyFont="1" applyFill="1" applyAlignment="1">
      <alignment vertical="center"/>
    </xf>
    <xf numFmtId="0" fontId="5" fillId="13" borderId="0" xfId="0" applyFont="1" applyFill="1" applyAlignment="1">
      <alignment horizontal="right" vertical="center" wrapText="1"/>
    </xf>
    <xf numFmtId="175" fontId="5" fillId="13" borderId="0" xfId="0" applyNumberFormat="1" applyFont="1" applyFill="1" applyAlignment="1">
      <alignment horizontal="right" vertical="center"/>
    </xf>
    <xf numFmtId="10" fontId="5" fillId="13" borderId="0" xfId="3" applyNumberFormat="1" applyFont="1" applyFill="1" applyBorder="1" applyAlignment="1">
      <alignment horizontal="right" vertical="center"/>
    </xf>
    <xf numFmtId="178" fontId="3" fillId="3" borderId="0" xfId="0" applyNumberFormat="1" applyFont="1" applyFill="1" applyAlignment="1">
      <alignment vertical="center"/>
    </xf>
    <xf numFmtId="10" fontId="5" fillId="13" borderId="0" xfId="0" applyNumberFormat="1" applyFont="1" applyFill="1" applyAlignment="1">
      <alignment vertical="center"/>
    </xf>
    <xf numFmtId="0" fontId="5" fillId="3" borderId="0" xfId="0" applyFont="1" applyFill="1" applyAlignment="1">
      <alignment horizontal="center" vertical="center" wrapText="1"/>
    </xf>
    <xf numFmtId="0" fontId="5" fillId="3" borderId="0" xfId="0" applyFont="1" applyFill="1" applyAlignment="1">
      <alignment vertical="center" wrapText="1"/>
    </xf>
    <xf numFmtId="175" fontId="5" fillId="3" borderId="0" xfId="0" applyNumberFormat="1" applyFont="1" applyFill="1" applyAlignment="1">
      <alignment horizontal="right" vertical="center"/>
    </xf>
    <xf numFmtId="10" fontId="5" fillId="3" borderId="0" xfId="3" applyNumberFormat="1" applyFont="1" applyFill="1" applyBorder="1" applyAlignment="1">
      <alignment horizontal="right" vertical="center"/>
    </xf>
    <xf numFmtId="175" fontId="3" fillId="3" borderId="0" xfId="0" applyNumberFormat="1" applyFont="1" applyFill="1" applyAlignment="1">
      <alignment horizontal="right" vertical="center"/>
    </xf>
    <xf numFmtId="10" fontId="3" fillId="3" borderId="0" xfId="0" applyNumberFormat="1" applyFont="1" applyFill="1" applyAlignment="1">
      <alignment vertical="center"/>
    </xf>
    <xf numFmtId="0" fontId="5" fillId="3" borderId="98" xfId="0" applyFont="1" applyFill="1" applyBorder="1" applyAlignment="1">
      <alignment horizontal="left" vertical="center" wrapText="1"/>
    </xf>
    <xf numFmtId="175" fontId="5" fillId="3" borderId="98" xfId="0" applyNumberFormat="1" applyFont="1" applyFill="1" applyBorder="1" applyAlignment="1">
      <alignment horizontal="right" vertical="center"/>
    </xf>
    <xf numFmtId="10" fontId="5" fillId="3" borderId="98" xfId="3" applyNumberFormat="1" applyFont="1" applyFill="1" applyBorder="1" applyAlignment="1">
      <alignment horizontal="right" vertical="center"/>
    </xf>
    <xf numFmtId="168" fontId="3" fillId="3" borderId="0" xfId="3" applyNumberFormat="1" applyFont="1" applyFill="1" applyAlignment="1">
      <alignment horizontal="right" vertical="center"/>
    </xf>
    <xf numFmtId="0" fontId="3" fillId="3" borderId="33" xfId="0" applyFont="1" applyFill="1" applyBorder="1" applyAlignment="1">
      <alignment vertical="top" wrapText="1"/>
    </xf>
    <xf numFmtId="44" fontId="78" fillId="3" borderId="1" xfId="2" applyFont="1" applyFill="1" applyBorder="1" applyAlignment="1">
      <alignment horizontal="right" vertical="center" wrapText="1"/>
    </xf>
    <xf numFmtId="0" fontId="12" fillId="89" borderId="0" xfId="0" applyFont="1" applyFill="1" applyAlignment="1">
      <alignment horizontal="left" vertical="top" wrapText="1"/>
    </xf>
    <xf numFmtId="165" fontId="0" fillId="11" borderId="0" xfId="2" applyNumberFormat="1" applyFont="1" applyFill="1"/>
    <xf numFmtId="165" fontId="0" fillId="0" borderId="0" xfId="3" applyNumberFormat="1" applyFont="1"/>
    <xf numFmtId="0" fontId="64" fillId="3" borderId="0" xfId="0" applyFont="1" applyFill="1"/>
    <xf numFmtId="9" fontId="16" fillId="3" borderId="1" xfId="3" applyFont="1" applyFill="1" applyBorder="1" applyAlignment="1">
      <alignment horizontal="center"/>
    </xf>
    <xf numFmtId="0" fontId="2" fillId="12" borderId="30" xfId="0" applyFont="1" applyFill="1" applyBorder="1"/>
    <xf numFmtId="0" fontId="0" fillId="92" borderId="0" xfId="0" applyFill="1" applyAlignment="1">
      <alignment vertical="center" wrapText="1"/>
    </xf>
    <xf numFmtId="0" fontId="0" fillId="74" borderId="0" xfId="0" applyFill="1" applyAlignment="1">
      <alignment horizontal="center" vertical="center" wrapText="1"/>
    </xf>
    <xf numFmtId="0" fontId="5" fillId="89" borderId="0" xfId="0" applyFont="1" applyFill="1" applyAlignment="1">
      <alignment vertical="center"/>
    </xf>
    <xf numFmtId="0" fontId="5" fillId="89" borderId="1" xfId="0" applyFont="1" applyFill="1" applyBorder="1" applyAlignment="1">
      <alignment vertical="center"/>
    </xf>
    <xf numFmtId="0" fontId="0" fillId="0" borderId="34" xfId="0" applyBorder="1" applyAlignment="1">
      <alignment horizontal="center" wrapText="1"/>
    </xf>
    <xf numFmtId="0" fontId="19" fillId="0" borderId="34" xfId="0" applyFont="1" applyBorder="1" applyAlignment="1">
      <alignment vertical="center" wrapText="1"/>
    </xf>
    <xf numFmtId="180" fontId="0" fillId="0" borderId="0" xfId="0" applyNumberFormat="1"/>
    <xf numFmtId="180" fontId="0" fillId="0" borderId="33" xfId="0" applyNumberFormat="1" applyBorder="1"/>
    <xf numFmtId="0" fontId="82" fillId="0" borderId="3" xfId="0" applyFont="1" applyBorder="1" applyAlignment="1">
      <alignment horizontal="center" vertical="center"/>
    </xf>
    <xf numFmtId="174" fontId="82" fillId="0" borderId="3" xfId="0" applyNumberFormat="1" applyFont="1" applyBorder="1" applyAlignment="1">
      <alignment horizontal="center" vertical="center"/>
    </xf>
    <xf numFmtId="174" fontId="19" fillId="0" borderId="3" xfId="0" applyNumberFormat="1" applyFont="1" applyBorder="1" applyAlignment="1">
      <alignment horizontal="center" vertical="center"/>
    </xf>
    <xf numFmtId="171" fontId="82" fillId="0" borderId="3" xfId="0" applyNumberFormat="1" applyFont="1" applyBorder="1" applyAlignment="1">
      <alignment horizontal="center" vertical="center"/>
    </xf>
    <xf numFmtId="171" fontId="0" fillId="71" borderId="0" xfId="0" applyNumberFormat="1" applyFill="1" applyAlignment="1">
      <alignment horizontal="center" vertical="top"/>
    </xf>
    <xf numFmtId="165" fontId="19" fillId="71" borderId="0" xfId="2" applyNumberFormat="1" applyFont="1" applyFill="1" applyAlignment="1">
      <alignment horizontal="center" vertical="top"/>
    </xf>
    <xf numFmtId="177" fontId="78" fillId="3" borderId="27" xfId="1" applyNumberFormat="1" applyFont="1" applyFill="1" applyBorder="1" applyAlignment="1">
      <alignment horizontal="right" vertical="center" wrapText="1"/>
    </xf>
    <xf numFmtId="0" fontId="0" fillId="3" borderId="11" xfId="0" applyFill="1" applyBorder="1"/>
    <xf numFmtId="0" fontId="0" fillId="3" borderId="9" xfId="0" applyFill="1" applyBorder="1"/>
    <xf numFmtId="0" fontId="0" fillId="3" borderId="21" xfId="0" applyFill="1" applyBorder="1"/>
    <xf numFmtId="0" fontId="0" fillId="3" borderId="5" xfId="0" applyFill="1" applyBorder="1"/>
    <xf numFmtId="0" fontId="0" fillId="3" borderId="15" xfId="0" applyFill="1" applyBorder="1"/>
    <xf numFmtId="0" fontId="0" fillId="3" borderId="20" xfId="0" applyFill="1" applyBorder="1"/>
    <xf numFmtId="0" fontId="0" fillId="3" borderId="7" xfId="0" applyFill="1" applyBorder="1"/>
    <xf numFmtId="0" fontId="0" fillId="3" borderId="23" xfId="0" applyFill="1" applyBorder="1"/>
    <xf numFmtId="0" fontId="88" fillId="3" borderId="0" xfId="0" applyFont="1" applyFill="1"/>
    <xf numFmtId="10" fontId="0" fillId="0" borderId="0" xfId="0" applyNumberFormat="1"/>
    <xf numFmtId="0" fontId="90" fillId="0" borderId="0" xfId="0" applyFont="1"/>
    <xf numFmtId="9" fontId="0" fillId="11" borderId="0" xfId="3" applyFont="1" applyFill="1"/>
    <xf numFmtId="0" fontId="41" fillId="74" borderId="0" xfId="0" applyFont="1" applyFill="1"/>
    <xf numFmtId="0" fontId="5" fillId="3" borderId="33" xfId="0" applyFont="1" applyFill="1" applyBorder="1" applyAlignment="1">
      <alignment horizontal="center" vertical="center" wrapText="1"/>
    </xf>
    <xf numFmtId="175" fontId="3" fillId="3" borderId="33" xfId="0" applyNumberFormat="1" applyFont="1" applyFill="1" applyBorder="1" applyAlignment="1">
      <alignment horizontal="right" vertical="center"/>
    </xf>
    <xf numFmtId="10" fontId="3" fillId="3" borderId="33" xfId="3" applyNumberFormat="1" applyFont="1" applyFill="1" applyBorder="1" applyAlignment="1">
      <alignment horizontal="right" vertical="center"/>
    </xf>
    <xf numFmtId="0" fontId="5" fillId="3" borderId="103" xfId="0" applyFont="1" applyFill="1" applyBorder="1" applyAlignment="1">
      <alignment horizontal="left" vertical="center" wrapText="1"/>
    </xf>
    <xf numFmtId="175" fontId="5" fillId="3" borderId="103" xfId="0" applyNumberFormat="1" applyFont="1" applyFill="1" applyBorder="1" applyAlignment="1">
      <alignment horizontal="right" vertical="center"/>
    </xf>
    <xf numFmtId="10" fontId="5" fillId="3" borderId="103" xfId="3" applyNumberFormat="1" applyFont="1" applyFill="1" applyBorder="1" applyAlignment="1">
      <alignment horizontal="right" vertical="center"/>
    </xf>
    <xf numFmtId="0" fontId="3" fillId="3" borderId="0" xfId="0" applyFont="1" applyFill="1" applyAlignment="1">
      <alignment wrapText="1"/>
    </xf>
    <xf numFmtId="175" fontId="5" fillId="3" borderId="40" xfId="0" applyNumberFormat="1" applyFont="1" applyFill="1" applyBorder="1"/>
    <xf numFmtId="10" fontId="5" fillId="3" borderId="40" xfId="0" applyNumberFormat="1" applyFont="1" applyFill="1" applyBorder="1"/>
    <xf numFmtId="0" fontId="5" fillId="3" borderId="34" xfId="0" applyFont="1" applyFill="1" applyBorder="1"/>
    <xf numFmtId="0" fontId="5" fillId="3" borderId="34" xfId="0" applyFont="1" applyFill="1" applyBorder="1" applyAlignment="1">
      <alignment wrapText="1"/>
    </xf>
    <xf numFmtId="175" fontId="5" fillId="3" borderId="34" xfId="0" applyNumberFormat="1" applyFont="1" applyFill="1" applyBorder="1"/>
    <xf numFmtId="10" fontId="5" fillId="3" borderId="34" xfId="3" applyNumberFormat="1" applyFont="1" applyFill="1" applyBorder="1" applyAlignment="1">
      <alignment horizontal="right" vertical="center"/>
    </xf>
    <xf numFmtId="0" fontId="5" fillId="3" borderId="0" xfId="0" applyFont="1" applyFill="1" applyAlignment="1">
      <alignment wrapText="1"/>
    </xf>
    <xf numFmtId="175" fontId="5" fillId="3" borderId="0" xfId="0" applyNumberFormat="1" applyFont="1" applyFill="1"/>
    <xf numFmtId="0" fontId="0" fillId="92" borderId="0" xfId="0" applyFill="1"/>
    <xf numFmtId="44" fontId="0" fillId="92" borderId="0" xfId="0" applyNumberFormat="1" applyFill="1"/>
    <xf numFmtId="168" fontId="0" fillId="92" borderId="0" xfId="3" applyNumberFormat="1" applyFont="1" applyFill="1" applyBorder="1"/>
    <xf numFmtId="6" fontId="0" fillId="92" borderId="0" xfId="0" applyNumberFormat="1" applyFill="1"/>
    <xf numFmtId="8" fontId="0" fillId="92" borderId="0" xfId="0" applyNumberFormat="1" applyFill="1"/>
    <xf numFmtId="165" fontId="0" fillId="92" borderId="0" xfId="2" applyNumberFormat="1" applyFont="1" applyFill="1" applyBorder="1"/>
    <xf numFmtId="0" fontId="0" fillId="92" borderId="33" xfId="0" applyFill="1" applyBorder="1"/>
    <xf numFmtId="9" fontId="0" fillId="92" borderId="33" xfId="3" applyFont="1" applyFill="1" applyBorder="1"/>
    <xf numFmtId="0" fontId="0" fillId="92" borderId="34" xfId="0" applyFill="1" applyBorder="1"/>
    <xf numFmtId="165" fontId="0" fillId="11" borderId="0" xfId="3" applyNumberFormat="1" applyFont="1" applyFill="1"/>
    <xf numFmtId="0" fontId="19" fillId="0" borderId="0" xfId="0" applyFont="1" applyAlignment="1">
      <alignment wrapText="1"/>
    </xf>
    <xf numFmtId="0" fontId="15" fillId="12" borderId="0" xfId="3" applyNumberFormat="1" applyFont="1" applyFill="1"/>
    <xf numFmtId="165" fontId="19" fillId="71" borderId="0" xfId="2" applyNumberFormat="1" applyFont="1" applyFill="1" applyBorder="1" applyAlignment="1">
      <alignment horizontal="center" vertical="top"/>
    </xf>
    <xf numFmtId="0" fontId="19" fillId="71" borderId="33" xfId="0" applyFont="1" applyFill="1" applyBorder="1" applyAlignment="1">
      <alignment horizontal="center"/>
    </xf>
    <xf numFmtId="181" fontId="0" fillId="0" borderId="0" xfId="3" applyNumberFormat="1" applyFont="1"/>
    <xf numFmtId="181" fontId="0" fillId="11" borderId="0" xfId="3" applyNumberFormat="1" applyFont="1" applyFill="1"/>
    <xf numFmtId="43" fontId="3" fillId="0" borderId="0" xfId="0" applyNumberFormat="1" applyFont="1"/>
    <xf numFmtId="177" fontId="0" fillId="3" borderId="27" xfId="0" applyNumberFormat="1" applyFill="1" applyBorder="1" applyAlignment="1">
      <alignment horizontal="left"/>
    </xf>
    <xf numFmtId="182" fontId="78" fillId="3" borderId="4" xfId="2" applyNumberFormat="1" applyFont="1" applyFill="1" applyBorder="1" applyAlignment="1">
      <alignment horizontal="right" vertical="center" wrapText="1"/>
    </xf>
    <xf numFmtId="177" fontId="0" fillId="3" borderId="0" xfId="1" applyNumberFormat="1" applyFont="1" applyFill="1" applyBorder="1" applyAlignment="1">
      <alignment horizontal="left"/>
    </xf>
    <xf numFmtId="177" fontId="0" fillId="3" borderId="33" xfId="0" applyNumberFormat="1" applyFill="1" applyBorder="1" applyAlignment="1">
      <alignment horizontal="left"/>
    </xf>
    <xf numFmtId="0" fontId="19" fillId="3" borderId="2" xfId="0" applyFont="1" applyFill="1" applyBorder="1" applyAlignment="1">
      <alignment horizontal="left" vertical="center" wrapText="1"/>
    </xf>
    <xf numFmtId="0" fontId="19" fillId="3" borderId="4" xfId="0" applyFont="1" applyFill="1" applyBorder="1" applyAlignment="1">
      <alignment horizontal="center" vertical="center" wrapText="1"/>
    </xf>
    <xf numFmtId="0" fontId="19" fillId="3" borderId="3" xfId="0" applyFont="1" applyFill="1" applyBorder="1" applyAlignment="1">
      <alignment horizontal="center" vertical="center" wrapText="1"/>
    </xf>
    <xf numFmtId="168" fontId="0" fillId="3" borderId="1" xfId="3" applyNumberFormat="1" applyFont="1" applyFill="1" applyBorder="1" applyAlignment="1">
      <alignment horizontal="right"/>
    </xf>
    <xf numFmtId="0" fontId="21" fillId="0" borderId="33" xfId="0" applyFont="1" applyBorder="1"/>
    <xf numFmtId="0" fontId="21" fillId="0" borderId="27" xfId="0" applyFont="1" applyBorder="1"/>
    <xf numFmtId="0" fontId="21" fillId="0" borderId="30" xfId="0" applyFont="1" applyBorder="1"/>
    <xf numFmtId="10" fontId="3" fillId="3" borderId="0" xfId="3" applyNumberFormat="1" applyFont="1" applyFill="1" applyBorder="1" applyAlignment="1">
      <alignment horizontal="right" vertical="center"/>
    </xf>
    <xf numFmtId="169" fontId="21" fillId="0" borderId="0" xfId="0" applyNumberFormat="1" applyFont="1"/>
    <xf numFmtId="10" fontId="16" fillId="3" borderId="0" xfId="3" applyNumberFormat="1" applyFont="1" applyFill="1" applyBorder="1" applyAlignment="1">
      <alignment horizontal="right" vertical="top" indent="1"/>
    </xf>
    <xf numFmtId="0" fontId="12" fillId="87" borderId="0" xfId="0" applyFont="1" applyFill="1" applyAlignment="1">
      <alignment horizontal="right" indent="1"/>
    </xf>
    <xf numFmtId="10" fontId="5" fillId="87" borderId="0" xfId="3" applyNumberFormat="1" applyFont="1" applyFill="1" applyBorder="1" applyAlignment="1">
      <alignment horizontal="right" vertical="center" indent="1"/>
    </xf>
    <xf numFmtId="10" fontId="3" fillId="3" borderId="0" xfId="3" applyNumberFormat="1" applyFont="1" applyFill="1" applyBorder="1" applyAlignment="1">
      <alignment horizontal="right" vertical="top" indent="1"/>
    </xf>
    <xf numFmtId="0" fontId="4" fillId="5" borderId="0" xfId="0" applyFont="1" applyFill="1" applyAlignment="1">
      <alignment horizontal="right" indent="1"/>
    </xf>
    <xf numFmtId="10" fontId="5" fillId="78" borderId="0" xfId="3" applyNumberFormat="1" applyFont="1" applyFill="1" applyBorder="1" applyAlignment="1">
      <alignment horizontal="right" vertical="center" indent="1"/>
    </xf>
    <xf numFmtId="0" fontId="3" fillId="3" borderId="0" xfId="0" applyFont="1" applyFill="1" applyAlignment="1">
      <alignment horizontal="right" indent="1"/>
    </xf>
    <xf numFmtId="0" fontId="16" fillId="79" borderId="0" xfId="0" applyFont="1" applyFill="1" applyAlignment="1">
      <alignment horizontal="right" indent="1"/>
    </xf>
    <xf numFmtId="0" fontId="2" fillId="12" borderId="0" xfId="0" applyFont="1" applyFill="1" applyAlignment="1">
      <alignment horizontal="right" indent="1"/>
    </xf>
    <xf numFmtId="0" fontId="12" fillId="89" borderId="0" xfId="0" applyFont="1" applyFill="1" applyAlignment="1">
      <alignment horizontal="right" indent="1"/>
    </xf>
    <xf numFmtId="10" fontId="5" fillId="89" borderId="0" xfId="3" applyNumberFormat="1" applyFont="1" applyFill="1" applyBorder="1" applyAlignment="1">
      <alignment horizontal="right" vertical="center" indent="1"/>
    </xf>
    <xf numFmtId="10" fontId="5" fillId="79" borderId="0" xfId="3" applyNumberFormat="1" applyFont="1" applyFill="1" applyBorder="1" applyAlignment="1">
      <alignment horizontal="right" vertical="center" indent="1"/>
    </xf>
    <xf numFmtId="10" fontId="5" fillId="3" borderId="0" xfId="3" applyNumberFormat="1" applyFont="1" applyFill="1" applyBorder="1" applyAlignment="1">
      <alignment horizontal="right" indent="1"/>
    </xf>
    <xf numFmtId="0" fontId="12" fillId="86" borderId="0" xfId="0" applyFont="1" applyFill="1" applyAlignment="1">
      <alignment horizontal="right" indent="1"/>
    </xf>
    <xf numFmtId="10" fontId="5" fillId="86" borderId="0" xfId="3" applyNumberFormat="1" applyFont="1" applyFill="1" applyBorder="1" applyAlignment="1">
      <alignment horizontal="right" vertical="center" indent="1"/>
    </xf>
    <xf numFmtId="10" fontId="5" fillId="75" borderId="0" xfId="3" applyNumberFormat="1" applyFont="1" applyFill="1" applyBorder="1" applyAlignment="1">
      <alignment horizontal="right" vertical="center" indent="1"/>
    </xf>
    <xf numFmtId="10" fontId="5" fillId="3" borderId="0" xfId="0" applyNumberFormat="1" applyFont="1" applyFill="1" applyAlignment="1">
      <alignment horizontal="right" indent="1"/>
    </xf>
    <xf numFmtId="0" fontId="12" fillId="88" borderId="0" xfId="0" applyFont="1" applyFill="1" applyAlignment="1">
      <alignment horizontal="right" indent="1"/>
    </xf>
    <xf numFmtId="10" fontId="5" fillId="88" borderId="0" xfId="3" applyNumberFormat="1" applyFont="1" applyFill="1" applyBorder="1" applyAlignment="1">
      <alignment horizontal="right" vertical="center" indent="1"/>
    </xf>
    <xf numFmtId="10" fontId="5" fillId="76" borderId="0" xfId="3" applyNumberFormat="1" applyFont="1" applyFill="1" applyBorder="1" applyAlignment="1">
      <alignment horizontal="right" vertical="center" indent="1"/>
    </xf>
    <xf numFmtId="0" fontId="16" fillId="77" borderId="0" xfId="0" applyFont="1" applyFill="1" applyAlignment="1">
      <alignment horizontal="right" indent="1"/>
    </xf>
    <xf numFmtId="0" fontId="12" fillId="85" borderId="0" xfId="0" applyFont="1" applyFill="1" applyAlignment="1">
      <alignment horizontal="right" indent="1"/>
    </xf>
    <xf numFmtId="10" fontId="5" fillId="85" borderId="0" xfId="3" applyNumberFormat="1" applyFont="1" applyFill="1" applyBorder="1" applyAlignment="1">
      <alignment horizontal="right" vertical="center" indent="1"/>
    </xf>
    <xf numFmtId="165" fontId="16" fillId="3" borderId="0" xfId="2" applyNumberFormat="1" applyFont="1" applyFill="1" applyBorder="1" applyAlignment="1">
      <alignment horizontal="right" vertical="center" indent="1"/>
    </xf>
    <xf numFmtId="10" fontId="5" fillId="77" borderId="33" xfId="3" applyNumberFormat="1" applyFont="1" applyFill="1" applyBorder="1" applyAlignment="1">
      <alignment horizontal="right" vertical="center" indent="1"/>
    </xf>
    <xf numFmtId="10" fontId="68" fillId="3" borderId="0" xfId="3" applyNumberFormat="1" applyFont="1" applyFill="1" applyBorder="1" applyAlignment="1">
      <alignment horizontal="center" vertical="center"/>
    </xf>
    <xf numFmtId="171" fontId="60" fillId="3" borderId="0" xfId="2" applyNumberFormat="1" applyFont="1" applyFill="1" applyBorder="1" applyAlignment="1">
      <alignment horizontal="center" vertical="center"/>
    </xf>
    <xf numFmtId="10" fontId="60" fillId="3" borderId="0" xfId="3" applyNumberFormat="1" applyFont="1" applyFill="1" applyBorder="1" applyAlignment="1">
      <alignment horizontal="center" vertical="center"/>
    </xf>
    <xf numFmtId="3" fontId="60" fillId="3" borderId="0" xfId="1" applyNumberFormat="1" applyFont="1" applyFill="1" applyBorder="1" applyAlignment="1">
      <alignment horizontal="center" vertical="center"/>
    </xf>
    <xf numFmtId="167" fontId="60" fillId="3" borderId="0" xfId="3" applyNumberFormat="1" applyFont="1" applyFill="1" applyBorder="1" applyAlignment="1">
      <alignment horizontal="center" vertical="center"/>
    </xf>
    <xf numFmtId="0" fontId="59" fillId="3" borderId="0" xfId="0" applyFont="1" applyFill="1" applyAlignment="1">
      <alignment horizontal="left" vertical="center" wrapText="1"/>
    </xf>
    <xf numFmtId="0" fontId="59" fillId="3" borderId="98" xfId="0" applyFont="1" applyFill="1" applyBorder="1" applyAlignment="1">
      <alignment horizontal="left" vertical="center" wrapText="1"/>
    </xf>
    <xf numFmtId="171" fontId="60" fillId="11" borderId="0" xfId="2" applyNumberFormat="1" applyFont="1" applyFill="1" applyBorder="1" applyAlignment="1">
      <alignment horizontal="center" vertical="center"/>
    </xf>
    <xf numFmtId="0" fontId="66" fillId="68" borderId="30" xfId="0" applyFont="1" applyFill="1" applyBorder="1" applyAlignment="1">
      <alignment horizontal="left"/>
    </xf>
    <xf numFmtId="0" fontId="66" fillId="68" borderId="0" xfId="0" applyFont="1" applyFill="1" applyAlignment="1">
      <alignment horizontal="left"/>
    </xf>
    <xf numFmtId="0" fontId="31" fillId="3" borderId="98" xfId="0" applyFont="1" applyFill="1" applyBorder="1" applyAlignment="1">
      <alignment horizontal="center" vertical="center" wrapText="1"/>
    </xf>
    <xf numFmtId="0" fontId="59" fillId="3" borderId="98" xfId="0" applyFont="1" applyFill="1" applyBorder="1" applyAlignment="1">
      <alignment horizontal="center" vertical="center" wrapText="1"/>
    </xf>
    <xf numFmtId="0" fontId="57" fillId="3" borderId="0" xfId="0" applyFont="1" applyFill="1" applyAlignment="1">
      <alignment horizontal="center" vertical="center" wrapText="1"/>
    </xf>
    <xf numFmtId="3" fontId="68" fillId="3" borderId="0" xfId="1" applyNumberFormat="1" applyFont="1" applyFill="1" applyBorder="1" applyAlignment="1">
      <alignment horizontal="center" vertical="center"/>
    </xf>
    <xf numFmtId="0" fontId="66" fillId="4" borderId="0" xfId="0" applyFont="1" applyFill="1" applyAlignment="1">
      <alignment horizontal="left"/>
    </xf>
    <xf numFmtId="171" fontId="68" fillId="3" borderId="0" xfId="2" applyNumberFormat="1" applyFont="1" applyFill="1" applyBorder="1" applyAlignment="1">
      <alignment horizontal="center" vertical="center"/>
    </xf>
    <xf numFmtId="0" fontId="66" fillId="64" borderId="30" xfId="0" applyFont="1" applyFill="1" applyBorder="1" applyAlignment="1">
      <alignment horizontal="left"/>
    </xf>
    <xf numFmtId="0" fontId="66" fillId="64" borderId="0" xfId="0" applyFont="1" applyFill="1" applyAlignment="1">
      <alignment horizontal="left"/>
    </xf>
    <xf numFmtId="0" fontId="66" fillId="66" borderId="30" xfId="0" applyFont="1" applyFill="1" applyBorder="1" applyAlignment="1">
      <alignment horizontal="left"/>
    </xf>
    <xf numFmtId="0" fontId="66" fillId="66" borderId="0" xfId="0" applyFont="1" applyFill="1" applyAlignment="1">
      <alignment horizontal="left"/>
    </xf>
    <xf numFmtId="0" fontId="65" fillId="67" borderId="30" xfId="0" applyFont="1" applyFill="1" applyBorder="1" applyAlignment="1">
      <alignment horizontal="left"/>
    </xf>
    <xf numFmtId="0" fontId="65" fillId="67" borderId="0" xfId="0" applyFont="1" applyFill="1" applyAlignment="1">
      <alignment horizontal="left"/>
    </xf>
    <xf numFmtId="167" fontId="68" fillId="3" borderId="0" xfId="3" applyNumberFormat="1" applyFont="1" applyFill="1" applyBorder="1" applyAlignment="1">
      <alignment horizontal="center" vertical="center"/>
    </xf>
    <xf numFmtId="0" fontId="65" fillId="27" borderId="30" xfId="0" applyFont="1" applyFill="1" applyBorder="1" applyAlignment="1">
      <alignment horizontal="left"/>
    </xf>
    <xf numFmtId="0" fontId="65" fillId="27" borderId="0" xfId="0" applyFont="1" applyFill="1" applyAlignment="1">
      <alignment horizontal="left"/>
    </xf>
    <xf numFmtId="0" fontId="56" fillId="69" borderId="30" xfId="0" applyFont="1" applyFill="1" applyBorder="1" applyAlignment="1">
      <alignment horizontal="left"/>
    </xf>
    <xf numFmtId="0" fontId="56" fillId="69" borderId="0" xfId="0" applyFont="1" applyFill="1" applyAlignment="1">
      <alignment horizontal="left"/>
    </xf>
    <xf numFmtId="0" fontId="31" fillId="3" borderId="98" xfId="0" applyFont="1" applyFill="1" applyBorder="1" applyAlignment="1">
      <alignment horizontal="left" vertical="center" wrapText="1"/>
    </xf>
    <xf numFmtId="0" fontId="59" fillId="3" borderId="3" xfId="0" applyFont="1" applyFill="1" applyBorder="1" applyAlignment="1">
      <alignment horizontal="left" vertical="center" wrapText="1"/>
    </xf>
    <xf numFmtId="0" fontId="65" fillId="67" borderId="43" xfId="0" applyFont="1" applyFill="1" applyBorder="1" applyAlignment="1">
      <alignment horizontal="left"/>
    </xf>
    <xf numFmtId="0" fontId="65" fillId="67" borderId="34" xfId="0" applyFont="1" applyFill="1" applyBorder="1" applyAlignment="1">
      <alignment horizontal="left"/>
    </xf>
    <xf numFmtId="0" fontId="65" fillId="67" borderId="26" xfId="0" applyFont="1" applyFill="1" applyBorder="1" applyAlignment="1">
      <alignment horizontal="left"/>
    </xf>
    <xf numFmtId="0" fontId="66" fillId="64" borderId="43" xfId="0" applyFont="1" applyFill="1" applyBorder="1" applyAlignment="1">
      <alignment horizontal="left"/>
    </xf>
    <xf numFmtId="0" fontId="66" fillId="64" borderId="34" xfId="0" applyFont="1" applyFill="1" applyBorder="1" applyAlignment="1">
      <alignment horizontal="left"/>
    </xf>
    <xf numFmtId="0" fontId="66" fillId="64" borderId="26" xfId="0" applyFont="1" applyFill="1" applyBorder="1" applyAlignment="1">
      <alignment horizontal="left"/>
    </xf>
    <xf numFmtId="0" fontId="66" fillId="66" borderId="43" xfId="0" applyFont="1" applyFill="1" applyBorder="1" applyAlignment="1">
      <alignment horizontal="left"/>
    </xf>
    <xf numFmtId="0" fontId="66" fillId="66" borderId="34" xfId="0" applyFont="1" applyFill="1" applyBorder="1" applyAlignment="1">
      <alignment horizontal="left"/>
    </xf>
    <xf numFmtId="0" fontId="66" fillId="66" borderId="26" xfId="0" applyFont="1" applyFill="1" applyBorder="1" applyAlignment="1">
      <alignment horizontal="left"/>
    </xf>
    <xf numFmtId="0" fontId="66" fillId="68" borderId="43" xfId="0" applyFont="1" applyFill="1" applyBorder="1" applyAlignment="1">
      <alignment horizontal="left"/>
    </xf>
    <xf numFmtId="0" fontId="66" fillId="68" borderId="34" xfId="0" applyFont="1" applyFill="1" applyBorder="1" applyAlignment="1">
      <alignment horizontal="left"/>
    </xf>
    <xf numFmtId="0" fontId="66" fillId="68" borderId="26" xfId="0" applyFont="1" applyFill="1" applyBorder="1" applyAlignment="1">
      <alignment horizontal="left"/>
    </xf>
    <xf numFmtId="0" fontId="65" fillId="27" borderId="43" xfId="0" applyFont="1" applyFill="1" applyBorder="1" applyAlignment="1">
      <alignment horizontal="left"/>
    </xf>
    <xf numFmtId="0" fontId="65" fillId="27" borderId="34" xfId="0" applyFont="1" applyFill="1" applyBorder="1" applyAlignment="1">
      <alignment horizontal="left"/>
    </xf>
    <xf numFmtId="0" fontId="65" fillId="27" borderId="26" xfId="0" applyFont="1" applyFill="1" applyBorder="1" applyAlignment="1">
      <alignment horizontal="left"/>
    </xf>
    <xf numFmtId="0" fontId="65" fillId="65" borderId="43" xfId="0" applyFont="1" applyFill="1" applyBorder="1" applyAlignment="1">
      <alignment horizontal="left"/>
    </xf>
    <xf numFmtId="0" fontId="65" fillId="65" borderId="34" xfId="0" applyFont="1" applyFill="1" applyBorder="1" applyAlignment="1">
      <alignment horizontal="left"/>
    </xf>
    <xf numFmtId="0" fontId="65" fillId="65" borderId="26" xfId="0" applyFont="1" applyFill="1" applyBorder="1" applyAlignment="1">
      <alignment horizontal="left"/>
    </xf>
    <xf numFmtId="0" fontId="56" fillId="69" borderId="43" xfId="0" applyFont="1" applyFill="1" applyBorder="1" applyAlignment="1">
      <alignment horizontal="left"/>
    </xf>
    <xf numFmtId="0" fontId="56" fillId="69" borderId="34" xfId="0" applyFont="1" applyFill="1" applyBorder="1" applyAlignment="1">
      <alignment horizontal="left"/>
    </xf>
    <xf numFmtId="0" fontId="56" fillId="69" borderId="26" xfId="0" applyFont="1" applyFill="1" applyBorder="1" applyAlignment="1">
      <alignment horizontal="left"/>
    </xf>
    <xf numFmtId="0" fontId="12" fillId="24" borderId="8" xfId="0" applyFont="1" applyFill="1" applyBorder="1" applyAlignment="1">
      <alignment horizontal="left" vertical="top"/>
    </xf>
    <xf numFmtId="0" fontId="12" fillId="24" borderId="44" xfId="0" applyFont="1" applyFill="1" applyBorder="1" applyAlignment="1">
      <alignment horizontal="left" vertical="top"/>
    </xf>
    <xf numFmtId="0" fontId="12" fillId="16" borderId="10" xfId="0" applyFont="1" applyFill="1" applyBorder="1" applyAlignment="1">
      <alignment horizontal="center"/>
    </xf>
    <xf numFmtId="0" fontId="12" fillId="16" borderId="44" xfId="0" applyFont="1" applyFill="1" applyBorder="1" applyAlignment="1">
      <alignment horizontal="center"/>
    </xf>
    <xf numFmtId="0" fontId="2" fillId="4" borderId="24" xfId="0" applyFont="1" applyFill="1" applyBorder="1" applyAlignment="1">
      <alignment horizontal="center"/>
    </xf>
    <xf numFmtId="0" fontId="4" fillId="5" borderId="37" xfId="0" applyFont="1" applyFill="1" applyBorder="1" applyAlignment="1">
      <alignment horizontal="left"/>
    </xf>
    <xf numFmtId="0" fontId="4" fillId="5" borderId="34" xfId="0" applyFont="1" applyFill="1" applyBorder="1" applyAlignment="1">
      <alignment horizontal="left"/>
    </xf>
    <xf numFmtId="0" fontId="4" fillId="5" borderId="35" xfId="0" applyFont="1" applyFill="1" applyBorder="1" applyAlignment="1">
      <alignment horizontal="left"/>
    </xf>
    <xf numFmtId="0" fontId="11" fillId="3" borderId="0" xfId="0" applyFont="1" applyFill="1" applyAlignment="1">
      <alignment horizontal="center"/>
    </xf>
    <xf numFmtId="0" fontId="11" fillId="3" borderId="1" xfId="0" applyFont="1" applyFill="1" applyBorder="1" applyAlignment="1">
      <alignment horizontal="center"/>
    </xf>
    <xf numFmtId="0" fontId="11" fillId="12" borderId="8" xfId="0" applyFont="1" applyFill="1" applyBorder="1" applyAlignment="1">
      <alignment horizontal="left" vertical="center" wrapText="1"/>
    </xf>
    <xf numFmtId="0" fontId="11" fillId="12" borderId="44" xfId="0" applyFont="1" applyFill="1" applyBorder="1" applyAlignment="1">
      <alignment horizontal="left" vertical="center" wrapText="1"/>
    </xf>
    <xf numFmtId="0" fontId="3" fillId="3" borderId="30" xfId="0" applyFont="1" applyFill="1" applyBorder="1" applyAlignment="1">
      <alignment horizontal="left"/>
    </xf>
    <xf numFmtId="0" fontId="3" fillId="3" borderId="0" xfId="0" applyFont="1" applyFill="1" applyAlignment="1">
      <alignment horizontal="left"/>
    </xf>
    <xf numFmtId="0" fontId="3" fillId="3" borderId="1" xfId="0" applyFont="1" applyFill="1" applyBorder="1" applyAlignment="1">
      <alignment horizontal="left"/>
    </xf>
    <xf numFmtId="0" fontId="3" fillId="3" borderId="30" xfId="0" applyFont="1" applyFill="1" applyBorder="1" applyAlignment="1">
      <alignment horizontal="left" vertical="center"/>
    </xf>
    <xf numFmtId="0" fontId="3" fillId="3" borderId="0" xfId="0" applyFont="1" applyFill="1" applyAlignment="1">
      <alignment horizontal="left" vertical="center"/>
    </xf>
    <xf numFmtId="0" fontId="3" fillId="3" borderId="1" xfId="0" applyFont="1" applyFill="1" applyBorder="1" applyAlignment="1">
      <alignment horizontal="left" vertical="center"/>
    </xf>
    <xf numFmtId="0" fontId="7" fillId="3" borderId="37" xfId="0" applyFont="1" applyFill="1" applyBorder="1" applyAlignment="1">
      <alignment horizontal="left" vertical="center" wrapText="1"/>
    </xf>
    <xf numFmtId="0" fontId="7" fillId="3" borderId="34" xfId="0" applyFont="1" applyFill="1" applyBorder="1" applyAlignment="1">
      <alignment horizontal="left" vertical="center" wrapText="1"/>
    </xf>
    <xf numFmtId="0" fontId="7" fillId="3" borderId="26" xfId="0" applyFont="1" applyFill="1" applyBorder="1" applyAlignment="1">
      <alignment horizontal="left" vertical="center" wrapText="1"/>
    </xf>
    <xf numFmtId="0" fontId="13" fillId="13" borderId="3" xfId="4" applyFont="1" applyFill="1" applyBorder="1" applyAlignment="1">
      <alignment horizontal="center" wrapText="1"/>
    </xf>
    <xf numFmtId="0" fontId="13" fillId="13" borderId="4" xfId="4" applyFont="1" applyFill="1" applyBorder="1" applyAlignment="1">
      <alignment horizontal="center" wrapText="1"/>
    </xf>
    <xf numFmtId="0" fontId="13" fillId="13" borderId="0" xfId="4" applyFont="1" applyFill="1" applyBorder="1" applyAlignment="1">
      <alignment horizontal="center" wrapText="1"/>
    </xf>
    <xf numFmtId="0" fontId="13" fillId="13" borderId="1" xfId="4" applyFont="1" applyFill="1" applyBorder="1" applyAlignment="1">
      <alignment horizontal="center" wrapText="1"/>
    </xf>
    <xf numFmtId="0" fontId="13" fillId="13" borderId="33" xfId="4" applyFont="1" applyFill="1" applyBorder="1" applyAlignment="1">
      <alignment horizontal="center" wrapText="1"/>
    </xf>
    <xf numFmtId="0" fontId="13" fillId="13" borderId="27" xfId="4" applyFont="1" applyFill="1" applyBorder="1" applyAlignment="1">
      <alignment horizontal="center" wrapText="1"/>
    </xf>
    <xf numFmtId="0" fontId="3" fillId="13" borderId="2" xfId="0" applyFont="1" applyFill="1" applyBorder="1" applyAlignment="1">
      <alignment horizontal="center"/>
    </xf>
    <xf numFmtId="0" fontId="3" fillId="13" borderId="3" xfId="0" applyFont="1" applyFill="1" applyBorder="1" applyAlignment="1">
      <alignment horizontal="center"/>
    </xf>
    <xf numFmtId="0" fontId="3" fillId="13" borderId="38" xfId="0" applyFont="1" applyFill="1" applyBorder="1" applyAlignment="1">
      <alignment horizontal="center"/>
    </xf>
    <xf numFmtId="0" fontId="3" fillId="13" borderId="30" xfId="0" applyFont="1" applyFill="1" applyBorder="1" applyAlignment="1">
      <alignment horizontal="center"/>
    </xf>
    <xf numFmtId="0" fontId="3" fillId="13" borderId="0" xfId="0" applyFont="1" applyFill="1" applyAlignment="1">
      <alignment horizontal="center"/>
    </xf>
    <xf numFmtId="0" fontId="3" fillId="13" borderId="15" xfId="0" applyFont="1" applyFill="1" applyBorder="1" applyAlignment="1">
      <alignment horizontal="center"/>
    </xf>
    <xf numFmtId="0" fontId="3" fillId="13" borderId="7" xfId="0" applyFont="1" applyFill="1" applyBorder="1" applyAlignment="1">
      <alignment horizontal="center"/>
    </xf>
    <xf numFmtId="0" fontId="3" fillId="13" borderId="23" xfId="0" applyFont="1" applyFill="1" applyBorder="1" applyAlignment="1">
      <alignment horizontal="center"/>
    </xf>
    <xf numFmtId="0" fontId="3" fillId="3" borderId="5" xfId="0" applyFont="1" applyFill="1" applyBorder="1" applyAlignment="1">
      <alignment horizontal="left" vertical="center" wrapText="1"/>
    </xf>
    <xf numFmtId="0" fontId="3" fillId="3" borderId="0" xfId="0" applyFont="1" applyFill="1" applyAlignment="1">
      <alignment horizontal="left" vertical="center" wrapText="1"/>
    </xf>
    <xf numFmtId="0" fontId="7" fillId="24" borderId="37" xfId="0" applyFont="1" applyFill="1" applyBorder="1" applyAlignment="1">
      <alignment horizontal="left" vertical="center" wrapText="1"/>
    </xf>
    <xf numFmtId="0" fontId="7" fillId="24" borderId="34" xfId="0" applyFont="1" applyFill="1" applyBorder="1" applyAlignment="1">
      <alignment horizontal="left" vertical="center" wrapText="1"/>
    </xf>
    <xf numFmtId="0" fontId="7" fillId="24" borderId="26" xfId="0" applyFont="1" applyFill="1" applyBorder="1" applyAlignment="1">
      <alignment horizontal="left" vertical="center" wrapText="1"/>
    </xf>
    <xf numFmtId="0" fontId="4" fillId="5" borderId="49" xfId="0" applyFont="1" applyFill="1" applyBorder="1" applyAlignment="1">
      <alignment horizontal="left"/>
    </xf>
    <xf numFmtId="0" fontId="4" fillId="5" borderId="3" xfId="0" applyFont="1" applyFill="1" applyBorder="1" applyAlignment="1">
      <alignment horizontal="left"/>
    </xf>
    <xf numFmtId="0" fontId="4" fillId="5" borderId="4" xfId="0" applyFont="1" applyFill="1" applyBorder="1" applyAlignment="1">
      <alignment horizontal="left"/>
    </xf>
    <xf numFmtId="165" fontId="3" fillId="3" borderId="46" xfId="2" applyNumberFormat="1" applyFont="1" applyFill="1" applyBorder="1" applyAlignment="1">
      <alignment horizontal="center"/>
    </xf>
    <xf numFmtId="165" fontId="3" fillId="3" borderId="9" xfId="2" applyNumberFormat="1" applyFont="1" applyFill="1" applyBorder="1" applyAlignment="1">
      <alignment horizontal="center"/>
    </xf>
    <xf numFmtId="165" fontId="3" fillId="3" borderId="0" xfId="2" applyNumberFormat="1" applyFont="1" applyFill="1" applyBorder="1" applyAlignment="1">
      <alignment horizontal="center"/>
    </xf>
    <xf numFmtId="165" fontId="3" fillId="3" borderId="25" xfId="2" applyNumberFormat="1" applyFont="1" applyFill="1" applyBorder="1" applyAlignment="1">
      <alignment horizontal="center"/>
    </xf>
    <xf numFmtId="165" fontId="3" fillId="3" borderId="33" xfId="2" applyNumberFormat="1" applyFont="1" applyFill="1" applyBorder="1" applyAlignment="1">
      <alignment horizontal="center"/>
    </xf>
    <xf numFmtId="0" fontId="3" fillId="3" borderId="11" xfId="0" applyFont="1" applyFill="1" applyBorder="1" applyAlignment="1">
      <alignment horizontal="left"/>
    </xf>
    <xf numFmtId="0" fontId="3" fillId="3" borderId="9" xfId="0" applyFont="1" applyFill="1" applyBorder="1" applyAlignment="1">
      <alignment horizontal="left"/>
    </xf>
    <xf numFmtId="0" fontId="3" fillId="3" borderId="21" xfId="0" applyFont="1" applyFill="1" applyBorder="1" applyAlignment="1">
      <alignment horizontal="left"/>
    </xf>
    <xf numFmtId="0" fontId="4" fillId="5" borderId="20" xfId="0" applyFont="1" applyFill="1" applyBorder="1" applyAlignment="1">
      <alignment horizontal="left"/>
    </xf>
    <xf numFmtId="0" fontId="4" fillId="5" borderId="7" xfId="0" applyFont="1" applyFill="1" applyBorder="1" applyAlignment="1">
      <alignment horizontal="left"/>
    </xf>
    <xf numFmtId="0" fontId="4" fillId="5" borderId="0" xfId="0" applyFont="1" applyFill="1" applyAlignment="1">
      <alignment horizontal="left"/>
    </xf>
    <xf numFmtId="0" fontId="4" fillId="5" borderId="15" xfId="0" applyFont="1" applyFill="1" applyBorder="1" applyAlignment="1">
      <alignment horizontal="left"/>
    </xf>
    <xf numFmtId="0" fontId="3" fillId="9" borderId="12" xfId="0" applyFont="1" applyFill="1" applyBorder="1" applyAlignment="1">
      <alignment horizontal="left"/>
    </xf>
    <xf numFmtId="0" fontId="3" fillId="9" borderId="13" xfId="0" applyFont="1" applyFill="1" applyBorder="1" applyAlignment="1">
      <alignment horizontal="left"/>
    </xf>
    <xf numFmtId="0" fontId="3" fillId="9" borderId="51" xfId="0" applyFont="1" applyFill="1" applyBorder="1" applyAlignment="1">
      <alignment horizontal="left"/>
    </xf>
    <xf numFmtId="0" fontId="3" fillId="9" borderId="16" xfId="0" applyFont="1" applyFill="1" applyBorder="1" applyAlignment="1">
      <alignment horizontal="left" vertical="center"/>
    </xf>
    <xf numFmtId="0" fontId="3" fillId="9" borderId="17" xfId="0" applyFont="1" applyFill="1" applyBorder="1" applyAlignment="1">
      <alignment horizontal="left" vertical="center"/>
    </xf>
    <xf numFmtId="0" fontId="3" fillId="9" borderId="43" xfId="0" applyFont="1" applyFill="1" applyBorder="1" applyAlignment="1">
      <alignment horizontal="left" vertical="center"/>
    </xf>
    <xf numFmtId="0" fontId="3" fillId="9" borderId="16" xfId="0" applyFont="1" applyFill="1" applyBorder="1" applyAlignment="1">
      <alignment horizontal="left"/>
    </xf>
    <xf numFmtId="0" fontId="3" fillId="9" borderId="17" xfId="0" applyFont="1" applyFill="1" applyBorder="1" applyAlignment="1">
      <alignment horizontal="left"/>
    </xf>
    <xf numFmtId="0" fontId="3" fillId="9" borderId="43" xfId="0" applyFont="1" applyFill="1" applyBorder="1" applyAlignment="1">
      <alignment horizontal="left"/>
    </xf>
    <xf numFmtId="0" fontId="3" fillId="3" borderId="5" xfId="0" applyFont="1" applyFill="1" applyBorder="1" applyAlignment="1">
      <alignment horizontal="left"/>
    </xf>
    <xf numFmtId="0" fontId="3" fillId="3" borderId="15" xfId="0" applyFont="1" applyFill="1" applyBorder="1" applyAlignment="1">
      <alignment horizontal="left"/>
    </xf>
    <xf numFmtId="0" fontId="3" fillId="3" borderId="20" xfId="0" applyFont="1" applyFill="1" applyBorder="1" applyAlignment="1">
      <alignment horizontal="left"/>
    </xf>
    <xf numFmtId="0" fontId="3" fillId="3" borderId="7" xfId="0" applyFont="1" applyFill="1" applyBorder="1" applyAlignment="1">
      <alignment horizontal="left"/>
    </xf>
    <xf numFmtId="0" fontId="3" fillId="3" borderId="23" xfId="0" applyFont="1" applyFill="1" applyBorder="1" applyAlignment="1">
      <alignment horizontal="left"/>
    </xf>
    <xf numFmtId="0" fontId="7" fillId="24" borderId="39" xfId="0" applyFont="1" applyFill="1" applyBorder="1" applyAlignment="1">
      <alignment horizontal="left" vertical="center" wrapText="1"/>
    </xf>
    <xf numFmtId="0" fontId="7" fillId="24" borderId="40" xfId="0" applyFont="1" applyFill="1" applyBorder="1" applyAlignment="1">
      <alignment horizontal="left" vertical="center" wrapText="1"/>
    </xf>
    <xf numFmtId="0" fontId="7" fillId="24" borderId="41" xfId="0" applyFont="1" applyFill="1" applyBorder="1" applyAlignment="1">
      <alignment horizontal="left" vertical="center" wrapText="1"/>
    </xf>
    <xf numFmtId="0" fontId="3" fillId="13" borderId="20" xfId="0" applyFont="1" applyFill="1" applyBorder="1" applyAlignment="1">
      <alignment horizontal="center"/>
    </xf>
    <xf numFmtId="0" fontId="5" fillId="14" borderId="10" xfId="0" applyFont="1" applyFill="1" applyBorder="1" applyAlignment="1">
      <alignment horizontal="center"/>
    </xf>
    <xf numFmtId="0" fontId="5" fillId="14" borderId="44" xfId="0" applyFont="1" applyFill="1" applyBorder="1" applyAlignment="1">
      <alignment horizontal="center"/>
    </xf>
    <xf numFmtId="0" fontId="2" fillId="4" borderId="7" xfId="0" applyFont="1" applyFill="1" applyBorder="1" applyAlignment="1">
      <alignment horizontal="center"/>
    </xf>
    <xf numFmtId="0" fontId="3" fillId="3" borderId="16" xfId="0" applyFont="1" applyFill="1" applyBorder="1" applyAlignment="1">
      <alignment horizontal="center"/>
    </xf>
    <xf numFmtId="0" fontId="3" fillId="3" borderId="17" xfId="0" applyFont="1" applyFill="1" applyBorder="1" applyAlignment="1">
      <alignment horizontal="center"/>
    </xf>
    <xf numFmtId="0" fontId="3" fillId="3" borderId="43" xfId="0" applyFont="1" applyFill="1" applyBorder="1" applyAlignment="1">
      <alignment horizontal="center"/>
    </xf>
    <xf numFmtId="0" fontId="4" fillId="5" borderId="8" xfId="0" applyFont="1" applyFill="1" applyBorder="1" applyAlignment="1">
      <alignment horizontal="left"/>
    </xf>
    <xf numFmtId="0" fontId="4" fillId="5" borderId="10" xfId="0" applyFont="1" applyFill="1" applyBorder="1" applyAlignment="1">
      <alignment horizontal="left"/>
    </xf>
    <xf numFmtId="0" fontId="4" fillId="5" borderId="44" xfId="0" applyFont="1" applyFill="1" applyBorder="1" applyAlignment="1">
      <alignment horizontal="left"/>
    </xf>
    <xf numFmtId="165" fontId="3" fillId="0" borderId="46" xfId="2" applyNumberFormat="1" applyFont="1" applyFill="1" applyBorder="1" applyAlignment="1">
      <alignment horizontal="center"/>
    </xf>
    <xf numFmtId="165" fontId="3" fillId="0" borderId="47" xfId="2" applyNumberFormat="1" applyFont="1" applyFill="1" applyBorder="1" applyAlignment="1">
      <alignment horizontal="center"/>
    </xf>
    <xf numFmtId="165" fontId="3" fillId="0" borderId="30" xfId="2" applyNumberFormat="1" applyFont="1" applyFill="1" applyBorder="1" applyAlignment="1">
      <alignment horizontal="center"/>
    </xf>
    <xf numFmtId="165" fontId="3" fillId="0" borderId="1" xfId="2" applyNumberFormat="1" applyFont="1" applyFill="1" applyBorder="1" applyAlignment="1">
      <alignment horizontal="center"/>
    </xf>
    <xf numFmtId="165" fontId="3" fillId="0" borderId="6" xfId="2" applyNumberFormat="1" applyFont="1" applyFill="1" applyBorder="1" applyAlignment="1">
      <alignment horizontal="center"/>
    </xf>
    <xf numFmtId="165" fontId="3" fillId="0" borderId="42" xfId="2" applyNumberFormat="1" applyFont="1" applyFill="1" applyBorder="1" applyAlignment="1">
      <alignment horizontal="center"/>
    </xf>
    <xf numFmtId="0" fontId="3" fillId="3" borderId="27" xfId="0" applyFont="1" applyFill="1" applyBorder="1" applyAlignment="1">
      <alignment horizontal="center"/>
    </xf>
    <xf numFmtId="0" fontId="3" fillId="3" borderId="24" xfId="0" applyFont="1" applyFill="1" applyBorder="1" applyAlignment="1">
      <alignment horizontal="center"/>
    </xf>
    <xf numFmtId="0" fontId="3" fillId="3" borderId="36" xfId="0" applyFont="1" applyFill="1" applyBorder="1" applyAlignment="1">
      <alignment horizontal="center"/>
    </xf>
    <xf numFmtId="0" fontId="3" fillId="9" borderId="27" xfId="0" applyFont="1" applyFill="1" applyBorder="1" applyAlignment="1">
      <alignment horizontal="left"/>
    </xf>
    <xf numFmtId="0" fontId="3" fillId="9" borderId="24" xfId="0" applyFont="1" applyFill="1" applyBorder="1" applyAlignment="1">
      <alignment horizontal="left"/>
    </xf>
    <xf numFmtId="0" fontId="3" fillId="9" borderId="36" xfId="0" applyFont="1" applyFill="1" applyBorder="1" applyAlignment="1">
      <alignment horizontal="left"/>
    </xf>
    <xf numFmtId="0" fontId="3" fillId="3" borderId="37" xfId="0" applyFont="1" applyFill="1" applyBorder="1" applyAlignment="1">
      <alignment horizontal="left" vertical="center"/>
    </xf>
    <xf numFmtId="0" fontId="3" fillId="3" borderId="34" xfId="0" applyFont="1" applyFill="1" applyBorder="1" applyAlignment="1">
      <alignment horizontal="left" vertical="center"/>
    </xf>
    <xf numFmtId="0" fontId="3" fillId="3" borderId="35" xfId="0" applyFont="1" applyFill="1" applyBorder="1" applyAlignment="1">
      <alignment horizontal="left" vertical="center"/>
    </xf>
    <xf numFmtId="0" fontId="3" fillId="3" borderId="26" xfId="0" applyFont="1" applyFill="1" applyBorder="1" applyAlignment="1">
      <alignment horizontal="left"/>
    </xf>
    <xf numFmtId="0" fontId="3" fillId="3" borderId="17" xfId="0" applyFont="1" applyFill="1" applyBorder="1" applyAlignment="1">
      <alignment horizontal="left"/>
    </xf>
    <xf numFmtId="0" fontId="3" fillId="3" borderId="18" xfId="0" applyFont="1" applyFill="1" applyBorder="1" applyAlignment="1">
      <alignment horizontal="left"/>
    </xf>
    <xf numFmtId="0" fontId="3" fillId="3" borderId="26" xfId="0" applyFont="1" applyFill="1" applyBorder="1" applyAlignment="1">
      <alignment horizontal="left" vertical="center"/>
    </xf>
    <xf numFmtId="0" fontId="3" fillId="3" borderId="17" xfId="0" applyFont="1" applyFill="1" applyBorder="1" applyAlignment="1">
      <alignment horizontal="left" vertical="center"/>
    </xf>
    <xf numFmtId="0" fontId="3" fillId="3" borderId="18" xfId="0" applyFont="1" applyFill="1" applyBorder="1" applyAlignment="1">
      <alignment horizontal="left" vertical="center"/>
    </xf>
    <xf numFmtId="0" fontId="3" fillId="3" borderId="18" xfId="0" applyFont="1" applyFill="1" applyBorder="1" applyAlignment="1">
      <alignment horizontal="center"/>
    </xf>
    <xf numFmtId="0" fontId="5" fillId="19" borderId="10" xfId="0" applyFont="1" applyFill="1" applyBorder="1" applyAlignment="1">
      <alignment horizontal="center"/>
    </xf>
    <xf numFmtId="0" fontId="5" fillId="19" borderId="44" xfId="0" applyFont="1" applyFill="1" applyBorder="1" applyAlignment="1">
      <alignment horizontal="center"/>
    </xf>
    <xf numFmtId="0" fontId="4" fillId="5" borderId="5" xfId="0" applyFont="1" applyFill="1" applyBorder="1" applyAlignment="1">
      <alignment horizontal="left"/>
    </xf>
    <xf numFmtId="0" fontId="4" fillId="5" borderId="23" xfId="0" applyFont="1" applyFill="1" applyBorder="1" applyAlignment="1">
      <alignment horizontal="left"/>
    </xf>
    <xf numFmtId="0" fontId="5" fillId="20" borderId="10" xfId="0" applyFont="1" applyFill="1" applyBorder="1" applyAlignment="1">
      <alignment horizontal="center"/>
    </xf>
    <xf numFmtId="0" fontId="5" fillId="20" borderId="44" xfId="0" applyFont="1" applyFill="1" applyBorder="1" applyAlignment="1">
      <alignment horizontal="center"/>
    </xf>
    <xf numFmtId="0" fontId="3" fillId="3" borderId="43" xfId="0" applyFont="1" applyFill="1" applyBorder="1" applyAlignment="1">
      <alignment horizontal="left"/>
    </xf>
    <xf numFmtId="0" fontId="3" fillId="3" borderId="34" xfId="0" applyFont="1" applyFill="1" applyBorder="1" applyAlignment="1">
      <alignment horizontal="left"/>
    </xf>
    <xf numFmtId="0" fontId="3" fillId="3" borderId="27" xfId="0" applyFont="1" applyFill="1" applyBorder="1" applyAlignment="1">
      <alignment horizontal="left" vertical="center"/>
    </xf>
    <xf numFmtId="0" fontId="3" fillId="3" borderId="24" xfId="0" applyFont="1" applyFill="1" applyBorder="1" applyAlignment="1">
      <alignment horizontal="left" vertical="center"/>
    </xf>
    <xf numFmtId="0" fontId="3" fillId="3" borderId="36" xfId="0" applyFont="1" applyFill="1" applyBorder="1" applyAlignment="1">
      <alignment horizontal="left" vertical="center"/>
    </xf>
    <xf numFmtId="165" fontId="3" fillId="3" borderId="47" xfId="2" applyNumberFormat="1" applyFont="1" applyFill="1" applyBorder="1" applyAlignment="1">
      <alignment horizontal="center"/>
    </xf>
    <xf numFmtId="165" fontId="3" fillId="3" borderId="30" xfId="2" applyNumberFormat="1" applyFont="1" applyFill="1" applyBorder="1" applyAlignment="1">
      <alignment horizontal="center"/>
    </xf>
    <xf numFmtId="165" fontId="3" fillId="3" borderId="1" xfId="2" applyNumberFormat="1" applyFont="1" applyFill="1" applyBorder="1" applyAlignment="1">
      <alignment horizontal="center"/>
    </xf>
    <xf numFmtId="165" fontId="3" fillId="3" borderId="6" xfId="2" applyNumberFormat="1" applyFont="1" applyFill="1" applyBorder="1" applyAlignment="1">
      <alignment horizontal="center"/>
    </xf>
    <xf numFmtId="165" fontId="3" fillId="3" borderId="42" xfId="2" applyNumberFormat="1" applyFont="1" applyFill="1" applyBorder="1" applyAlignment="1">
      <alignment horizontal="center"/>
    </xf>
    <xf numFmtId="0" fontId="3" fillId="3" borderId="27" xfId="0" applyFont="1" applyFill="1" applyBorder="1" applyAlignment="1">
      <alignment horizontal="left"/>
    </xf>
    <xf numFmtId="0" fontId="3" fillId="3" borderId="24" xfId="0" applyFont="1" applyFill="1" applyBorder="1" applyAlignment="1">
      <alignment horizontal="left"/>
    </xf>
    <xf numFmtId="0" fontId="3" fillId="3" borderId="36" xfId="0" applyFont="1" applyFill="1" applyBorder="1" applyAlignment="1">
      <alignment horizontal="left"/>
    </xf>
    <xf numFmtId="0" fontId="5" fillId="21" borderId="10" xfId="0" applyFont="1" applyFill="1" applyBorder="1" applyAlignment="1">
      <alignment horizontal="center"/>
    </xf>
    <xf numFmtId="0" fontId="5" fillId="21" borderId="44" xfId="0" applyFont="1" applyFill="1" applyBorder="1" applyAlignment="1">
      <alignment horizontal="center"/>
    </xf>
    <xf numFmtId="0" fontId="3" fillId="3" borderId="26" xfId="0" applyFont="1" applyFill="1" applyBorder="1" applyAlignment="1">
      <alignment horizontal="center"/>
    </xf>
    <xf numFmtId="0" fontId="12" fillId="9" borderId="8" xfId="0" applyFont="1" applyFill="1" applyBorder="1" applyAlignment="1">
      <alignment horizontal="center"/>
    </xf>
    <xf numFmtId="0" fontId="12" fillId="9" borderId="44" xfId="0" applyFont="1" applyFill="1" applyBorder="1" applyAlignment="1">
      <alignment horizontal="center"/>
    </xf>
    <xf numFmtId="0" fontId="32" fillId="4" borderId="61" xfId="0" applyFont="1" applyFill="1" applyBorder="1" applyAlignment="1">
      <alignment horizontal="center" vertical="center"/>
    </xf>
    <xf numFmtId="0" fontId="32" fillId="4" borderId="29" xfId="0" applyFont="1" applyFill="1" applyBorder="1" applyAlignment="1">
      <alignment horizontal="center" vertical="center"/>
    </xf>
    <xf numFmtId="0" fontId="32" fillId="4" borderId="52" xfId="0" applyFont="1" applyFill="1" applyBorder="1" applyAlignment="1">
      <alignment horizontal="center" vertical="center"/>
    </xf>
    <xf numFmtId="0" fontId="42" fillId="5" borderId="11" xfId="0" applyFont="1" applyFill="1" applyBorder="1" applyAlignment="1">
      <alignment horizontal="left"/>
    </xf>
    <xf numFmtId="0" fontId="42" fillId="5" borderId="9" xfId="0" applyFont="1" applyFill="1" applyBorder="1" applyAlignment="1">
      <alignment horizontal="left"/>
    </xf>
    <xf numFmtId="0" fontId="42" fillId="5" borderId="21" xfId="0" applyFont="1" applyFill="1" applyBorder="1" applyAlignment="1">
      <alignment horizontal="left"/>
    </xf>
    <xf numFmtId="0" fontId="42" fillId="5" borderId="8" xfId="0" applyFont="1" applyFill="1" applyBorder="1" applyAlignment="1">
      <alignment horizontal="left"/>
    </xf>
    <xf numFmtId="0" fontId="42" fillId="5" borderId="10" xfId="0" applyFont="1" applyFill="1" applyBorder="1" applyAlignment="1">
      <alignment horizontal="left"/>
    </xf>
    <xf numFmtId="0" fontId="42" fillId="5" borderId="44" xfId="0" applyFont="1" applyFill="1" applyBorder="1" applyAlignment="1">
      <alignment horizontal="left"/>
    </xf>
    <xf numFmtId="0" fontId="35" fillId="23" borderId="20" xfId="0" applyFont="1" applyFill="1" applyBorder="1" applyAlignment="1">
      <alignment horizontal="left" vertical="top"/>
    </xf>
    <xf numFmtId="0" fontId="35" fillId="23" borderId="7" xfId="0" applyFont="1" applyFill="1" applyBorder="1" applyAlignment="1">
      <alignment horizontal="left" vertical="top"/>
    </xf>
    <xf numFmtId="0" fontId="38" fillId="24" borderId="20" xfId="0" applyFont="1" applyFill="1" applyBorder="1" applyAlignment="1">
      <alignment horizontal="left" vertical="center" wrapText="1"/>
    </xf>
    <xf numFmtId="0" fontId="38" fillId="24" borderId="42" xfId="0" applyFont="1" applyFill="1" applyBorder="1" applyAlignment="1">
      <alignment horizontal="left" vertical="center" wrapText="1"/>
    </xf>
    <xf numFmtId="0" fontId="36" fillId="23" borderId="8" xfId="0" applyFont="1" applyFill="1" applyBorder="1" applyAlignment="1">
      <alignment horizontal="center"/>
    </xf>
    <xf numFmtId="0" fontId="36" fillId="23" borderId="66" xfId="0" applyFont="1" applyFill="1" applyBorder="1" applyAlignment="1">
      <alignment horizontal="center"/>
    </xf>
    <xf numFmtId="0" fontId="42" fillId="5" borderId="20" xfId="0" applyFont="1" applyFill="1" applyBorder="1" applyAlignment="1">
      <alignment horizontal="left"/>
    </xf>
    <xf numFmtId="0" fontId="42" fillId="5" borderId="7" xfId="0" applyFont="1" applyFill="1" applyBorder="1" applyAlignment="1">
      <alignment horizontal="left"/>
    </xf>
    <xf numFmtId="0" fontId="42" fillId="5" borderId="23" xfId="0" applyFont="1" applyFill="1" applyBorder="1" applyAlignment="1">
      <alignment horizontal="left"/>
    </xf>
    <xf numFmtId="0" fontId="35" fillId="23" borderId="42" xfId="0" applyFont="1" applyFill="1" applyBorder="1" applyAlignment="1">
      <alignment horizontal="left" vertical="top"/>
    </xf>
    <xf numFmtId="0" fontId="42" fillId="5" borderId="37" xfId="0" applyFont="1" applyFill="1" applyBorder="1" applyAlignment="1">
      <alignment horizontal="left"/>
    </xf>
    <xf numFmtId="0" fontId="42" fillId="5" borderId="34" xfId="0" applyFont="1" applyFill="1" applyBorder="1" applyAlignment="1">
      <alignment horizontal="left"/>
    </xf>
    <xf numFmtId="0" fontId="42" fillId="5" borderId="35" xfId="0" applyFont="1" applyFill="1" applyBorder="1" applyAlignment="1">
      <alignment horizontal="left"/>
    </xf>
    <xf numFmtId="0" fontId="38" fillId="24" borderId="39" xfId="0" applyFont="1" applyFill="1" applyBorder="1" applyAlignment="1">
      <alignment horizontal="left" vertical="center" wrapText="1"/>
    </xf>
    <xf numFmtId="0" fontId="38" fillId="24" borderId="41" xfId="0" applyFont="1" applyFill="1" applyBorder="1" applyAlignment="1">
      <alignment horizontal="left" vertical="center" wrapText="1"/>
    </xf>
    <xf numFmtId="0" fontId="89" fillId="81" borderId="25" xfId="0" applyFont="1" applyFill="1" applyBorder="1" applyAlignment="1">
      <alignment horizontal="center"/>
    </xf>
    <xf numFmtId="0" fontId="89" fillId="81" borderId="33" xfId="0" applyFont="1" applyFill="1" applyBorder="1" applyAlignment="1">
      <alignment horizontal="center"/>
    </xf>
    <xf numFmtId="0" fontId="89" fillId="81" borderId="27" xfId="0" applyFont="1" applyFill="1" applyBorder="1" applyAlignment="1">
      <alignment horizontal="center"/>
    </xf>
    <xf numFmtId="0" fontId="0" fillId="3" borderId="0" xfId="0" applyFill="1" applyAlignment="1">
      <alignment horizontal="left" vertical="top" wrapText="1"/>
    </xf>
    <xf numFmtId="0" fontId="73" fillId="81" borderId="2" xfId="0" applyFont="1" applyFill="1" applyBorder="1" applyAlignment="1">
      <alignment horizontal="center"/>
    </xf>
    <xf numFmtId="0" fontId="73" fillId="81" borderId="3" xfId="0" applyFont="1" applyFill="1" applyBorder="1" applyAlignment="1">
      <alignment horizontal="center"/>
    </xf>
    <xf numFmtId="0" fontId="73" fillId="81" borderId="4" xfId="0" applyFont="1" applyFill="1" applyBorder="1" applyAlignment="1">
      <alignment horizontal="center"/>
    </xf>
    <xf numFmtId="0" fontId="5" fillId="77" borderId="0" xfId="0" applyFont="1" applyFill="1" applyAlignment="1">
      <alignment horizontal="center" vertical="center" wrapText="1"/>
    </xf>
    <xf numFmtId="0" fontId="5" fillId="3" borderId="40" xfId="0" applyFont="1" applyFill="1" applyBorder="1" applyAlignment="1">
      <alignment horizontal="left" wrapText="1"/>
    </xf>
    <xf numFmtId="0" fontId="5" fillId="3" borderId="40" xfId="0" applyFont="1" applyFill="1" applyBorder="1" applyAlignment="1">
      <alignment horizontal="left"/>
    </xf>
    <xf numFmtId="0" fontId="5" fillId="76" borderId="0" xfId="0" applyFont="1" applyFill="1" applyAlignment="1">
      <alignment horizontal="left" vertical="top" wrapText="1"/>
    </xf>
    <xf numFmtId="0" fontId="91" fillId="3" borderId="9" xfId="0" applyFont="1" applyFill="1" applyBorder="1" applyAlignment="1">
      <alignment horizontal="left" vertical="top" wrapText="1"/>
    </xf>
    <xf numFmtId="0" fontId="12" fillId="85" borderId="0" xfId="0" applyFont="1" applyFill="1" applyAlignment="1">
      <alignment horizontal="left" vertical="top" wrapText="1"/>
    </xf>
    <xf numFmtId="0" fontId="5" fillId="76" borderId="0" xfId="0" applyFont="1" applyFill="1" applyAlignment="1">
      <alignment horizontal="center" vertical="center" wrapText="1"/>
    </xf>
    <xf numFmtId="0" fontId="87" fillId="3" borderId="0" xfId="0" applyFont="1" applyFill="1" applyAlignment="1">
      <alignment horizontal="left" vertical="center"/>
    </xf>
    <xf numFmtId="0" fontId="11" fillId="78" borderId="0" xfId="0" applyFont="1" applyFill="1" applyAlignment="1">
      <alignment horizontal="center" vertical="center" wrapText="1"/>
    </xf>
    <xf numFmtId="0" fontId="11" fillId="78" borderId="0" xfId="0" applyFont="1" applyFill="1" applyAlignment="1">
      <alignment horizontal="center" vertical="center"/>
    </xf>
    <xf numFmtId="0" fontId="11" fillId="79" borderId="0" xfId="0" applyFont="1" applyFill="1" applyAlignment="1">
      <alignment horizontal="center" vertical="center" wrapText="1"/>
    </xf>
    <xf numFmtId="0" fontId="5" fillId="75" borderId="0" xfId="0" applyFont="1" applyFill="1" applyAlignment="1">
      <alignment horizontal="center" vertical="center" wrapText="1"/>
    </xf>
    <xf numFmtId="0" fontId="12" fillId="87" borderId="0" xfId="0" applyFont="1" applyFill="1" applyAlignment="1">
      <alignment horizontal="left" vertical="top" wrapText="1"/>
    </xf>
    <xf numFmtId="0" fontId="12" fillId="89" borderId="0" xfId="0" applyFont="1" applyFill="1" applyAlignment="1">
      <alignment horizontal="left" vertical="top" wrapText="1"/>
    </xf>
    <xf numFmtId="0" fontId="12" fillId="86" borderId="0" xfId="0" applyFont="1" applyFill="1" applyAlignment="1">
      <alignment horizontal="left" vertical="top" wrapText="1"/>
    </xf>
    <xf numFmtId="0" fontId="41" fillId="5" borderId="30" xfId="0" applyFont="1" applyFill="1" applyBorder="1" applyAlignment="1">
      <alignment horizontal="left"/>
    </xf>
    <xf numFmtId="0" fontId="41" fillId="5" borderId="0" xfId="0" applyFont="1" applyFill="1" applyAlignment="1">
      <alignment horizontal="left"/>
    </xf>
    <xf numFmtId="0" fontId="12" fillId="79" borderId="30" xfId="0" applyFont="1" applyFill="1" applyBorder="1" applyAlignment="1">
      <alignment horizontal="left"/>
    </xf>
    <xf numFmtId="0" fontId="12" fillId="79" borderId="0" xfId="0" applyFont="1" applyFill="1" applyAlignment="1">
      <alignment horizontal="left"/>
    </xf>
    <xf numFmtId="0" fontId="2" fillId="12" borderId="30" xfId="0" applyFont="1" applyFill="1" applyBorder="1" applyAlignment="1">
      <alignment horizontal="center"/>
    </xf>
    <xf numFmtId="0" fontId="2" fillId="12" borderId="0" xfId="0" applyFont="1" applyFill="1" applyAlignment="1">
      <alignment horizontal="center"/>
    </xf>
    <xf numFmtId="0" fontId="12" fillId="76" borderId="30" xfId="0" applyFont="1" applyFill="1" applyBorder="1" applyAlignment="1">
      <alignment horizontal="center"/>
    </xf>
    <xf numFmtId="0" fontId="12" fillId="76" borderId="0" xfId="0" applyFont="1" applyFill="1" applyAlignment="1">
      <alignment horizontal="center"/>
    </xf>
    <xf numFmtId="0" fontId="12" fillId="76" borderId="0" xfId="0" applyFont="1" applyFill="1" applyAlignment="1">
      <alignment horizontal="right"/>
    </xf>
    <xf numFmtId="0" fontId="12" fillId="78" borderId="30" xfId="0" applyFont="1" applyFill="1" applyBorder="1"/>
    <xf numFmtId="0" fontId="12" fillId="78" borderId="0" xfId="0" applyFont="1" applyFill="1"/>
    <xf numFmtId="0" fontId="12" fillId="77" borderId="30" xfId="0" applyFont="1" applyFill="1" applyBorder="1" applyAlignment="1">
      <alignment horizontal="left"/>
    </xf>
    <xf numFmtId="0" fontId="12" fillId="77" borderId="0" xfId="0" applyFont="1" applyFill="1" applyAlignment="1">
      <alignment horizontal="left"/>
    </xf>
    <xf numFmtId="0" fontId="12" fillId="75" borderId="30" xfId="0" applyFont="1" applyFill="1" applyBorder="1" applyAlignment="1">
      <alignment horizontal="center"/>
    </xf>
    <xf numFmtId="0" fontId="12" fillId="75" borderId="0" xfId="0" applyFont="1" applyFill="1" applyAlignment="1">
      <alignment horizontal="center"/>
    </xf>
    <xf numFmtId="0" fontId="12" fillId="75" borderId="0" xfId="0" applyFont="1" applyFill="1" applyAlignment="1">
      <alignment horizontal="right"/>
    </xf>
    <xf numFmtId="0" fontId="2" fillId="12" borderId="30" xfId="0" applyFont="1" applyFill="1" applyBorder="1" applyAlignment="1">
      <alignment horizontal="left"/>
    </xf>
    <xf numFmtId="0" fontId="2" fillId="12" borderId="0" xfId="0" applyFont="1" applyFill="1" applyAlignment="1">
      <alignment horizontal="left"/>
    </xf>
    <xf numFmtId="0" fontId="12" fillId="78" borderId="2" xfId="0" applyFont="1" applyFill="1" applyBorder="1" applyAlignment="1">
      <alignment horizontal="left"/>
    </xf>
    <xf numFmtId="0" fontId="12" fillId="78" borderId="3" xfId="0" applyFont="1" applyFill="1" applyBorder="1" applyAlignment="1">
      <alignment horizontal="left"/>
    </xf>
    <xf numFmtId="0" fontId="12" fillId="78" borderId="4" xfId="0" applyFont="1" applyFill="1" applyBorder="1" applyAlignment="1">
      <alignment horizontal="left"/>
    </xf>
    <xf numFmtId="0" fontId="11" fillId="78" borderId="30" xfId="0" applyFont="1" applyFill="1" applyBorder="1" applyAlignment="1">
      <alignment horizontal="left" vertical="center" wrapText="1"/>
    </xf>
    <xf numFmtId="0" fontId="11" fillId="78" borderId="0" xfId="0" applyFont="1" applyFill="1" applyAlignment="1">
      <alignment horizontal="left" vertical="center" wrapText="1"/>
    </xf>
    <xf numFmtId="0" fontId="11" fillId="78" borderId="1" xfId="0" applyFont="1" applyFill="1" applyBorder="1" applyAlignment="1">
      <alignment horizontal="left" vertical="center" wrapText="1"/>
    </xf>
    <xf numFmtId="0" fontId="3" fillId="87" borderId="0" xfId="0" applyFont="1" applyFill="1" applyAlignment="1">
      <alignment horizontal="left" vertical="center" wrapText="1"/>
    </xf>
    <xf numFmtId="0" fontId="3" fillId="80" borderId="0" xfId="0" applyFont="1" applyFill="1" applyAlignment="1">
      <alignment horizontal="left" vertical="center" wrapText="1"/>
    </xf>
    <xf numFmtId="0" fontId="3" fillId="80" borderId="1" xfId="0" applyFont="1" applyFill="1" applyBorder="1" applyAlignment="1">
      <alignment horizontal="left" vertical="center" wrapText="1"/>
    </xf>
    <xf numFmtId="0" fontId="3" fillId="89" borderId="0" xfId="0" applyFont="1" applyFill="1" applyAlignment="1">
      <alignment horizontal="left" vertical="center" wrapText="1"/>
    </xf>
    <xf numFmtId="0" fontId="3" fillId="83" borderId="0" xfId="0" applyFont="1" applyFill="1" applyAlignment="1">
      <alignment horizontal="left" vertical="center" wrapText="1"/>
    </xf>
    <xf numFmtId="0" fontId="3" fillId="83" borderId="1" xfId="0" applyFont="1" applyFill="1" applyBorder="1" applyAlignment="1">
      <alignment horizontal="left" vertical="center" wrapText="1"/>
    </xf>
    <xf numFmtId="0" fontId="11" fillId="79" borderId="30" xfId="0" applyFont="1" applyFill="1" applyBorder="1" applyAlignment="1">
      <alignment horizontal="left" vertical="center" wrapText="1"/>
    </xf>
    <xf numFmtId="0" fontId="11" fillId="79" borderId="0" xfId="0" applyFont="1" applyFill="1" applyAlignment="1">
      <alignment horizontal="left" vertical="center" wrapText="1"/>
    </xf>
    <xf numFmtId="0" fontId="11" fillId="79" borderId="1" xfId="0" applyFont="1" applyFill="1" applyBorder="1" applyAlignment="1">
      <alignment horizontal="left" vertical="center" wrapText="1"/>
    </xf>
    <xf numFmtId="0" fontId="5" fillId="79" borderId="2" xfId="0" applyFont="1" applyFill="1" applyBorder="1" applyAlignment="1">
      <alignment horizontal="left"/>
    </xf>
    <xf numFmtId="0" fontId="5" fillId="79" borderId="3" xfId="0" applyFont="1" applyFill="1" applyBorder="1" applyAlignment="1">
      <alignment horizontal="left"/>
    </xf>
    <xf numFmtId="0" fontId="5" fillId="79" borderId="4" xfId="0" applyFont="1" applyFill="1" applyBorder="1" applyAlignment="1">
      <alignment horizontal="left"/>
    </xf>
    <xf numFmtId="0" fontId="3" fillId="89" borderId="1" xfId="0" applyFont="1" applyFill="1" applyBorder="1" applyAlignment="1">
      <alignment horizontal="left" vertical="center" wrapText="1"/>
    </xf>
    <xf numFmtId="0" fontId="3" fillId="86" borderId="0" xfId="0" applyFont="1" applyFill="1" applyAlignment="1">
      <alignment horizontal="left" vertical="center" wrapText="1"/>
    </xf>
    <xf numFmtId="0" fontId="3" fillId="82" borderId="0" xfId="0" applyFont="1" applyFill="1" applyAlignment="1">
      <alignment horizontal="left" vertical="center" wrapText="1"/>
    </xf>
    <xf numFmtId="0" fontId="3" fillId="82" borderId="1" xfId="0" applyFont="1" applyFill="1" applyBorder="1" applyAlignment="1">
      <alignment horizontal="left" vertical="center" wrapText="1"/>
    </xf>
    <xf numFmtId="0" fontId="11" fillId="75" borderId="30" xfId="0" applyFont="1" applyFill="1" applyBorder="1" applyAlignment="1">
      <alignment horizontal="left" vertical="center" wrapText="1"/>
    </xf>
    <xf numFmtId="0" fontId="11" fillId="75" borderId="0" xfId="0" applyFont="1" applyFill="1" applyAlignment="1">
      <alignment horizontal="left" vertical="center" wrapText="1"/>
    </xf>
    <xf numFmtId="0" fontId="11" fillId="75" borderId="1" xfId="0" applyFont="1" applyFill="1" applyBorder="1" applyAlignment="1">
      <alignment horizontal="left" vertical="center" wrapText="1"/>
    </xf>
    <xf numFmtId="0" fontId="12" fillId="75" borderId="2" xfId="0" applyFont="1" applyFill="1" applyBorder="1" applyAlignment="1">
      <alignment horizontal="left"/>
    </xf>
    <xf numFmtId="0" fontId="12" fillId="75" borderId="3" xfId="0" applyFont="1" applyFill="1" applyBorder="1" applyAlignment="1">
      <alignment horizontal="left"/>
    </xf>
    <xf numFmtId="0" fontId="12" fillId="75" borderId="4" xfId="0" applyFont="1" applyFill="1" applyBorder="1" applyAlignment="1">
      <alignment horizontal="left"/>
    </xf>
    <xf numFmtId="0" fontId="11" fillId="76" borderId="2" xfId="0" applyFont="1" applyFill="1" applyBorder="1" applyAlignment="1">
      <alignment horizontal="left"/>
    </xf>
    <xf numFmtId="0" fontId="11" fillId="77" borderId="3" xfId="0" applyFont="1" applyFill="1" applyBorder="1" applyAlignment="1">
      <alignment horizontal="left"/>
    </xf>
    <xf numFmtId="0" fontId="11" fillId="77" borderId="4" xfId="0" applyFont="1" applyFill="1" applyBorder="1" applyAlignment="1">
      <alignment horizontal="left"/>
    </xf>
    <xf numFmtId="0" fontId="12" fillId="76" borderId="30" xfId="0" applyFont="1" applyFill="1" applyBorder="1" applyAlignment="1">
      <alignment horizontal="left" vertical="center" wrapText="1"/>
    </xf>
    <xf numFmtId="0" fontId="12" fillId="77" borderId="0" xfId="0" applyFont="1" applyFill="1" applyAlignment="1">
      <alignment horizontal="left" vertical="center" wrapText="1"/>
    </xf>
    <xf numFmtId="0" fontId="12" fillId="77" borderId="1" xfId="0" applyFont="1" applyFill="1" applyBorder="1" applyAlignment="1">
      <alignment horizontal="left" vertical="center" wrapText="1"/>
    </xf>
    <xf numFmtId="0" fontId="3" fillId="88" borderId="0" xfId="0" applyFont="1" applyFill="1" applyAlignment="1">
      <alignment horizontal="left" vertical="center" wrapText="1"/>
    </xf>
    <xf numFmtId="0" fontId="3" fillId="85" borderId="0" xfId="0" applyFont="1" applyFill="1" applyAlignment="1">
      <alignment horizontal="left" vertical="center" wrapText="1"/>
    </xf>
    <xf numFmtId="0" fontId="3" fillId="85" borderId="1" xfId="0" applyFont="1" applyFill="1" applyBorder="1" applyAlignment="1">
      <alignment horizontal="left" vertical="center" wrapText="1"/>
    </xf>
    <xf numFmtId="0" fontId="3" fillId="84" borderId="0" xfId="0" applyFont="1" applyFill="1" applyAlignment="1">
      <alignment horizontal="left" vertical="center" wrapText="1"/>
    </xf>
    <xf numFmtId="0" fontId="3" fillId="84" borderId="1" xfId="0" applyFont="1" applyFill="1" applyBorder="1" applyAlignment="1">
      <alignment horizontal="left" vertical="center" wrapText="1"/>
    </xf>
    <xf numFmtId="0" fontId="12" fillId="77" borderId="2" xfId="0" applyFont="1" applyFill="1" applyBorder="1" applyAlignment="1">
      <alignment horizontal="left"/>
    </xf>
    <xf numFmtId="0" fontId="12" fillId="77" borderId="3" xfId="0" applyFont="1" applyFill="1" applyBorder="1" applyAlignment="1">
      <alignment horizontal="left"/>
    </xf>
    <xf numFmtId="0" fontId="12" fillId="77" borderId="4" xfId="0" applyFont="1" applyFill="1" applyBorder="1" applyAlignment="1">
      <alignment horizontal="left"/>
    </xf>
    <xf numFmtId="0" fontId="12" fillId="77" borderId="30" xfId="0" applyFont="1" applyFill="1" applyBorder="1" applyAlignment="1">
      <alignment horizontal="left" vertical="center" wrapText="1"/>
    </xf>
    <xf numFmtId="0" fontId="0" fillId="0" borderId="0" xfId="0" applyAlignment="1">
      <alignment horizontal="center"/>
    </xf>
    <xf numFmtId="0" fontId="20" fillId="12" borderId="28" xfId="0" applyFont="1" applyFill="1" applyBorder="1" applyAlignment="1">
      <alignment horizontal="center" vertical="center" wrapText="1"/>
    </xf>
    <xf numFmtId="0" fontId="20" fillId="12" borderId="2" xfId="0" applyFont="1" applyFill="1" applyBorder="1" applyAlignment="1">
      <alignment horizontal="center" vertical="center" wrapText="1"/>
    </xf>
    <xf numFmtId="0" fontId="20" fillId="12" borderId="3" xfId="0" applyFont="1" applyFill="1" applyBorder="1" applyAlignment="1">
      <alignment horizontal="center" vertical="center" wrapText="1"/>
    </xf>
    <xf numFmtId="0" fontId="20" fillId="12" borderId="4" xfId="0" applyFont="1" applyFill="1" applyBorder="1" applyAlignment="1">
      <alignment horizontal="center" vertical="center" wrapText="1"/>
    </xf>
    <xf numFmtId="0" fontId="20" fillId="12" borderId="25" xfId="0" applyFont="1" applyFill="1" applyBorder="1" applyAlignment="1">
      <alignment horizontal="center" vertical="center" wrapText="1"/>
    </xf>
    <xf numFmtId="0" fontId="20" fillId="12" borderId="33" xfId="0" applyFont="1" applyFill="1" applyBorder="1" applyAlignment="1">
      <alignment horizontal="center" vertical="center" wrapText="1"/>
    </xf>
    <xf numFmtId="0" fontId="0" fillId="75" borderId="0" xfId="0" applyFill="1" applyAlignment="1">
      <alignment horizontal="left" wrapText="1"/>
    </xf>
    <xf numFmtId="0" fontId="17" fillId="17" borderId="13" xfId="0" applyFont="1" applyFill="1" applyBorder="1" applyAlignment="1">
      <alignment horizontal="center" vertical="top" wrapText="1"/>
    </xf>
    <xf numFmtId="0" fontId="17" fillId="17" borderId="14" xfId="0" applyFont="1" applyFill="1" applyBorder="1" applyAlignment="1">
      <alignment horizontal="center" vertical="top" wrapText="1"/>
    </xf>
    <xf numFmtId="0" fontId="24" fillId="0" borderId="0" xfId="0" applyFont="1" applyAlignment="1">
      <alignment horizontal="left" vertical="top" wrapText="1"/>
    </xf>
    <xf numFmtId="0" fontId="3" fillId="0" borderId="0" xfId="0" applyFont="1" applyAlignment="1">
      <alignment horizontal="left" vertical="center" wrapText="1"/>
    </xf>
    <xf numFmtId="0" fontId="23" fillId="0" borderId="0" xfId="0" applyFont="1" applyAlignment="1">
      <alignment horizontal="center"/>
    </xf>
    <xf numFmtId="0" fontId="19" fillId="0" borderId="33" xfId="0" applyFont="1" applyBorder="1" applyAlignment="1">
      <alignment horizontal="center"/>
    </xf>
    <xf numFmtId="0" fontId="19" fillId="0" borderId="0" xfId="0" applyFont="1" applyAlignment="1">
      <alignment horizontal="center"/>
    </xf>
  </cellXfs>
  <cellStyles count="48">
    <cellStyle name="20% - Accent1" xfId="23" builtinId="30" customBuiltin="1"/>
    <cellStyle name="20% - Accent2" xfId="27" builtinId="34" customBuiltin="1"/>
    <cellStyle name="20% - Accent3" xfId="31" builtinId="38" customBuiltin="1"/>
    <cellStyle name="20% - Accent4" xfId="35" builtinId="42" customBuiltin="1"/>
    <cellStyle name="20% - Accent5" xfId="39" builtinId="46" customBuiltin="1"/>
    <cellStyle name="20% - Accent6" xfId="43" builtinId="50" customBuiltin="1"/>
    <cellStyle name="40% - Accent1" xfId="24" builtinId="31" customBuiltin="1"/>
    <cellStyle name="40% - Accent2" xfId="28" builtinId="35" customBuiltin="1"/>
    <cellStyle name="40% - Accent3" xfId="32" builtinId="39" customBuiltin="1"/>
    <cellStyle name="40% - Accent4" xfId="36" builtinId="43" customBuiltin="1"/>
    <cellStyle name="40% - Accent5" xfId="40" builtinId="47" customBuiltin="1"/>
    <cellStyle name="40% - Accent6" xfId="44" builtinId="51" customBuiltin="1"/>
    <cellStyle name="60% - Accent1" xfId="25" builtinId="32" customBuiltin="1"/>
    <cellStyle name="60% - Accent2" xfId="29" builtinId="36" customBuiltin="1"/>
    <cellStyle name="60% - Accent3" xfId="33" builtinId="40" customBuiltin="1"/>
    <cellStyle name="60% - Accent4" xfId="37" builtinId="44" customBuiltin="1"/>
    <cellStyle name="60% - Accent5" xfId="41" builtinId="48" customBuiltin="1"/>
    <cellStyle name="60% - Accent6" xfId="45" builtinId="52" customBuiltin="1"/>
    <cellStyle name="Accent1" xfId="22" builtinId="29" customBuiltin="1"/>
    <cellStyle name="Accent2" xfId="26" builtinId="33" customBuiltin="1"/>
    <cellStyle name="Accent3" xfId="30" builtinId="37" customBuiltin="1"/>
    <cellStyle name="Accent4" xfId="34" builtinId="41" customBuiltin="1"/>
    <cellStyle name="Accent5" xfId="38" builtinId="45" customBuiltin="1"/>
    <cellStyle name="Accent6" xfId="42" builtinId="49" customBuiltin="1"/>
    <cellStyle name="Bad" xfId="12" builtinId="27" customBuiltin="1"/>
    <cellStyle name="Calculation" xfId="15" builtinId="22" customBuiltin="1"/>
    <cellStyle name="Check Cell" xfId="17" builtinId="23" customBuiltin="1"/>
    <cellStyle name="Comma" xfId="1" builtinId="3"/>
    <cellStyle name="Comma 2" xfId="46" xr:uid="{00000000-0005-0000-0000-00001C000000}"/>
    <cellStyle name="Currency" xfId="2" builtinId="4"/>
    <cellStyle name="Currency 2" xfId="47" xr:uid="{00000000-0005-0000-0000-00001E000000}"/>
    <cellStyle name="Explanatory Text" xfId="20" builtinId="53" customBuiltin="1"/>
    <cellStyle name="Good" xfId="11" builtinId="26" customBuiltin="1"/>
    <cellStyle name="Heading 1" xfId="7" builtinId="16" customBuiltin="1"/>
    <cellStyle name="Heading 2" xfId="8" builtinId="17" customBuiltin="1"/>
    <cellStyle name="Heading 3" xfId="9" builtinId="18" customBuiltin="1"/>
    <cellStyle name="Heading 4" xfId="10" builtinId="19" customBuiltin="1"/>
    <cellStyle name="Hyperlink" xfId="4" builtinId="8"/>
    <cellStyle name="Input" xfId="5" builtinId="20" customBuiltin="1"/>
    <cellStyle name="Linked Cell" xfId="16" builtinId="24" customBuiltin="1"/>
    <cellStyle name="Neutral" xfId="13" builtinId="28" customBuiltin="1"/>
    <cellStyle name="Normal" xfId="0" builtinId="0"/>
    <cellStyle name="Note" xfId="19" builtinId="10" customBuiltin="1"/>
    <cellStyle name="Output" xfId="14" builtinId="21" customBuiltin="1"/>
    <cellStyle name="Percent" xfId="3" builtinId="5"/>
    <cellStyle name="Title" xfId="6" builtinId="15" customBuiltin="1"/>
    <cellStyle name="Total" xfId="21" builtinId="25" customBuiltin="1"/>
    <cellStyle name="Warning Text" xfId="18" builtinId="11" customBuiltin="1"/>
  </cellStyles>
  <dxfs count="0"/>
  <tableStyles count="0" defaultTableStyle="TableStyleMedium2" defaultPivotStyle="PivotStyleLight16"/>
  <colors>
    <mruColors>
      <color rgb="FFB3565B"/>
      <color rgb="FFB17652"/>
      <color rgb="FF2A9D8F"/>
      <color rgb="FF5C71A4"/>
      <color rgb="FFE6C7C8"/>
      <color rgb="FFD9BCAB"/>
      <color rgb="FFBFEDE8"/>
      <color rgb="FFE9C46A"/>
      <color rgb="FFF4E3B8"/>
      <color rgb="FFF5E4B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microsoft.com/office/2017/10/relationships/person" Target="persons/perso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heetMetadata" Target="metadata.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charts/_rels/chart2.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979319891213875"/>
          <c:y val="7.4398121118758362E-2"/>
          <c:w val="0.86456290585246509"/>
          <c:h val="0.78810025044662435"/>
        </c:manualLayout>
      </c:layout>
      <c:lineChart>
        <c:grouping val="standard"/>
        <c:varyColors val="0"/>
        <c:ser>
          <c:idx val="1"/>
          <c:order val="0"/>
          <c:tx>
            <c:strRef>
              <c:f>'Native vegetation - Carbon'!$G$40</c:f>
              <c:strCache>
                <c:ptCount val="1"/>
                <c:pt idx="0">
                  <c:v>Carbon price at $35in 2023/24 (average price per tonne of CO2e increasing annually)</c:v>
                </c:pt>
              </c:strCache>
            </c:strRef>
          </c:tx>
          <c:spPr>
            <a:ln w="28575"/>
          </c:spPr>
          <c:marker>
            <c:symbol val="none"/>
          </c:marker>
          <c:cat>
            <c:numRef>
              <c:f>'Native vegetation - Carbon'!$A$41:$A$70</c:f>
              <c:numCache>
                <c:formatCode>General</c:formatCode>
                <c:ptCount val="30"/>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pt idx="26">
                  <c:v>2051</c:v>
                </c:pt>
                <c:pt idx="27">
                  <c:v>2052</c:v>
                </c:pt>
                <c:pt idx="28">
                  <c:v>2053</c:v>
                </c:pt>
                <c:pt idx="29">
                  <c:v>2054</c:v>
                </c:pt>
              </c:numCache>
            </c:numRef>
          </c:cat>
          <c:val>
            <c:numRef>
              <c:f>'Native vegetation - Carbon'!$G$41:$G$70</c:f>
              <c:numCache>
                <c:formatCode>_-"$"* #,##0_-;\-"$"* #,##0_-;_-"$"* "-"??_-;_-@_-</c:formatCode>
                <c:ptCount val="30"/>
                <c:pt idx="0">
                  <c:v>36.574999999999996</c:v>
                </c:pt>
                <c:pt idx="1">
                  <c:v>38.220874999999992</c:v>
                </c:pt>
                <c:pt idx="2">
                  <c:v>39.940814374999988</c:v>
                </c:pt>
                <c:pt idx="3">
                  <c:v>41.738151021874984</c:v>
                </c:pt>
                <c:pt idx="4">
                  <c:v>43.616367817859356</c:v>
                </c:pt>
                <c:pt idx="5">
                  <c:v>45.579104369663021</c:v>
                </c:pt>
                <c:pt idx="6">
                  <c:v>47.630164066297851</c:v>
                </c:pt>
                <c:pt idx="7">
                  <c:v>49.773521449281255</c:v>
                </c:pt>
                <c:pt idx="8">
                  <c:v>52.013329914498911</c:v>
                </c:pt>
                <c:pt idx="9">
                  <c:v>54.353929760651361</c:v>
                </c:pt>
                <c:pt idx="10">
                  <c:v>56.79985659988067</c:v>
                </c:pt>
                <c:pt idx="11">
                  <c:v>59.355850146875298</c:v>
                </c:pt>
                <c:pt idx="12">
                  <c:v>62.026863403484683</c:v>
                </c:pt>
                <c:pt idx="13">
                  <c:v>64.818072256641486</c:v>
                </c:pt>
                <c:pt idx="14">
                  <c:v>67.734885508190345</c:v>
                </c:pt>
                <c:pt idx="15">
                  <c:v>70.782955356058906</c:v>
                </c:pt>
                <c:pt idx="16">
                  <c:v>73.968188347081551</c:v>
                </c:pt>
                <c:pt idx="17">
                  <c:v>77.296756822700218</c:v>
                </c:pt>
                <c:pt idx="18">
                  <c:v>80.775110879721723</c:v>
                </c:pt>
                <c:pt idx="19">
                  <c:v>84.409990869309198</c:v>
                </c:pt>
                <c:pt idx="20">
                  <c:v>88.2084404584281</c:v>
                </c:pt>
                <c:pt idx="21">
                  <c:v>92.177820279057357</c:v>
                </c:pt>
                <c:pt idx="22">
                  <c:v>96.325822191614932</c:v>
                </c:pt>
                <c:pt idx="23">
                  <c:v>100.6604841902376</c:v>
                </c:pt>
                <c:pt idx="24">
                  <c:v>105.19020597879828</c:v>
                </c:pt>
                <c:pt idx="25">
                  <c:v>109.92376524784419</c:v>
                </c:pt>
                <c:pt idx="26">
                  <c:v>114.87033468399717</c:v>
                </c:pt>
                <c:pt idx="27">
                  <c:v>120.03949974477703</c:v>
                </c:pt>
                <c:pt idx="28">
                  <c:v>125.44127723329198</c:v>
                </c:pt>
                <c:pt idx="29">
                  <c:v>131.08613470879013</c:v>
                </c:pt>
              </c:numCache>
            </c:numRef>
          </c:val>
          <c:smooth val="0"/>
          <c:extLst>
            <c:ext xmlns:c16="http://schemas.microsoft.com/office/drawing/2014/chart" uri="{C3380CC4-5D6E-409C-BE32-E72D297353CC}">
              <c16:uniqueId val="{00000002-A7D6-42E1-B68A-7AB7BFB5F4BD}"/>
            </c:ext>
          </c:extLst>
        </c:ser>
        <c:ser>
          <c:idx val="0"/>
          <c:order val="1"/>
          <c:tx>
            <c:strRef>
              <c:f>'Native vegetation - Carbon'!$L$40</c:f>
              <c:strCache>
                <c:ptCount val="1"/>
                <c:pt idx="0">
                  <c:v>Carbon price at $75 in 2023/24 (average price per tonne of CO2e increasing annually)</c:v>
                </c:pt>
              </c:strCache>
            </c:strRef>
          </c:tx>
          <c:spPr>
            <a:ln w="28575" cap="rnd">
              <a:solidFill>
                <a:schemeClr val="accent1"/>
              </a:solidFill>
              <a:round/>
            </a:ln>
            <a:effectLst/>
          </c:spPr>
          <c:marker>
            <c:symbol val="none"/>
          </c:marker>
          <c:cat>
            <c:numRef>
              <c:f>'Native vegetation - Carbon'!$A$41:$A$70</c:f>
              <c:numCache>
                <c:formatCode>General</c:formatCode>
                <c:ptCount val="30"/>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pt idx="26">
                  <c:v>2051</c:v>
                </c:pt>
                <c:pt idx="27">
                  <c:v>2052</c:v>
                </c:pt>
                <c:pt idx="28">
                  <c:v>2053</c:v>
                </c:pt>
                <c:pt idx="29">
                  <c:v>2054</c:v>
                </c:pt>
              </c:numCache>
            </c:numRef>
          </c:cat>
          <c:val>
            <c:numRef>
              <c:f>'Native vegetation - Carbon'!$L$41:$L$70</c:f>
              <c:numCache>
                <c:formatCode>_-"$"* #,##0_-;\-"$"* #,##0_-;_-"$"* "-"??_-;_-@_-</c:formatCode>
                <c:ptCount val="30"/>
                <c:pt idx="0">
                  <c:v>78.375</c:v>
                </c:pt>
                <c:pt idx="1">
                  <c:v>81.90187499999999</c:v>
                </c:pt>
                <c:pt idx="2">
                  <c:v>85.58745937499998</c:v>
                </c:pt>
                <c:pt idx="3">
                  <c:v>89.438895046874975</c:v>
                </c:pt>
                <c:pt idx="4">
                  <c:v>93.463645323984338</c:v>
                </c:pt>
                <c:pt idx="5">
                  <c:v>97.66950936356362</c:v>
                </c:pt>
                <c:pt idx="6">
                  <c:v>102.06463728492398</c:v>
                </c:pt>
                <c:pt idx="7">
                  <c:v>106.65754596274554</c:v>
                </c:pt>
                <c:pt idx="8">
                  <c:v>111.45713553106908</c:v>
                </c:pt>
                <c:pt idx="9">
                  <c:v>116.47270662996719</c:v>
                </c:pt>
                <c:pt idx="10">
                  <c:v>121.71397842831571</c:v>
                </c:pt>
                <c:pt idx="11">
                  <c:v>127.19110745758991</c:v>
                </c:pt>
                <c:pt idx="12">
                  <c:v>132.91470729318144</c:v>
                </c:pt>
                <c:pt idx="13">
                  <c:v>138.8958691213746</c:v>
                </c:pt>
                <c:pt idx="14">
                  <c:v>145.14618323183646</c:v>
                </c:pt>
                <c:pt idx="15">
                  <c:v>151.67776147726909</c:v>
                </c:pt>
                <c:pt idx="16">
                  <c:v>158.50326074374618</c:v>
                </c:pt>
                <c:pt idx="17">
                  <c:v>165.63590747721474</c:v>
                </c:pt>
                <c:pt idx="18">
                  <c:v>173.0895233136894</c:v>
                </c:pt>
                <c:pt idx="19">
                  <c:v>180.87855186280541</c:v>
                </c:pt>
                <c:pt idx="20">
                  <c:v>189.01808669663163</c:v>
                </c:pt>
                <c:pt idx="21">
                  <c:v>197.52390059798003</c:v>
                </c:pt>
                <c:pt idx="22">
                  <c:v>206.41247612488911</c:v>
                </c:pt>
                <c:pt idx="23">
                  <c:v>215.70103755050911</c:v>
                </c:pt>
                <c:pt idx="24">
                  <c:v>225.40758424028201</c:v>
                </c:pt>
                <c:pt idx="25">
                  <c:v>235.55092553109469</c:v>
                </c:pt>
                <c:pt idx="26">
                  <c:v>246.15071717999393</c:v>
                </c:pt>
                <c:pt idx="27">
                  <c:v>257.22749945309363</c:v>
                </c:pt>
                <c:pt idx="28">
                  <c:v>268.80273692848283</c:v>
                </c:pt>
                <c:pt idx="29">
                  <c:v>280.89886009026452</c:v>
                </c:pt>
              </c:numCache>
            </c:numRef>
          </c:val>
          <c:smooth val="0"/>
          <c:extLst>
            <c:ext xmlns:c16="http://schemas.microsoft.com/office/drawing/2014/chart" uri="{C3380CC4-5D6E-409C-BE32-E72D297353CC}">
              <c16:uniqueId val="{00000001-A7D6-42E1-B68A-7AB7BFB5F4BD}"/>
            </c:ext>
          </c:extLst>
        </c:ser>
        <c:dLbls>
          <c:showLegendKey val="0"/>
          <c:showVal val="0"/>
          <c:showCatName val="0"/>
          <c:showSerName val="0"/>
          <c:showPercent val="0"/>
          <c:showBubbleSize val="0"/>
        </c:dLbls>
        <c:smooth val="0"/>
        <c:axId val="946258383"/>
        <c:axId val="894361759"/>
      </c:lineChart>
      <c:catAx>
        <c:axId val="946258383"/>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AU"/>
                  <a:t>Year</a:t>
                </a:r>
              </a:p>
            </c:rich>
          </c:tx>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94361759"/>
        <c:crosses val="autoZero"/>
        <c:auto val="1"/>
        <c:lblAlgn val="ctr"/>
        <c:lblOffset val="100"/>
        <c:tickLblSkip val="5"/>
        <c:noMultiLvlLbl val="0"/>
      </c:catAx>
      <c:valAx>
        <c:axId val="894361759"/>
        <c:scaling>
          <c:orientation val="minMax"/>
        </c:scaling>
        <c:delete val="0"/>
        <c:axPos val="l"/>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AU"/>
                  <a:t>Cumulative abatement (CO2e)</a:t>
                </a:r>
              </a:p>
            </c:rich>
          </c:tx>
          <c:overlay val="0"/>
          <c:spPr>
            <a:noFill/>
            <a:ln>
              <a:noFill/>
            </a:ln>
            <a:effectLst/>
          </c:spPr>
        </c:title>
        <c:numFmt formatCode="_-&quot;$&quot;* #,##0_-;\-&quot;$&quot;* #,##0_-;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946258383"/>
        <c:crosses val="autoZero"/>
        <c:crossBetween val="between"/>
      </c:valAx>
    </c:plotArea>
    <c:legend>
      <c:legendPos val="r"/>
      <c:layout>
        <c:manualLayout>
          <c:xMode val="edge"/>
          <c:yMode val="edge"/>
          <c:x val="0.14043249544302011"/>
          <c:y val="0.10980633247108897"/>
          <c:w val="0.30276285189988256"/>
          <c:h val="0.36738034919548102"/>
        </c:manualLayout>
      </c:layout>
      <c:overlay val="0"/>
    </c:legend>
    <c:plotVisOnly val="1"/>
    <c:dispBlanksAs val="gap"/>
    <c:showDLblsOverMax val="0"/>
    <c:extLst/>
  </c:chart>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2"/>
          <c:order val="0"/>
          <c:tx>
            <c:v>Expenditure (in future dollars)</c:v>
          </c:tx>
          <c:spPr>
            <a:ln w="28575" cap="rnd">
              <a:solidFill>
                <a:schemeClr val="accent2"/>
              </a:solidFill>
              <a:round/>
            </a:ln>
            <a:effectLst/>
          </c:spPr>
          <c:marker>
            <c:symbol val="none"/>
          </c:marker>
          <c:cat>
            <c:numRef>
              <c:f>'TEC.Data Wintle'!$B$13:$AE$13</c:f>
              <c:numCache>
                <c:formatCode>General</c:formatCode>
                <c:ptCount val="30"/>
                <c:pt idx="0">
                  <c:v>2025</c:v>
                </c:pt>
                <c:pt idx="1">
                  <c:v>2026</c:v>
                </c:pt>
                <c:pt idx="2">
                  <c:v>2027</c:v>
                </c:pt>
                <c:pt idx="3">
                  <c:v>2028</c:v>
                </c:pt>
                <c:pt idx="4">
                  <c:v>2029</c:v>
                </c:pt>
                <c:pt idx="5">
                  <c:v>2030</c:v>
                </c:pt>
                <c:pt idx="6">
                  <c:v>2031</c:v>
                </c:pt>
                <c:pt idx="7">
                  <c:v>2032</c:v>
                </c:pt>
                <c:pt idx="8">
                  <c:v>2033</c:v>
                </c:pt>
                <c:pt idx="9">
                  <c:v>2034</c:v>
                </c:pt>
                <c:pt idx="10">
                  <c:v>2035</c:v>
                </c:pt>
                <c:pt idx="11">
                  <c:v>2036</c:v>
                </c:pt>
                <c:pt idx="12">
                  <c:v>2037</c:v>
                </c:pt>
                <c:pt idx="13">
                  <c:v>2038</c:v>
                </c:pt>
                <c:pt idx="14">
                  <c:v>2039</c:v>
                </c:pt>
                <c:pt idx="15">
                  <c:v>2040</c:v>
                </c:pt>
                <c:pt idx="16">
                  <c:v>2041</c:v>
                </c:pt>
                <c:pt idx="17">
                  <c:v>2042</c:v>
                </c:pt>
                <c:pt idx="18">
                  <c:v>2043</c:v>
                </c:pt>
                <c:pt idx="19">
                  <c:v>2044</c:v>
                </c:pt>
                <c:pt idx="20">
                  <c:v>2045</c:v>
                </c:pt>
                <c:pt idx="21">
                  <c:v>2046</c:v>
                </c:pt>
                <c:pt idx="22">
                  <c:v>2047</c:v>
                </c:pt>
                <c:pt idx="23">
                  <c:v>2048</c:v>
                </c:pt>
                <c:pt idx="24">
                  <c:v>2049</c:v>
                </c:pt>
                <c:pt idx="25">
                  <c:v>2050</c:v>
                </c:pt>
                <c:pt idx="26">
                  <c:v>2051</c:v>
                </c:pt>
                <c:pt idx="27">
                  <c:v>2052</c:v>
                </c:pt>
                <c:pt idx="28">
                  <c:v>2053</c:v>
                </c:pt>
                <c:pt idx="29">
                  <c:v>2054</c:v>
                </c:pt>
              </c:numCache>
            </c:numRef>
          </c:cat>
          <c:val>
            <c:numRef>
              <c:f>'TEC.Data Wintle'!$B$105:$AE$105</c:f>
              <c:numCache>
                <c:formatCode>_-"$"* #,##0_-;\-"$"* #,##0_-;_-"$"* "-"??_-;_-@_-</c:formatCode>
                <c:ptCount val="30"/>
                <c:pt idx="0">
                  <c:v>1347306194.7185886</c:v>
                </c:pt>
                <c:pt idx="1">
                  <c:v>1410299071.17943</c:v>
                </c:pt>
                <c:pt idx="2">
                  <c:v>1475599525.0916142</c:v>
                </c:pt>
                <c:pt idx="3">
                  <c:v>1543283564.7799206</c:v>
                </c:pt>
                <c:pt idx="4">
                  <c:v>1613429556.7494597</c:v>
                </c:pt>
                <c:pt idx="5">
                  <c:v>1686118296.0894885</c:v>
                </c:pt>
                <c:pt idx="6">
                  <c:v>1761433078.9235504</c:v>
                </c:pt>
                <c:pt idx="7">
                  <c:v>1839459776.9642594</c:v>
                </c:pt>
                <c:pt idx="8">
                  <c:v>1920286914.2326767</c:v>
                </c:pt>
                <c:pt idx="9">
                  <c:v>2004005746.0039122</c:v>
                </c:pt>
                <c:pt idx="10">
                  <c:v>2090710340.0423143</c:v>
                </c:pt>
                <c:pt idx="11">
                  <c:v>2180497660.1913834</c:v>
                </c:pt>
                <c:pt idx="12">
                  <c:v>2273467652.3853803</c:v>
                </c:pt>
                <c:pt idx="13">
                  <c:v>2369723333.1514568</c:v>
                </c:pt>
                <c:pt idx="14">
                  <c:v>2469370880.6730962</c:v>
                </c:pt>
                <c:pt idx="15">
                  <c:v>2572519728.4875984</c:v>
                </c:pt>
                <c:pt idx="16">
                  <c:v>2679282661.8924046</c:v>
                </c:pt>
                <c:pt idx="17">
                  <c:v>2789775917.1371465</c:v>
                </c:pt>
                <c:pt idx="18">
                  <c:v>2904119283.4804425</c:v>
                </c:pt>
                <c:pt idx="19">
                  <c:v>3022436208.1926928</c:v>
                </c:pt>
                <c:pt idx="20">
                  <c:v>3144853904.5883799</c:v>
                </c:pt>
                <c:pt idx="21">
                  <c:v>3271503463.1737318</c:v>
                </c:pt>
                <c:pt idx="22">
                  <c:v>3402519965.997983</c:v>
                </c:pt>
                <c:pt idx="23">
                  <c:v>3538042604.2989621</c:v>
                </c:pt>
                <c:pt idx="24">
                  <c:v>3678214799.5362439</c:v>
                </c:pt>
                <c:pt idx="25">
                  <c:v>3823184327.907701</c:v>
                </c:pt>
                <c:pt idx="26">
                  <c:v>3973103448.4480219</c:v>
                </c:pt>
                <c:pt idx="27">
                  <c:v>4128129034.8104148</c:v>
                </c:pt>
                <c:pt idx="28">
                  <c:v>4288422710.835649</c:v>
                </c:pt>
                <c:pt idx="29">
                  <c:v>4454150990.0153875</c:v>
                </c:pt>
              </c:numCache>
            </c:numRef>
          </c:val>
          <c:smooth val="0"/>
          <c:extLst>
            <c:ext xmlns:c16="http://schemas.microsoft.com/office/drawing/2014/chart" uri="{C3380CC4-5D6E-409C-BE32-E72D297353CC}">
              <c16:uniqueId val="{00000002-E6AA-4B41-98FD-716940AD3A09}"/>
            </c:ext>
          </c:extLst>
        </c:ser>
        <c:dLbls>
          <c:showLegendKey val="0"/>
          <c:showVal val="0"/>
          <c:showCatName val="0"/>
          <c:showSerName val="0"/>
          <c:showPercent val="0"/>
          <c:showBubbleSize val="0"/>
        </c:dLbls>
        <c:smooth val="0"/>
        <c:axId val="57961567"/>
        <c:axId val="57948607"/>
      </c:lineChart>
      <c:catAx>
        <c:axId val="5796156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yriad Pro Light" panose="020B0403030403020204" pitchFamily="34" charset="0"/>
                <a:ea typeface="+mn-ea"/>
                <a:cs typeface="+mn-cs"/>
              </a:defRPr>
            </a:pPr>
            <a:endParaRPr lang="en-US"/>
          </a:p>
        </c:txPr>
        <c:crossAx val="57948607"/>
        <c:crosses val="autoZero"/>
        <c:auto val="1"/>
        <c:lblAlgn val="ctr"/>
        <c:lblOffset val="100"/>
        <c:noMultiLvlLbl val="0"/>
      </c:catAx>
      <c:valAx>
        <c:axId val="57948607"/>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yriad Pro Light" panose="020B0403030403020204" pitchFamily="34" charset="0"/>
                    <a:ea typeface="+mn-ea"/>
                    <a:cs typeface="+mn-cs"/>
                  </a:defRPr>
                </a:pPr>
                <a:r>
                  <a:rPr lang="en-AU"/>
                  <a:t>Annual expenditure (future dollars)</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yriad Pro Light" panose="020B0403030403020204" pitchFamily="34" charset="0"/>
                  <a:ea typeface="+mn-ea"/>
                  <a:cs typeface="+mn-cs"/>
                </a:defRPr>
              </a:pPr>
              <a:endParaRPr lang="en-US"/>
            </a:p>
          </c:txPr>
        </c:title>
        <c:numFmt formatCode="&quot;$&quot;0.0,,,&quot;bn&quot;"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yriad Pro Light" panose="020B0403030403020204" pitchFamily="34" charset="0"/>
                <a:ea typeface="+mn-ea"/>
                <a:cs typeface="+mn-cs"/>
              </a:defRPr>
            </a:pPr>
            <a:endParaRPr lang="en-US"/>
          </a:p>
        </c:txPr>
        <c:crossAx val="57961567"/>
        <c:crosses val="autoZero"/>
        <c:crossBetween val="between"/>
        <c:majorUnit val="100000000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latin typeface="Myriad Pro Light" panose="020B0403030403020204" pitchFamily="34" charset="0"/>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7" Type="http://schemas.openxmlformats.org/officeDocument/2006/relationships/image" Target="../media/image13.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s>
</file>

<file path=xl/drawings/_rels/drawing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4.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emf"/></Relationships>
</file>

<file path=xl/drawings/_rels/drawing5.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chart" Target="../charts/chart1.xml"/></Relationships>
</file>

<file path=xl/drawings/_rels/drawing6.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8.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9.xml.rels><?xml version="1.0" encoding="UTF-8" standalone="yes"?>
<Relationships xmlns="http://schemas.openxmlformats.org/package/2006/relationships"><Relationship Id="rId1" Type="http://schemas.openxmlformats.org/officeDocument/2006/relationships/chart" Target="../charts/chart2.xml"/></Relationships>
</file>

<file path=xl/drawings/_rels/drawing10.xml.rels><?xml version="1.0" encoding="UTF-8" standalone="yes"?>
<Relationships xmlns="http://schemas.openxmlformats.org/package/2006/relationships"><Relationship Id="rId3" Type="http://schemas.openxmlformats.org/officeDocument/2006/relationships/image" Target="../media/image24.emf"/><Relationship Id="rId2" Type="http://schemas.openxmlformats.org/officeDocument/2006/relationships/image" Target="../media/image23.emf"/><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1</xdr:col>
      <xdr:colOff>76200</xdr:colOff>
      <xdr:row>7</xdr:row>
      <xdr:rowOff>66675</xdr:rowOff>
    </xdr:from>
    <xdr:to>
      <xdr:col>1</xdr:col>
      <xdr:colOff>638175</xdr:colOff>
      <xdr:row>7</xdr:row>
      <xdr:rowOff>542619</xdr:rowOff>
    </xdr:to>
    <xdr:pic>
      <xdr:nvPicPr>
        <xdr:cNvPr id="2" name="Picture 1">
          <a:extLst>
            <a:ext uri="{FF2B5EF4-FFF2-40B4-BE49-F238E27FC236}">
              <a16:creationId xmlns:a16="http://schemas.microsoft.com/office/drawing/2014/main" id="{00000000-0008-0000-01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8188" y="1238250"/>
          <a:ext cx="561975" cy="476250"/>
        </a:xfrm>
        <a:prstGeom prst="rect">
          <a:avLst/>
        </a:prstGeom>
        <a:ln w="3175">
          <a:solidFill>
            <a:schemeClr val="tx1"/>
          </a:solidFill>
        </a:ln>
      </xdr:spPr>
    </xdr:pic>
    <xdr:clientData/>
  </xdr:twoCellAnchor>
  <xdr:twoCellAnchor editAs="oneCell">
    <xdr:from>
      <xdr:col>1</xdr:col>
      <xdr:colOff>61913</xdr:colOff>
      <xdr:row>11</xdr:row>
      <xdr:rowOff>76200</xdr:rowOff>
    </xdr:from>
    <xdr:to>
      <xdr:col>1</xdr:col>
      <xdr:colOff>652463</xdr:colOff>
      <xdr:row>12</xdr:row>
      <xdr:rowOff>267261</xdr:rowOff>
    </xdr:to>
    <xdr:pic>
      <xdr:nvPicPr>
        <xdr:cNvPr id="3" name="Picture 2">
          <a:extLst>
            <a:ext uri="{FF2B5EF4-FFF2-40B4-BE49-F238E27FC236}">
              <a16:creationId xmlns:a16="http://schemas.microsoft.com/office/drawing/2014/main" id="{00000000-0008-0000-01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23901" y="3038475"/>
          <a:ext cx="590550" cy="485775"/>
        </a:xfrm>
        <a:prstGeom prst="rect">
          <a:avLst/>
        </a:prstGeom>
        <a:ln w="3175">
          <a:solidFill>
            <a:schemeClr val="tx1"/>
          </a:solidFill>
        </a:ln>
      </xdr:spPr>
    </xdr:pic>
    <xdr:clientData/>
  </xdr:twoCellAnchor>
  <xdr:twoCellAnchor editAs="oneCell">
    <xdr:from>
      <xdr:col>1</xdr:col>
      <xdr:colOff>76200</xdr:colOff>
      <xdr:row>24</xdr:row>
      <xdr:rowOff>66676</xdr:rowOff>
    </xdr:from>
    <xdr:to>
      <xdr:col>1</xdr:col>
      <xdr:colOff>661988</xdr:colOff>
      <xdr:row>25</xdr:row>
      <xdr:rowOff>23814</xdr:rowOff>
    </xdr:to>
    <xdr:pic>
      <xdr:nvPicPr>
        <xdr:cNvPr id="4" name="Picture 3">
          <a:extLst>
            <a:ext uri="{FF2B5EF4-FFF2-40B4-BE49-F238E27FC236}">
              <a16:creationId xmlns:a16="http://schemas.microsoft.com/office/drawing/2014/main" id="{00000000-0008-0000-0100-000004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42950" y="7639051"/>
          <a:ext cx="585788" cy="552450"/>
        </a:xfrm>
        <a:prstGeom prst="rect">
          <a:avLst/>
        </a:prstGeom>
        <a:ln w="3175">
          <a:solidFill>
            <a:schemeClr val="tx1"/>
          </a:solidFill>
        </a:ln>
      </xdr:spPr>
    </xdr:pic>
    <xdr:clientData/>
  </xdr:twoCellAnchor>
  <xdr:twoCellAnchor editAs="oneCell">
    <xdr:from>
      <xdr:col>1</xdr:col>
      <xdr:colOff>66677</xdr:colOff>
      <xdr:row>20</xdr:row>
      <xdr:rowOff>57149</xdr:rowOff>
    </xdr:from>
    <xdr:to>
      <xdr:col>1</xdr:col>
      <xdr:colOff>661990</xdr:colOff>
      <xdr:row>21</xdr:row>
      <xdr:rowOff>219632</xdr:rowOff>
    </xdr:to>
    <xdr:pic>
      <xdr:nvPicPr>
        <xdr:cNvPr id="5" name="Picture 4">
          <a:extLst>
            <a:ext uri="{FF2B5EF4-FFF2-40B4-BE49-F238E27FC236}">
              <a16:creationId xmlns:a16="http://schemas.microsoft.com/office/drawing/2014/main" id="{00000000-0008-0000-0100-000005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28665" y="4276724"/>
          <a:ext cx="595313" cy="457200"/>
        </a:xfrm>
        <a:prstGeom prst="rect">
          <a:avLst/>
        </a:prstGeom>
        <a:ln w="3175">
          <a:solidFill>
            <a:schemeClr val="tx1"/>
          </a:solidFill>
        </a:ln>
      </xdr:spPr>
    </xdr:pic>
    <xdr:clientData/>
  </xdr:twoCellAnchor>
  <xdr:twoCellAnchor editAs="oneCell">
    <xdr:from>
      <xdr:col>1</xdr:col>
      <xdr:colOff>90488</xdr:colOff>
      <xdr:row>28</xdr:row>
      <xdr:rowOff>47625</xdr:rowOff>
    </xdr:from>
    <xdr:to>
      <xdr:col>1</xdr:col>
      <xdr:colOff>690562</xdr:colOff>
      <xdr:row>29</xdr:row>
      <xdr:rowOff>238685</xdr:rowOff>
    </xdr:to>
    <xdr:pic>
      <xdr:nvPicPr>
        <xdr:cNvPr id="6" name="Picture 5">
          <a:extLst>
            <a:ext uri="{FF2B5EF4-FFF2-40B4-BE49-F238E27FC236}">
              <a16:creationId xmlns:a16="http://schemas.microsoft.com/office/drawing/2014/main" id="{00000000-0008-0000-0100-000006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52476" y="6819900"/>
          <a:ext cx="600074" cy="485775"/>
        </a:xfrm>
        <a:prstGeom prst="rect">
          <a:avLst/>
        </a:prstGeom>
        <a:ln w="3175">
          <a:solidFill>
            <a:schemeClr val="tx1"/>
          </a:solidFill>
        </a:ln>
      </xdr:spPr>
    </xdr:pic>
    <xdr:clientData/>
  </xdr:twoCellAnchor>
  <xdr:twoCellAnchor editAs="oneCell">
    <xdr:from>
      <xdr:col>1</xdr:col>
      <xdr:colOff>61914</xdr:colOff>
      <xdr:row>32</xdr:row>
      <xdr:rowOff>66675</xdr:rowOff>
    </xdr:from>
    <xdr:to>
      <xdr:col>1</xdr:col>
      <xdr:colOff>681038</xdr:colOff>
      <xdr:row>33</xdr:row>
      <xdr:rowOff>267264</xdr:rowOff>
    </xdr:to>
    <xdr:pic>
      <xdr:nvPicPr>
        <xdr:cNvPr id="7" name="Picture 6">
          <a:extLst>
            <a:ext uri="{FF2B5EF4-FFF2-40B4-BE49-F238E27FC236}">
              <a16:creationId xmlns:a16="http://schemas.microsoft.com/office/drawing/2014/main" id="{00000000-0008-0000-0100-000007000000}"/>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23902" y="8096250"/>
          <a:ext cx="619124" cy="495302"/>
        </a:xfrm>
        <a:prstGeom prst="rect">
          <a:avLst/>
        </a:prstGeom>
        <a:ln w="3175">
          <a:solidFill>
            <a:schemeClr val="tx1"/>
          </a:solid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76200</xdr:colOff>
      <xdr:row>5</xdr:row>
      <xdr:rowOff>66675</xdr:rowOff>
    </xdr:from>
    <xdr:to>
      <xdr:col>1</xdr:col>
      <xdr:colOff>638175</xdr:colOff>
      <xdr:row>6</xdr:row>
      <xdr:rowOff>276225</xdr:rowOff>
    </xdr:to>
    <xdr:pic>
      <xdr:nvPicPr>
        <xdr:cNvPr id="2" name="Picture 1">
          <a:extLst>
            <a:ext uri="{FF2B5EF4-FFF2-40B4-BE49-F238E27FC236}">
              <a16:creationId xmlns:a16="http://schemas.microsoft.com/office/drawing/2014/main" id="{00000000-0008-0000-02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42950" y="1209675"/>
          <a:ext cx="561975" cy="476250"/>
        </a:xfrm>
        <a:prstGeom prst="rect">
          <a:avLst/>
        </a:prstGeom>
        <a:ln w="3175">
          <a:solidFill>
            <a:schemeClr val="tx1"/>
          </a:solidFill>
        </a:ln>
      </xdr:spPr>
    </xdr:pic>
    <xdr:clientData/>
  </xdr:twoCellAnchor>
  <xdr:twoCellAnchor editAs="oneCell">
    <xdr:from>
      <xdr:col>1</xdr:col>
      <xdr:colOff>61913</xdr:colOff>
      <xdr:row>9</xdr:row>
      <xdr:rowOff>76200</xdr:rowOff>
    </xdr:from>
    <xdr:to>
      <xdr:col>1</xdr:col>
      <xdr:colOff>652463</xdr:colOff>
      <xdr:row>10</xdr:row>
      <xdr:rowOff>295275</xdr:rowOff>
    </xdr:to>
    <xdr:pic>
      <xdr:nvPicPr>
        <xdr:cNvPr id="3" name="Picture 2">
          <a:extLst>
            <a:ext uri="{FF2B5EF4-FFF2-40B4-BE49-F238E27FC236}">
              <a16:creationId xmlns:a16="http://schemas.microsoft.com/office/drawing/2014/main" id="{00000000-0008-0000-02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28663" y="2476500"/>
          <a:ext cx="590550" cy="485775"/>
        </a:xfrm>
        <a:prstGeom prst="rect">
          <a:avLst/>
        </a:prstGeom>
        <a:ln w="3175">
          <a:solidFill>
            <a:schemeClr val="tx1"/>
          </a:solidFill>
        </a:ln>
      </xdr:spPr>
    </xdr:pic>
    <xdr:clientData/>
  </xdr:twoCellAnchor>
  <xdr:twoCellAnchor editAs="oneCell">
    <xdr:from>
      <xdr:col>1</xdr:col>
      <xdr:colOff>76200</xdr:colOff>
      <xdr:row>22</xdr:row>
      <xdr:rowOff>66675</xdr:rowOff>
    </xdr:from>
    <xdr:to>
      <xdr:col>1</xdr:col>
      <xdr:colOff>661988</xdr:colOff>
      <xdr:row>23</xdr:row>
      <xdr:rowOff>247652</xdr:rowOff>
    </xdr:to>
    <xdr:pic>
      <xdr:nvPicPr>
        <xdr:cNvPr id="4" name="Picture 3">
          <a:extLst>
            <a:ext uri="{FF2B5EF4-FFF2-40B4-BE49-F238E27FC236}">
              <a16:creationId xmlns:a16="http://schemas.microsoft.com/office/drawing/2014/main" id="{00000000-0008-0000-0200-000004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42950" y="5019675"/>
          <a:ext cx="585788" cy="447677"/>
        </a:xfrm>
        <a:prstGeom prst="rect">
          <a:avLst/>
        </a:prstGeom>
        <a:ln w="3175">
          <a:solidFill>
            <a:schemeClr val="tx1"/>
          </a:solidFill>
        </a:ln>
      </xdr:spPr>
    </xdr:pic>
    <xdr:clientData/>
  </xdr:twoCellAnchor>
  <xdr:twoCellAnchor editAs="oneCell">
    <xdr:from>
      <xdr:col>1</xdr:col>
      <xdr:colOff>66677</xdr:colOff>
      <xdr:row>18</xdr:row>
      <xdr:rowOff>57149</xdr:rowOff>
    </xdr:from>
    <xdr:to>
      <xdr:col>1</xdr:col>
      <xdr:colOff>661990</xdr:colOff>
      <xdr:row>19</xdr:row>
      <xdr:rowOff>247649</xdr:rowOff>
    </xdr:to>
    <xdr:pic>
      <xdr:nvPicPr>
        <xdr:cNvPr id="5" name="Picture 4">
          <a:extLst>
            <a:ext uri="{FF2B5EF4-FFF2-40B4-BE49-F238E27FC236}">
              <a16:creationId xmlns:a16="http://schemas.microsoft.com/office/drawing/2014/main" id="{00000000-0008-0000-0200-000005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33427" y="3714749"/>
          <a:ext cx="595313" cy="457200"/>
        </a:xfrm>
        <a:prstGeom prst="rect">
          <a:avLst/>
        </a:prstGeom>
        <a:ln w="3175">
          <a:solidFill>
            <a:schemeClr val="tx1"/>
          </a:solidFill>
        </a:ln>
      </xdr:spPr>
    </xdr:pic>
    <xdr:clientData/>
  </xdr:twoCellAnchor>
  <xdr:twoCellAnchor editAs="oneCell">
    <xdr:from>
      <xdr:col>1</xdr:col>
      <xdr:colOff>90488</xdr:colOff>
      <xdr:row>26</xdr:row>
      <xdr:rowOff>47625</xdr:rowOff>
    </xdr:from>
    <xdr:to>
      <xdr:col>1</xdr:col>
      <xdr:colOff>690562</xdr:colOff>
      <xdr:row>27</xdr:row>
      <xdr:rowOff>266700</xdr:rowOff>
    </xdr:to>
    <xdr:pic>
      <xdr:nvPicPr>
        <xdr:cNvPr id="6" name="Picture 5">
          <a:extLst>
            <a:ext uri="{FF2B5EF4-FFF2-40B4-BE49-F238E27FC236}">
              <a16:creationId xmlns:a16="http://schemas.microsoft.com/office/drawing/2014/main" id="{00000000-0008-0000-0200-000006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57238" y="6257925"/>
          <a:ext cx="600074" cy="485775"/>
        </a:xfrm>
        <a:prstGeom prst="rect">
          <a:avLst/>
        </a:prstGeom>
        <a:ln w="3175">
          <a:solidFill>
            <a:schemeClr val="tx1"/>
          </a:solidFill>
        </a:ln>
      </xdr:spPr>
    </xdr:pic>
    <xdr:clientData/>
  </xdr:twoCellAnchor>
  <xdr:twoCellAnchor editAs="oneCell">
    <xdr:from>
      <xdr:col>1</xdr:col>
      <xdr:colOff>61914</xdr:colOff>
      <xdr:row>30</xdr:row>
      <xdr:rowOff>66675</xdr:rowOff>
    </xdr:from>
    <xdr:to>
      <xdr:col>1</xdr:col>
      <xdr:colOff>681038</xdr:colOff>
      <xdr:row>31</xdr:row>
      <xdr:rowOff>295277</xdr:rowOff>
    </xdr:to>
    <xdr:pic>
      <xdr:nvPicPr>
        <xdr:cNvPr id="7" name="Picture 6">
          <a:extLst>
            <a:ext uri="{FF2B5EF4-FFF2-40B4-BE49-F238E27FC236}">
              <a16:creationId xmlns:a16="http://schemas.microsoft.com/office/drawing/2014/main" id="{00000000-0008-0000-0200-000007000000}"/>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28664" y="7534275"/>
          <a:ext cx="619124" cy="495302"/>
        </a:xfrm>
        <a:prstGeom prst="rect">
          <a:avLst/>
        </a:prstGeom>
        <a:ln w="3175">
          <a:solidFill>
            <a:schemeClr val="tx1"/>
          </a:solidFill>
        </a:ln>
      </xdr:spPr>
    </xdr:pic>
    <xdr:clientData/>
  </xdr:twoCellAnchor>
  <xdr:twoCellAnchor editAs="oneCell">
    <xdr:from>
      <xdr:col>0</xdr:col>
      <xdr:colOff>657225</xdr:colOff>
      <xdr:row>35</xdr:row>
      <xdr:rowOff>19051</xdr:rowOff>
    </xdr:from>
    <xdr:to>
      <xdr:col>1</xdr:col>
      <xdr:colOff>761999</xdr:colOff>
      <xdr:row>36</xdr:row>
      <xdr:rowOff>523875</xdr:rowOff>
    </xdr:to>
    <xdr:pic>
      <xdr:nvPicPr>
        <xdr:cNvPr id="9" name="Picture 8" descr="https://www.cloudera.com/content/dam/www/Documentation/Product%20Icons/Manager_Icon.png">
          <a:extLst>
            <a:ext uri="{FF2B5EF4-FFF2-40B4-BE49-F238E27FC236}">
              <a16:creationId xmlns:a16="http://schemas.microsoft.com/office/drawing/2014/main" id="{00000000-0008-0000-0200-00000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57225" y="10306051"/>
          <a:ext cx="771524" cy="771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3</xdr:col>
      <xdr:colOff>1166812</xdr:colOff>
      <xdr:row>0</xdr:row>
      <xdr:rowOff>166687</xdr:rowOff>
    </xdr:from>
    <xdr:to>
      <xdr:col>5</xdr:col>
      <xdr:colOff>28575</xdr:colOff>
      <xdr:row>1</xdr:row>
      <xdr:rowOff>742565</xdr:rowOff>
    </xdr:to>
    <xdr:pic>
      <xdr:nvPicPr>
        <xdr:cNvPr id="3" name="Picture 2" descr="Image result for wentworth group of concerned scientists">
          <a:extLst>
            <a:ext uri="{FF2B5EF4-FFF2-40B4-BE49-F238E27FC236}">
              <a16:creationId xmlns:a16="http://schemas.microsoft.com/office/drawing/2014/main" id="{00000000-0008-0000-04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353675" y="166687"/>
          <a:ext cx="2081213" cy="7568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209550</xdr:colOff>
      <xdr:row>2</xdr:row>
      <xdr:rowOff>34925</xdr:rowOff>
    </xdr:from>
    <xdr:to>
      <xdr:col>9</xdr:col>
      <xdr:colOff>503555</xdr:colOff>
      <xdr:row>4</xdr:row>
      <xdr:rowOff>59056</xdr:rowOff>
    </xdr:to>
    <xdr:pic>
      <xdr:nvPicPr>
        <xdr:cNvPr id="2" name="Picture 1">
          <a:extLst>
            <a:ext uri="{FF2B5EF4-FFF2-40B4-BE49-F238E27FC236}">
              <a16:creationId xmlns:a16="http://schemas.microsoft.com/office/drawing/2014/main" id="{83511A5B-42B9-1CDD-E204-D24DC44639BB}"/>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16374" y="415925"/>
          <a:ext cx="4582122" cy="397660"/>
        </a:xfrm>
        <a:prstGeom prst="rect">
          <a:avLst/>
        </a:prstGeom>
        <a:noFill/>
      </xdr:spPr>
    </xdr:pic>
    <xdr:clientData/>
  </xdr:twoCellAnchor>
  <xdr:twoCellAnchor editAs="oneCell">
    <xdr:from>
      <xdr:col>9</xdr:col>
      <xdr:colOff>96239</xdr:colOff>
      <xdr:row>17</xdr:row>
      <xdr:rowOff>28743</xdr:rowOff>
    </xdr:from>
    <xdr:to>
      <xdr:col>9</xdr:col>
      <xdr:colOff>506663</xdr:colOff>
      <xdr:row>17</xdr:row>
      <xdr:rowOff>169947</xdr:rowOff>
    </xdr:to>
    <xdr:pic>
      <xdr:nvPicPr>
        <xdr:cNvPr id="3" name="Picture 2">
          <a:extLst>
            <a:ext uri="{FF2B5EF4-FFF2-40B4-BE49-F238E27FC236}">
              <a16:creationId xmlns:a16="http://schemas.microsoft.com/office/drawing/2014/main" id="{8225CA56-2242-A5EA-66A3-3AC8082C67B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163539" y="3495843"/>
          <a:ext cx="407249" cy="1412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16</xdr:col>
      <xdr:colOff>389081</xdr:colOff>
      <xdr:row>55</xdr:row>
      <xdr:rowOff>103909</xdr:rowOff>
    </xdr:from>
    <xdr:to>
      <xdr:col>21</xdr:col>
      <xdr:colOff>935181</xdr:colOff>
      <xdr:row>71</xdr:row>
      <xdr:rowOff>69273</xdr:rowOff>
    </xdr:to>
    <xdr:graphicFrame macro="">
      <xdr:nvGraphicFramePr>
        <xdr:cNvPr id="2" name="Chart 1">
          <a:extLst>
            <a:ext uri="{FF2B5EF4-FFF2-40B4-BE49-F238E27FC236}">
              <a16:creationId xmlns:a16="http://schemas.microsoft.com/office/drawing/2014/main" id="{7A52030C-3DF1-9891-7A4F-88122424595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22</xdr:col>
      <xdr:colOff>186171</xdr:colOff>
      <xdr:row>52</xdr:row>
      <xdr:rowOff>111174</xdr:rowOff>
    </xdr:from>
    <xdr:to>
      <xdr:col>27</xdr:col>
      <xdr:colOff>1474643</xdr:colOff>
      <xdr:row>72</xdr:row>
      <xdr:rowOff>154275</xdr:rowOff>
    </xdr:to>
    <xdr:pic>
      <xdr:nvPicPr>
        <xdr:cNvPr id="12" name="Picture 11">
          <a:extLst>
            <a:ext uri="{FF2B5EF4-FFF2-40B4-BE49-F238E27FC236}">
              <a16:creationId xmlns:a16="http://schemas.microsoft.com/office/drawing/2014/main" id="{D397AA08-1AEE-6533-E2A8-012ACAD103A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2236353" y="14161992"/>
          <a:ext cx="10247745" cy="3737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87448</xdr:colOff>
      <xdr:row>61</xdr:row>
      <xdr:rowOff>161920</xdr:rowOff>
    </xdr:from>
    <xdr:to>
      <xdr:col>3</xdr:col>
      <xdr:colOff>65396</xdr:colOff>
      <xdr:row>79</xdr:row>
      <xdr:rowOff>48540</xdr:rowOff>
    </xdr:to>
    <xdr:pic>
      <xdr:nvPicPr>
        <xdr:cNvPr id="4" name="Picture 3">
          <a:extLst>
            <a:ext uri="{FF2B5EF4-FFF2-40B4-BE49-F238E27FC236}">
              <a16:creationId xmlns:a16="http://schemas.microsoft.com/office/drawing/2014/main" id="{00000000-0008-0000-0F00-000004000000}"/>
            </a:ext>
          </a:extLst>
        </xdr:cNvPr>
        <xdr:cNvPicPr>
          <a:picLocks noChangeAspect="1"/>
        </xdr:cNvPicPr>
      </xdr:nvPicPr>
      <xdr:blipFill rotWithShape="1">
        <a:blip xmlns:r="http://schemas.openxmlformats.org/officeDocument/2006/relationships" r:embed="rId1"/>
        <a:srcRect l="28875" t="16813" r="37029" b="67961"/>
        <a:stretch/>
      </xdr:blipFill>
      <xdr:spPr>
        <a:xfrm>
          <a:off x="87448" y="3619495"/>
          <a:ext cx="6407323" cy="3137820"/>
        </a:xfrm>
        <a:prstGeom prst="rect">
          <a:avLst/>
        </a:prstGeom>
      </xdr:spPr>
    </xdr:pic>
    <xdr:clientData/>
  </xdr:twoCellAnchor>
  <xdr:twoCellAnchor editAs="oneCell">
    <xdr:from>
      <xdr:col>1</xdr:col>
      <xdr:colOff>827809</xdr:colOff>
      <xdr:row>61</xdr:row>
      <xdr:rowOff>185738</xdr:rowOff>
    </xdr:from>
    <xdr:to>
      <xdr:col>10</xdr:col>
      <xdr:colOff>254290</xdr:colOff>
      <xdr:row>95</xdr:row>
      <xdr:rowOff>116032</xdr:rowOff>
    </xdr:to>
    <xdr:pic>
      <xdr:nvPicPr>
        <xdr:cNvPr id="5" name="Picture 4">
          <a:extLst>
            <a:ext uri="{FF2B5EF4-FFF2-40B4-BE49-F238E27FC236}">
              <a16:creationId xmlns:a16="http://schemas.microsoft.com/office/drawing/2014/main" id="{00000000-0008-0000-0F00-000005000000}"/>
            </a:ext>
          </a:extLst>
        </xdr:cNvPr>
        <xdr:cNvPicPr>
          <a:picLocks noChangeAspect="1"/>
        </xdr:cNvPicPr>
      </xdr:nvPicPr>
      <xdr:blipFill rotWithShape="1">
        <a:blip xmlns:r="http://schemas.openxmlformats.org/officeDocument/2006/relationships" r:embed="rId2"/>
        <a:srcRect l="62560" t="27019" r="11131" b="28961"/>
        <a:stretch/>
      </xdr:blipFill>
      <xdr:spPr>
        <a:xfrm>
          <a:off x="6895234" y="3814763"/>
          <a:ext cx="9553144" cy="640729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17</xdr:col>
      <xdr:colOff>266041</xdr:colOff>
      <xdr:row>74</xdr:row>
      <xdr:rowOff>97287</xdr:rowOff>
    </xdr:from>
    <xdr:to>
      <xdr:col>26</xdr:col>
      <xdr:colOff>464765</xdr:colOff>
      <xdr:row>91</xdr:row>
      <xdr:rowOff>161251</xdr:rowOff>
    </xdr:to>
    <xdr:pic>
      <xdr:nvPicPr>
        <xdr:cNvPr id="2" name="Picture 1">
          <a:extLst>
            <a:ext uri="{FF2B5EF4-FFF2-40B4-BE49-F238E27FC236}">
              <a16:creationId xmlns:a16="http://schemas.microsoft.com/office/drawing/2014/main" id="{A44F4B5B-22B0-41CD-B6A8-F167649BAF16}"/>
            </a:ext>
          </a:extLst>
        </xdr:cNvPr>
        <xdr:cNvPicPr>
          <a:picLocks noChangeAspect="1"/>
        </xdr:cNvPicPr>
      </xdr:nvPicPr>
      <xdr:blipFill rotWithShape="1">
        <a:blip xmlns:r="http://schemas.openxmlformats.org/officeDocument/2006/relationships" r:embed="rId1"/>
        <a:srcRect l="28875" t="16813" r="37029" b="67961"/>
        <a:stretch/>
      </xdr:blipFill>
      <xdr:spPr>
        <a:xfrm>
          <a:off x="22280699" y="13337037"/>
          <a:ext cx="5985162" cy="3100059"/>
        </a:xfrm>
        <a:prstGeom prst="rect">
          <a:avLst/>
        </a:prstGeom>
      </xdr:spPr>
    </xdr:pic>
    <xdr:clientData/>
  </xdr:twoCellAnchor>
  <xdr:twoCellAnchor editAs="oneCell">
    <xdr:from>
      <xdr:col>16</xdr:col>
      <xdr:colOff>399184</xdr:colOff>
      <xdr:row>38</xdr:row>
      <xdr:rowOff>70418</xdr:rowOff>
    </xdr:from>
    <xdr:to>
      <xdr:col>32</xdr:col>
      <xdr:colOff>324253</xdr:colOff>
      <xdr:row>72</xdr:row>
      <xdr:rowOff>5474</xdr:rowOff>
    </xdr:to>
    <xdr:pic>
      <xdr:nvPicPr>
        <xdr:cNvPr id="3" name="Picture 2">
          <a:extLst>
            <a:ext uri="{FF2B5EF4-FFF2-40B4-BE49-F238E27FC236}">
              <a16:creationId xmlns:a16="http://schemas.microsoft.com/office/drawing/2014/main" id="{6AF339FA-5A31-4226-9342-BC21CCD0B19B}"/>
            </a:ext>
          </a:extLst>
        </xdr:cNvPr>
        <xdr:cNvPicPr>
          <a:picLocks noChangeAspect="1"/>
        </xdr:cNvPicPr>
      </xdr:nvPicPr>
      <xdr:blipFill rotWithShape="1">
        <a:blip xmlns:r="http://schemas.openxmlformats.org/officeDocument/2006/relationships" r:embed="rId2"/>
        <a:srcRect l="62560" t="27019" r="11131" b="28961"/>
        <a:stretch/>
      </xdr:blipFill>
      <xdr:spPr>
        <a:xfrm>
          <a:off x="21770904" y="6880793"/>
          <a:ext cx="10212069" cy="600724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381001</xdr:colOff>
      <xdr:row>24</xdr:row>
      <xdr:rowOff>0</xdr:rowOff>
    </xdr:from>
    <xdr:to>
      <xdr:col>15</xdr:col>
      <xdr:colOff>239569</xdr:colOff>
      <xdr:row>39</xdr:row>
      <xdr:rowOff>88586</xdr:rowOff>
    </xdr:to>
    <xdr:pic>
      <xdr:nvPicPr>
        <xdr:cNvPr id="2" name="Picture 1">
          <a:extLst>
            <a:ext uri="{FF2B5EF4-FFF2-40B4-BE49-F238E27FC236}">
              <a16:creationId xmlns:a16="http://schemas.microsoft.com/office/drawing/2014/main" id="{042021D0-F185-4185-B032-2CE4B6777C17}"/>
            </a:ext>
          </a:extLst>
        </xdr:cNvPr>
        <xdr:cNvPicPr>
          <a:picLocks noChangeAspect="1"/>
        </xdr:cNvPicPr>
      </xdr:nvPicPr>
      <xdr:blipFill rotWithShape="1">
        <a:blip xmlns:r="http://schemas.openxmlformats.org/officeDocument/2006/relationships" r:embed="rId1"/>
        <a:srcRect l="13048" t="8876" r="14132" b="61827"/>
        <a:stretch/>
      </xdr:blipFill>
      <xdr:spPr>
        <a:xfrm>
          <a:off x="13354051" y="4705350"/>
          <a:ext cx="6459393" cy="2803211"/>
        </a:xfrm>
        <a:prstGeom prst="rect">
          <a:avLst/>
        </a:prstGeom>
      </xdr:spPr>
    </xdr:pic>
    <xdr:clientData/>
  </xdr:twoCellAnchor>
  <xdr:twoCellAnchor editAs="oneCell">
    <xdr:from>
      <xdr:col>3</xdr:col>
      <xdr:colOff>298145</xdr:colOff>
      <xdr:row>33</xdr:row>
      <xdr:rowOff>14017</xdr:rowOff>
    </xdr:from>
    <xdr:to>
      <xdr:col>7</xdr:col>
      <xdr:colOff>349545</xdr:colOff>
      <xdr:row>48</xdr:row>
      <xdr:rowOff>132438</xdr:rowOff>
    </xdr:to>
    <xdr:pic>
      <xdr:nvPicPr>
        <xdr:cNvPr id="3" name="Picture 2">
          <a:extLst>
            <a:ext uri="{FF2B5EF4-FFF2-40B4-BE49-F238E27FC236}">
              <a16:creationId xmlns:a16="http://schemas.microsoft.com/office/drawing/2014/main" id="{AD203AD2-3E88-46E8-8751-9916F8BCE34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58070" y="6344967"/>
          <a:ext cx="4474175" cy="28362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151616</xdr:colOff>
      <xdr:row>106</xdr:row>
      <xdr:rowOff>95251</xdr:rowOff>
    </xdr:from>
    <xdr:to>
      <xdr:col>4</xdr:col>
      <xdr:colOff>701222</xdr:colOff>
      <xdr:row>119</xdr:row>
      <xdr:rowOff>128815</xdr:rowOff>
    </xdr:to>
    <xdr:graphicFrame macro="">
      <xdr:nvGraphicFramePr>
        <xdr:cNvPr id="5" name="Chart 4">
          <a:extLst>
            <a:ext uri="{FF2B5EF4-FFF2-40B4-BE49-F238E27FC236}">
              <a16:creationId xmlns:a16="http://schemas.microsoft.com/office/drawing/2014/main" id="{A1E38AF9-36D8-2706-A7B6-53A28F9B3B8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editAs="oneCell">
    <xdr:from>
      <xdr:col>10</xdr:col>
      <xdr:colOff>477116</xdr:colOff>
      <xdr:row>10</xdr:row>
      <xdr:rowOff>45896</xdr:rowOff>
    </xdr:from>
    <xdr:to>
      <xdr:col>18</xdr:col>
      <xdr:colOff>388217</xdr:colOff>
      <xdr:row>32</xdr:row>
      <xdr:rowOff>73602</xdr:rowOff>
    </xdr:to>
    <xdr:pic>
      <xdr:nvPicPr>
        <xdr:cNvPr id="2" name="Picture 1">
          <a:extLst>
            <a:ext uri="{FF2B5EF4-FFF2-40B4-BE49-F238E27FC236}">
              <a16:creationId xmlns:a16="http://schemas.microsoft.com/office/drawing/2014/main" id="{D09CBDD5-A733-499B-B8B9-AB37028C0914}"/>
            </a:ext>
          </a:extLst>
        </xdr:cNvPr>
        <xdr:cNvPicPr>
          <a:picLocks noChangeAspect="1"/>
        </xdr:cNvPicPr>
      </xdr:nvPicPr>
      <xdr:blipFill rotWithShape="1">
        <a:blip xmlns:r="http://schemas.openxmlformats.org/officeDocument/2006/relationships" r:embed="rId1"/>
        <a:srcRect l="40647" t="11150" r="31767" b="63672"/>
        <a:stretch/>
      </xdr:blipFill>
      <xdr:spPr>
        <a:xfrm>
          <a:off x="13259666" y="1858821"/>
          <a:ext cx="4873626" cy="4558431"/>
        </a:xfrm>
        <a:prstGeom prst="rect">
          <a:avLst/>
        </a:prstGeom>
      </xdr:spPr>
    </xdr:pic>
    <xdr:clientData/>
  </xdr:twoCellAnchor>
  <xdr:twoCellAnchor editAs="oneCell">
    <xdr:from>
      <xdr:col>19</xdr:col>
      <xdr:colOff>57150</xdr:colOff>
      <xdr:row>10</xdr:row>
      <xdr:rowOff>180975</xdr:rowOff>
    </xdr:from>
    <xdr:to>
      <xdr:col>27</xdr:col>
      <xdr:colOff>559948</xdr:colOff>
      <xdr:row>33</xdr:row>
      <xdr:rowOff>88033</xdr:rowOff>
    </xdr:to>
    <xdr:pic>
      <xdr:nvPicPr>
        <xdr:cNvPr id="3" name="Picture 2">
          <a:extLst>
            <a:ext uri="{FF2B5EF4-FFF2-40B4-BE49-F238E27FC236}">
              <a16:creationId xmlns:a16="http://schemas.microsoft.com/office/drawing/2014/main" id="{7D6334E8-88DD-4FEB-84D3-627AABAF53F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411825" y="1987550"/>
          <a:ext cx="5379598" cy="4625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461962</xdr:colOff>
      <xdr:row>38</xdr:row>
      <xdr:rowOff>145256</xdr:rowOff>
    </xdr:from>
    <xdr:to>
      <xdr:col>23</xdr:col>
      <xdr:colOff>438150</xdr:colOff>
      <xdr:row>71</xdr:row>
      <xdr:rowOff>116142</xdr:rowOff>
    </xdr:to>
    <xdr:pic>
      <xdr:nvPicPr>
        <xdr:cNvPr id="4" name="Picture 3">
          <a:extLst>
            <a:ext uri="{FF2B5EF4-FFF2-40B4-BE49-F238E27FC236}">
              <a16:creationId xmlns:a16="http://schemas.microsoft.com/office/drawing/2014/main" id="{8E60EF63-2D99-47ED-9375-81BD9B0E487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247687" y="7571581"/>
          <a:ext cx="7983538" cy="5946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persons/person.xml><?xml version="1.0" encoding="utf-8"?>
<personList xmlns="http://schemas.microsoft.com/office/spreadsheetml/2018/threadedcomments" xmlns:x="http://schemas.openxmlformats.org/spreadsheetml/2006/main">
  <person displayName="Celine Steinfeld" id="{0C31A7B1-533E-40FF-BFC0-ECA465EB0AD5}" userId="S::z3100332@ad.unsw.edu.au::9a4b538d-27d3-4a28-8abd-005d49285f3c" providerId="AD"/>
  <person displayName="Celine Steinfeld" id="{51C32C04-D4A7-4367-9394-711E1282BF58}" userId="S::z3100332@ad.unsw.edu.au::d7bf9086-a495-4f2d-a2dc-5a83eb4b6ee8" providerId="AD"/>
</personList>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I11" dT="2022-08-19T11:44:35.12" personId="{51C32C04-D4A7-4367-9394-711E1282BF58}" id="{16D7CA6A-D539-4864-920F-E5F2CF03ECD7}">
    <text>Note: Lime application varies across the landscape depending on pH requirements. See worksheet for detailed calculation.</text>
  </threadedComment>
</ThreadedComments>
</file>

<file path=xl/threadedComments/threadedComment2.xml><?xml version="1.0" encoding="utf-8"?>
<ThreadedComments xmlns="http://schemas.microsoft.com/office/spreadsheetml/2018/threadedcomments" xmlns:x="http://schemas.openxmlformats.org/spreadsheetml/2006/main">
  <threadedComment ref="F12" dT="2022-08-19T11:56:07.19" personId="{51C32C04-D4A7-4367-9394-711E1282BF58}" id="{01176D8A-AF42-49AC-86E3-53A67F3A1784}">
    <text>Average cost across land requiring pH 4.8 and pH 5.5.</text>
  </threadedComment>
</ThreadedComments>
</file>

<file path=xl/threadedComments/threadedComment3.xml><?xml version="1.0" encoding="utf-8"?>
<ThreadedComments xmlns="http://schemas.microsoft.com/office/spreadsheetml/2018/threadedcomments" xmlns:x="http://schemas.openxmlformats.org/spreadsheetml/2006/main">
  <threadedComment ref="F8" dT="2022-08-19T22:14:37.70" personId="{51C32C04-D4A7-4367-9394-711E1282BF58}" id="{BD5A71A7-787A-4E13-9CE9-E52BB7617635}">
    <text>Average cost across VAST 3 and 5 classifications</text>
  </threadedComment>
  <threadedComment ref="F11" dT="2022-08-19T22:19:15.82" personId="{51C32C04-D4A7-4367-9394-711E1282BF58}" id="{445B8547-8546-4D08-A2A3-D95955A54378}">
    <text>Average cost across Australia</text>
  </threadedComment>
  <threadedComment ref="F14" dT="2022-08-19T22:19:15.82" personId="{51C32C04-D4A7-4367-9394-711E1282BF58}" id="{3BA496A2-185B-45B6-A988-F47CDCB7A20E}">
    <text>Average cost across Australia</text>
  </threadedComment>
</ThreadedComments>
</file>

<file path=xl/threadedComments/threadedComment4.xml><?xml version="1.0" encoding="utf-8"?>
<ThreadedComments xmlns="http://schemas.microsoft.com/office/spreadsheetml/2018/threadedcomments" xmlns:x="http://schemas.openxmlformats.org/spreadsheetml/2006/main">
  <threadedComment ref="L32" dT="2024-02-21T15:48:05.55" personId="{0C31A7B1-533E-40FF-BFC0-ECA465EB0AD5}" id="{88F08450-8758-4E26-BF14-133FCC47239C}">
    <text>Accounts for annual accumulation of planted area. Inflation already applied (see OpEx spreadsheet)</text>
  </threadedComment>
  <threadedComment ref="L46" dT="2024-02-21T16:08:38.69" personId="{0C31A7B1-533E-40FF-BFC0-ECA465EB0AD5}" id="{368D921E-5A65-45F7-88EF-DC78207CF2AE}">
    <text>Accounts for annual accumulation of planted area. Inflation already applied (see OpEx spreadsheet)</text>
  </threadedComment>
  <threadedComment ref="L47" dT="2024-02-21T16:08:50.52" personId="{0C31A7B1-533E-40FF-BFC0-ECA465EB0AD5}" id="{E4794F33-B0AA-44E3-8B11-A96C16DC8480}">
    <text>Accounts for annual accumulation of managed area. Inflation already applied (see OpEx spreadsheet)</text>
  </threadedComment>
</ThreadedComments>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hyperlink" Target="http://www.abs.gov.au/ausstats/abs@.nsf/productsbytopic/EB58EF0B595318C6CA257B4E0013BB97?OpenDocument" TargetMode="External"/><Relationship Id="rId5" Type="http://schemas.openxmlformats.org/officeDocument/2006/relationships/comments" Target="../comments1.xm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4.bin"/><Relationship Id="rId4" Type="http://schemas.openxmlformats.org/officeDocument/2006/relationships/comments" Target="../comments2.xml"/></Relationships>
</file>

<file path=xl/worksheets/_rels/sheet5.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7.bin"/><Relationship Id="rId4" Type="http://schemas.microsoft.com/office/2017/10/relationships/threadedComment" Target="../threadedComments/threadedComment1.xml"/></Relationships>
</file>

<file path=xl/worksheets/_rels/sheet9.xml.rels><?xml version="1.0" encoding="UTF-8" standalone="yes"?>
<Relationships xmlns="http://schemas.openxmlformats.org/package/2006/relationships"><Relationship Id="rId3" Type="http://schemas.microsoft.com/office/2017/10/relationships/threadedComment" Target="../threadedComments/threadedComment2.xml"/><Relationship Id="rId2" Type="http://schemas.openxmlformats.org/officeDocument/2006/relationships/comments" Target="../comments5.xml"/><Relationship Id="rId1" Type="http://schemas.openxmlformats.org/officeDocument/2006/relationships/vmlDrawing" Target="../drawings/vmlDrawing5.vml"/></Relationships>
</file>

<file path=xl/worksheets/_rels/sheet10.xml.rels><?xml version="1.0" encoding="UTF-8" standalone="yes"?>
<Relationships xmlns="http://schemas.openxmlformats.org/package/2006/relationships"><Relationship Id="rId3" Type="http://schemas.microsoft.com/office/2017/10/relationships/threadedComment" Target="../threadedComments/threadedComment3.xml"/><Relationship Id="rId2" Type="http://schemas.openxmlformats.org/officeDocument/2006/relationships/comments" Target="../comments6.xml"/><Relationship Id="rId1" Type="http://schemas.openxmlformats.org/officeDocument/2006/relationships/vmlDrawing" Target="../drawings/vmlDrawing6.vml"/></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cleanenergyregulator.gov.au/NGER/The-Safeguard-Mechanism/The-Safeguard-Mechanism-for-financial-years-commencing-on-or-after-1-July-2023" TargetMode="External"/></Relationships>
</file>

<file path=xl/worksheets/_rels/sheet16.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7.vml"/><Relationship Id="rId1" Type="http://schemas.openxmlformats.org/officeDocument/2006/relationships/printerSettings" Target="../printerSettings/printerSettings9.bin"/><Relationship Id="rId4" Type="http://schemas.microsoft.com/office/2017/10/relationships/threadedComment" Target="../threadedComments/threadedComment4.xml"/></Relationships>
</file>

<file path=xl/worksheets/_rels/sheet17.xml.rels><?xml version="1.0" encoding="UTF-8" standalone="yes"?>
<Relationships xmlns="http://schemas.openxmlformats.org/package/2006/relationships"><Relationship Id="rId1" Type="http://schemas.openxmlformats.org/officeDocument/2006/relationships/hyperlink" Target="https://www.abs.gov.au/statistics/economy/national-accounts/australian-national-accounts-national-income-expenditure-and-product/latest-release" TargetMode="External"/></Relationships>
</file>

<file path=xl/worksheets/_rels/sheet19.xml.rels><?xml version="1.0" encoding="UTF-8" standalone="yes"?>
<Relationships xmlns="http://schemas.openxmlformats.org/package/2006/relationships"><Relationship Id="rId2" Type="http://schemas.openxmlformats.org/officeDocument/2006/relationships/printerSettings" Target="../printerSettings/printerSettings10.bin"/><Relationship Id="rId1" Type="http://schemas.openxmlformats.org/officeDocument/2006/relationships/hyperlink" Target="http://www.environment.gov.au/marine/marine-pollution/marine-pests"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1.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2.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14.bin"/><Relationship Id="rId1" Type="http://schemas.openxmlformats.org/officeDocument/2006/relationships/hyperlink" Target="https://www.environment.gov.au/node/22199" TargetMode="External"/></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printerSettings" Target="../printerSettings/printerSettings15.bin"/><Relationship Id="rId1" Type="http://schemas.openxmlformats.org/officeDocument/2006/relationships/hyperlink" Target="https://www.hsi.org.au/assets/publications/492_special-bulletin-conserving-australia-s-threatened-ecosystems-an.pdf" TargetMode="External"/><Relationship Id="rId4" Type="http://schemas.openxmlformats.org/officeDocument/2006/relationships/comments" Target="../comments8.xml"/></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0000"/>
  </sheetPr>
  <dimension ref="B1:C33"/>
  <sheetViews>
    <sheetView workbookViewId="0">
      <selection activeCell="B12" sqref="B12"/>
    </sheetView>
  </sheetViews>
  <sheetFormatPr defaultColWidth="9.1796875" defaultRowHeight="14.5" x14ac:dyDescent="0.35"/>
  <cols>
    <col min="1" max="1" width="9.1796875" style="816"/>
    <col min="2" max="2" width="70.7265625" style="816" customWidth="1"/>
    <col min="3" max="3" width="37.453125" style="817" customWidth="1"/>
    <col min="4" max="4" width="22.1796875" style="816" customWidth="1"/>
    <col min="5" max="16384" width="9.1796875" style="816"/>
  </cols>
  <sheetData>
    <row r="1" spans="2:3" ht="29" x14ac:dyDescent="0.35">
      <c r="B1" s="814" t="s">
        <v>81</v>
      </c>
      <c r="C1" s="815" t="s">
        <v>82</v>
      </c>
    </row>
    <row r="2" spans="2:3" x14ac:dyDescent="0.35">
      <c r="B2" s="614" t="e">
        <f>'Investment Summary'!#REF!</f>
        <v>#REF!</v>
      </c>
      <c r="C2" s="817" t="s">
        <v>83</v>
      </c>
    </row>
    <row r="3" spans="2:3" x14ac:dyDescent="0.35">
      <c r="B3" s="614" t="e">
        <f>'Investment Summary'!#REF!</f>
        <v>#REF!</v>
      </c>
      <c r="C3" s="817" t="s">
        <v>84</v>
      </c>
    </row>
    <row r="4" spans="2:3" x14ac:dyDescent="0.35">
      <c r="B4" s="614" t="e">
        <f>'Investment Summary'!#REF!</f>
        <v>#REF!</v>
      </c>
      <c r="C4" s="817" t="s">
        <v>85</v>
      </c>
    </row>
    <row r="5" spans="2:3" x14ac:dyDescent="0.35">
      <c r="B5" s="614" t="e">
        <f>'Investment Summary'!#REF!</f>
        <v>#REF!</v>
      </c>
      <c r="C5" s="817" t="s">
        <v>86</v>
      </c>
    </row>
    <row r="6" spans="2:3" x14ac:dyDescent="0.35">
      <c r="B6" s="614" t="e">
        <f>'Investment Summary'!#REF!</f>
        <v>#REF!</v>
      </c>
      <c r="C6" s="817" t="s">
        <v>87</v>
      </c>
    </row>
    <row r="7" spans="2:3" x14ac:dyDescent="0.35">
      <c r="B7" s="614" t="e">
        <f>'Investment Summary'!#REF!</f>
        <v>#REF!</v>
      </c>
      <c r="C7" s="817" t="s">
        <v>88</v>
      </c>
    </row>
    <row r="8" spans="2:3" x14ac:dyDescent="0.35">
      <c r="B8" s="614" t="e">
        <f>'Investment Summary'!#REF!</f>
        <v>#REF!</v>
      </c>
      <c r="C8" s="817" t="s">
        <v>89</v>
      </c>
    </row>
    <row r="9" spans="2:3" ht="29" x14ac:dyDescent="0.35">
      <c r="B9" s="614" t="e">
        <f>'Investment Summary'!#REF!</f>
        <v>#REF!</v>
      </c>
      <c r="C9" s="817" t="s">
        <v>90</v>
      </c>
    </row>
    <row r="10" spans="2:3" x14ac:dyDescent="0.35">
      <c r="B10" s="614" t="e">
        <f>'Investment Summary'!#REF!</f>
        <v>#REF!</v>
      </c>
      <c r="C10" s="817" t="s">
        <v>91</v>
      </c>
    </row>
    <row r="11" spans="2:3" x14ac:dyDescent="0.35">
      <c r="B11" s="614" t="e">
        <f>'Investment Summary'!#REF!</f>
        <v>#REF!</v>
      </c>
      <c r="C11" s="817" t="s">
        <v>92</v>
      </c>
    </row>
    <row r="12" spans="2:3" x14ac:dyDescent="0.35">
      <c r="B12" s="614" t="e">
        <f>'Investment Summary'!#REF!</f>
        <v>#REF!</v>
      </c>
      <c r="C12" s="817" t="s">
        <v>93</v>
      </c>
    </row>
    <row r="13" spans="2:3" x14ac:dyDescent="0.35">
      <c r="B13" s="614" t="e">
        <f>'Investment Summary'!#REF!</f>
        <v>#REF!</v>
      </c>
      <c r="C13" s="817" t="s">
        <v>94</v>
      </c>
    </row>
    <row r="14" spans="2:3" ht="29" x14ac:dyDescent="0.35">
      <c r="B14" s="614" t="e">
        <f>'Investment Summary'!#REF!</f>
        <v>#REF!</v>
      </c>
      <c r="C14" s="817" t="s">
        <v>95</v>
      </c>
    </row>
    <row r="15" spans="2:3" x14ac:dyDescent="0.35">
      <c r="B15" s="614" t="e">
        <f>'Investment Summary'!#REF!</f>
        <v>#REF!</v>
      </c>
      <c r="C15" s="817" t="s">
        <v>96</v>
      </c>
    </row>
    <row r="16" spans="2:3" ht="43.5" x14ac:dyDescent="0.35">
      <c r="B16" s="614" t="e">
        <f>'Investment Summary'!#REF!</f>
        <v>#REF!</v>
      </c>
      <c r="C16" s="817" t="s">
        <v>97</v>
      </c>
    </row>
    <row r="17" spans="2:3" ht="43.5" x14ac:dyDescent="0.35">
      <c r="B17" s="614" t="e">
        <f>'Investment Summary'!#REF!</f>
        <v>#REF!</v>
      </c>
      <c r="C17" s="817" t="s">
        <v>97</v>
      </c>
    </row>
    <row r="18" spans="2:3" ht="43.5" x14ac:dyDescent="0.35">
      <c r="B18" s="614" t="e">
        <f>'Investment Summary'!#REF!</f>
        <v>#REF!</v>
      </c>
      <c r="C18" s="817" t="s">
        <v>98</v>
      </c>
    </row>
    <row r="19" spans="2:3" ht="43.5" x14ac:dyDescent="0.35">
      <c r="B19" s="614" t="e">
        <f>'Investment Summary'!#REF!</f>
        <v>#REF!</v>
      </c>
      <c r="C19" s="817" t="s">
        <v>98</v>
      </c>
    </row>
    <row r="20" spans="2:3" x14ac:dyDescent="0.35">
      <c r="B20" s="614" t="e">
        <f>'Investment Summary'!#REF!</f>
        <v>#REF!</v>
      </c>
      <c r="C20" s="817" t="s">
        <v>99</v>
      </c>
    </row>
    <row r="21" spans="2:3" ht="43.5" x14ac:dyDescent="0.35">
      <c r="B21" s="614" t="e">
        <f>'Investment Summary'!#REF!</f>
        <v>#REF!</v>
      </c>
      <c r="C21" s="817" t="s">
        <v>100</v>
      </c>
    </row>
    <row r="22" spans="2:3" ht="43.5" x14ac:dyDescent="0.35">
      <c r="B22" s="614" t="e">
        <f>'Investment Summary'!#REF!</f>
        <v>#REF!</v>
      </c>
      <c r="C22" s="817" t="s">
        <v>100</v>
      </c>
    </row>
    <row r="23" spans="2:3" x14ac:dyDescent="0.35">
      <c r="B23" s="614" t="e">
        <f>'Investment Summary'!#REF!</f>
        <v>#REF!</v>
      </c>
      <c r="C23" s="817" t="s">
        <v>101</v>
      </c>
    </row>
    <row r="24" spans="2:3" x14ac:dyDescent="0.35">
      <c r="B24" s="614" t="e">
        <f>'Investment Summary'!#REF!</f>
        <v>#REF!</v>
      </c>
      <c r="C24" s="817" t="s">
        <v>102</v>
      </c>
    </row>
    <row r="25" spans="2:3" x14ac:dyDescent="0.35">
      <c r="B25" s="614" t="e">
        <f>'Investment Summary'!#REF!</f>
        <v>#REF!</v>
      </c>
      <c r="C25" s="817" t="s">
        <v>99</v>
      </c>
    </row>
    <row r="26" spans="2:3" x14ac:dyDescent="0.35">
      <c r="B26" s="614" t="e">
        <f>'Investment Summary'!#REF!</f>
        <v>#REF!</v>
      </c>
      <c r="C26" s="817" t="s">
        <v>103</v>
      </c>
    </row>
    <row r="27" spans="2:3" x14ac:dyDescent="0.35">
      <c r="B27" s="614" t="e">
        <f>'Investment Summary'!#REF!</f>
        <v>#REF!</v>
      </c>
      <c r="C27" s="817" t="s">
        <v>103</v>
      </c>
    </row>
    <row r="28" spans="2:3" x14ac:dyDescent="0.35">
      <c r="B28" s="614" t="e">
        <f>'Investment Summary'!#REF!</f>
        <v>#REF!</v>
      </c>
      <c r="C28" s="817" t="s">
        <v>103</v>
      </c>
    </row>
    <row r="29" spans="2:3" x14ac:dyDescent="0.35">
      <c r="B29" s="614" t="e">
        <f>'Investment Summary'!#REF!</f>
        <v>#REF!</v>
      </c>
      <c r="C29" s="817" t="s">
        <v>104</v>
      </c>
    </row>
    <row r="30" spans="2:3" x14ac:dyDescent="0.35">
      <c r="B30" s="614" t="e">
        <f>'Investment Summary'!#REF!</f>
        <v>#REF!</v>
      </c>
      <c r="C30" s="818" t="s">
        <v>105</v>
      </c>
    </row>
    <row r="31" spans="2:3" x14ac:dyDescent="0.35">
      <c r="B31" s="614" t="e">
        <f>'Investment Summary'!#REF!</f>
        <v>#REF!</v>
      </c>
      <c r="C31" s="818" t="s">
        <v>105</v>
      </c>
    </row>
    <row r="32" spans="2:3" x14ac:dyDescent="0.35">
      <c r="B32" s="614" t="e">
        <f>'Investment Summary'!#REF!</f>
        <v>#REF!</v>
      </c>
      <c r="C32" s="817" t="s">
        <v>106</v>
      </c>
    </row>
    <row r="33" spans="2:3" x14ac:dyDescent="0.35">
      <c r="B33" s="614" t="e">
        <f>'Investment Summary'!#REF!</f>
        <v>#REF!</v>
      </c>
      <c r="C33" s="817" t="s">
        <v>106</v>
      </c>
    </row>
  </sheetData>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0000"/>
  </sheetPr>
  <dimension ref="A1:Z220"/>
  <sheetViews>
    <sheetView topLeftCell="A80" zoomScale="85" zoomScaleNormal="85" workbookViewId="0">
      <selection activeCell="C46" sqref="C46"/>
    </sheetView>
  </sheetViews>
  <sheetFormatPr defaultRowHeight="14.5" x14ac:dyDescent="0.35"/>
  <cols>
    <col min="1" max="1" width="9.1796875" style="67" customWidth="1"/>
    <col min="2" max="2" width="11.1796875" style="67" customWidth="1"/>
    <col min="3" max="3" width="59.81640625" customWidth="1"/>
    <col min="4" max="4" width="28.81640625" customWidth="1"/>
    <col min="5" max="6" width="25.453125" style="547" customWidth="1"/>
    <col min="7" max="7" width="27.453125" customWidth="1"/>
    <col min="8" max="8" width="20.1796875" customWidth="1"/>
    <col min="9" max="9" width="27.453125" style="67" customWidth="1"/>
    <col min="10" max="10" width="29.1796875" style="67" customWidth="1"/>
    <col min="11" max="11" width="41.54296875" style="67" hidden="1" customWidth="1"/>
    <col min="12" max="12" width="9" style="67"/>
    <col min="13" max="13" width="15.81640625" style="67" customWidth="1"/>
    <col min="14" max="14" width="41.54296875" style="67" bestFit="1" customWidth="1"/>
    <col min="15" max="15" width="11" style="67" bestFit="1" customWidth="1"/>
    <col min="16" max="26" width="9" style="67"/>
  </cols>
  <sheetData>
    <row r="1" spans="2:26" x14ac:dyDescent="0.35">
      <c r="C1" s="67"/>
      <c r="D1" s="67"/>
      <c r="E1" s="601"/>
      <c r="F1" s="601"/>
      <c r="G1" s="67"/>
      <c r="H1" s="67"/>
    </row>
    <row r="2" spans="2:26" s="199" customFormat="1" x14ac:dyDescent="0.35">
      <c r="B2" s="199" t="s">
        <v>149</v>
      </c>
      <c r="E2" s="677"/>
      <c r="F2" s="677"/>
    </row>
    <row r="3" spans="2:26" x14ac:dyDescent="0.35">
      <c r="C3" s="67"/>
      <c r="D3" s="67"/>
      <c r="E3" s="601"/>
      <c r="F3" s="601"/>
      <c r="G3" s="67"/>
      <c r="H3" s="67"/>
    </row>
    <row r="4" spans="2:26" s="89" customFormat="1" ht="23.5" x14ac:dyDescent="0.55000000000000004">
      <c r="B4" s="1390" t="s">
        <v>150</v>
      </c>
      <c r="C4" s="1390"/>
      <c r="D4" s="1390"/>
      <c r="E4" s="1390"/>
      <c r="F4" s="1390"/>
      <c r="G4" s="1390"/>
      <c r="H4" s="1390"/>
    </row>
    <row r="5" spans="2:26" ht="15.5" x14ac:dyDescent="0.35">
      <c r="B5" s="454"/>
      <c r="C5" s="2"/>
      <c r="D5" s="2"/>
      <c r="E5" s="602"/>
      <c r="F5" s="602"/>
      <c r="G5" s="2"/>
      <c r="H5" s="67"/>
      <c r="Z5"/>
    </row>
    <row r="6" spans="2:26" ht="63" x14ac:dyDescent="0.5">
      <c r="B6" s="530"/>
      <c r="C6" s="531"/>
      <c r="D6" s="532" t="s">
        <v>151</v>
      </c>
      <c r="E6" s="603" t="s">
        <v>152</v>
      </c>
      <c r="F6" s="613" t="s">
        <v>153</v>
      </c>
      <c r="G6" s="572" t="s">
        <v>154</v>
      </c>
      <c r="H6" s="532" t="s">
        <v>108</v>
      </c>
      <c r="I6" s="532" t="s">
        <v>155</v>
      </c>
      <c r="J6" s="532" t="s">
        <v>156</v>
      </c>
      <c r="K6" s="532" t="s">
        <v>157</v>
      </c>
      <c r="M6" s="67" t="s">
        <v>158</v>
      </c>
      <c r="N6" s="67" t="s">
        <v>159</v>
      </c>
    </row>
    <row r="7" spans="2:26" ht="18.5" x14ac:dyDescent="0.45">
      <c r="B7" s="506"/>
      <c r="C7" s="506"/>
      <c r="D7" s="506"/>
      <c r="E7" s="604"/>
      <c r="F7" s="604"/>
      <c r="G7" s="507"/>
      <c r="H7" s="507"/>
      <c r="M7" s="601" t="e">
        <f>F65+F100+F127+F146+F177+F208</f>
        <v>#REF!</v>
      </c>
      <c r="N7" s="601" t="e">
        <f>F67+F102+F129+F148+F179+F210</f>
        <v>#REF!</v>
      </c>
      <c r="O7" s="616" t="e">
        <f>M7+N7</f>
        <v>#REF!</v>
      </c>
    </row>
    <row r="8" spans="2:26" ht="44.5" x14ac:dyDescent="0.45">
      <c r="B8" s="506"/>
      <c r="C8" s="573" t="s">
        <v>160</v>
      </c>
      <c r="D8" s="1377" t="e">
        <f>D70</f>
        <v>#REF!</v>
      </c>
      <c r="E8" s="1389" t="e">
        <f>E70</f>
        <v>#REF!</v>
      </c>
      <c r="F8" s="1389" t="e">
        <f>F70</f>
        <v>#REF!</v>
      </c>
      <c r="G8" s="1391" t="e">
        <f>G70</f>
        <v>#REF!</v>
      </c>
      <c r="H8" s="1376" t="e">
        <f>H70</f>
        <v>#REF!</v>
      </c>
      <c r="I8" s="1376" t="e">
        <f>G8/430949</f>
        <v>#REF!</v>
      </c>
      <c r="J8" s="1376" t="e">
        <f>G8/670192</f>
        <v>#REF!</v>
      </c>
      <c r="K8" s="582" t="s">
        <v>161</v>
      </c>
    </row>
    <row r="9" spans="2:26" ht="84" x14ac:dyDescent="0.45">
      <c r="B9" s="506"/>
      <c r="C9" s="520" t="s">
        <v>162</v>
      </c>
      <c r="D9" s="1377"/>
      <c r="E9" s="1389"/>
      <c r="F9" s="1389"/>
      <c r="G9" s="1391"/>
      <c r="H9" s="1376"/>
      <c r="I9" s="1376"/>
      <c r="J9" s="1376"/>
      <c r="M9" s="67" t="s">
        <v>163</v>
      </c>
      <c r="N9" s="67" t="s">
        <v>164</v>
      </c>
    </row>
    <row r="10" spans="2:26" ht="23.5" x14ac:dyDescent="0.55000000000000004">
      <c r="B10" s="508"/>
      <c r="C10" s="509"/>
      <c r="D10" s="518"/>
      <c r="E10" s="585"/>
      <c r="F10" s="585"/>
      <c r="G10" s="574"/>
      <c r="H10" s="574"/>
      <c r="I10" s="574"/>
      <c r="J10" s="574"/>
      <c r="K10" s="574"/>
      <c r="M10" s="615" t="e">
        <f>G67+G102+G129+G148+G179+G210</f>
        <v>#REF!</v>
      </c>
      <c r="N10" s="617" t="e">
        <f>H67+H102+H129+H148+H179+H210</f>
        <v>#REF!</v>
      </c>
    </row>
    <row r="11" spans="2:26" ht="23.5" x14ac:dyDescent="0.55000000000000004">
      <c r="B11" s="506"/>
      <c r="C11" s="626"/>
      <c r="D11" s="521"/>
      <c r="E11" s="586"/>
      <c r="F11" s="586"/>
      <c r="G11" s="575"/>
      <c r="H11" s="575"/>
      <c r="M11" s="625" t="e">
        <f>M10*34</f>
        <v>#REF!</v>
      </c>
    </row>
    <row r="12" spans="2:26" ht="23.5" x14ac:dyDescent="0.45">
      <c r="B12" s="506"/>
      <c r="C12" s="573" t="s">
        <v>165</v>
      </c>
      <c r="D12" s="1377" t="e">
        <f>D105</f>
        <v>#REF!</v>
      </c>
      <c r="E12" s="1389" t="e">
        <f t="shared" ref="E12:F12" si="0">E105</f>
        <v>#REF!</v>
      </c>
      <c r="F12" s="1389" t="e">
        <f t="shared" si="0"/>
        <v>#REF!</v>
      </c>
      <c r="G12" s="1391" t="e">
        <f t="shared" ref="G12:H12" si="1">G105</f>
        <v>#REF!</v>
      </c>
      <c r="H12" s="1376" t="e">
        <f t="shared" si="1"/>
        <v>#REF!</v>
      </c>
      <c r="I12" s="1376" t="e">
        <f>G12/430949</f>
        <v>#REF!</v>
      </c>
      <c r="J12" s="1376" t="e">
        <f>G12/670192</f>
        <v>#REF!</v>
      </c>
    </row>
    <row r="13" spans="2:26" ht="84" x14ac:dyDescent="0.45">
      <c r="B13" s="506"/>
      <c r="C13" s="520" t="s">
        <v>166</v>
      </c>
      <c r="D13" s="1377"/>
      <c r="E13" s="1389"/>
      <c r="F13" s="1389"/>
      <c r="G13" s="1391"/>
      <c r="H13" s="1376"/>
      <c r="I13" s="1376"/>
      <c r="J13" s="1376"/>
      <c r="M13" s="625" t="e">
        <f>D36-M11</f>
        <v>#REF!</v>
      </c>
      <c r="O13" s="67">
        <v>4468000000</v>
      </c>
      <c r="P13" s="620">
        <f>O13/Assumptions!C3</f>
        <v>1.8564068472660795E-3</v>
      </c>
      <c r="Q13" s="619">
        <f>O13/670192000000</f>
        <v>6.6667462458519346E-3</v>
      </c>
    </row>
    <row r="14" spans="2:26" ht="23.5" x14ac:dyDescent="0.55000000000000004">
      <c r="B14" s="508"/>
      <c r="C14" s="508"/>
      <c r="D14" s="518"/>
      <c r="E14" s="585"/>
      <c r="F14" s="585"/>
      <c r="G14" s="574"/>
      <c r="H14" s="574"/>
      <c r="I14" s="574"/>
      <c r="J14" s="574"/>
      <c r="K14" s="574"/>
      <c r="N14" s="615"/>
      <c r="O14" s="67">
        <f>O13*34</f>
        <v>151912000000</v>
      </c>
    </row>
    <row r="15" spans="2:26" ht="23.5" hidden="1" x14ac:dyDescent="0.55000000000000004">
      <c r="B15" s="506"/>
      <c r="C15" s="527" t="s">
        <v>167</v>
      </c>
      <c r="D15" s="554"/>
      <c r="E15" s="587"/>
      <c r="F15" s="587"/>
      <c r="G15" s="575"/>
      <c r="H15" s="575"/>
    </row>
    <row r="16" spans="2:26" ht="92.5" hidden="1" x14ac:dyDescent="0.55000000000000004">
      <c r="B16" s="506"/>
      <c r="C16" s="509" t="s">
        <v>168</v>
      </c>
      <c r="D16" s="553"/>
      <c r="E16" s="588"/>
      <c r="F16" s="588"/>
      <c r="G16" s="574"/>
      <c r="H16" s="574"/>
    </row>
    <row r="17" spans="2:17" s="67" customFormat="1" ht="74" hidden="1" x14ac:dyDescent="0.55000000000000004">
      <c r="B17" s="506"/>
      <c r="C17" s="528" t="s">
        <v>169</v>
      </c>
      <c r="D17" s="555"/>
      <c r="E17" s="589"/>
      <c r="F17" s="589"/>
      <c r="G17" s="576"/>
      <c r="H17" s="576"/>
    </row>
    <row r="18" spans="2:17" s="67" customFormat="1" ht="92.5" hidden="1" x14ac:dyDescent="0.55000000000000004">
      <c r="B18" s="506"/>
      <c r="C18" s="528" t="s">
        <v>170</v>
      </c>
      <c r="D18" s="555"/>
      <c r="E18" s="589"/>
      <c r="F18" s="589"/>
      <c r="G18" s="576"/>
      <c r="H18" s="576"/>
    </row>
    <row r="19" spans="2:17" s="67" customFormat="1" ht="23.5" hidden="1" x14ac:dyDescent="0.55000000000000004">
      <c r="B19" s="506"/>
      <c r="C19" s="626"/>
      <c r="D19" s="511"/>
      <c r="E19" s="590"/>
      <c r="F19" s="590"/>
      <c r="G19" s="575"/>
      <c r="H19" s="575"/>
    </row>
    <row r="20" spans="2:17" s="67" customFormat="1" ht="23.5" x14ac:dyDescent="0.55000000000000004">
      <c r="B20" s="506"/>
      <c r="C20" s="626"/>
      <c r="D20" s="521"/>
      <c r="E20" s="591"/>
      <c r="F20" s="591"/>
      <c r="G20" s="575"/>
      <c r="H20" s="575"/>
    </row>
    <row r="21" spans="2:17" s="67" customFormat="1" ht="23.5" x14ac:dyDescent="0.45">
      <c r="B21" s="506"/>
      <c r="C21" s="573" t="s">
        <v>171</v>
      </c>
      <c r="D21" s="1377" t="e">
        <f>D132</f>
        <v>#REF!</v>
      </c>
      <c r="E21" s="1389" t="e">
        <f t="shared" ref="E21:F21" si="2">E132</f>
        <v>#REF!</v>
      </c>
      <c r="F21" s="1389" t="e">
        <f t="shared" si="2"/>
        <v>#REF!</v>
      </c>
      <c r="G21" s="1391" t="e">
        <f t="shared" ref="G21:H21" si="3">G132</f>
        <v>#REF!</v>
      </c>
      <c r="H21" s="1376" t="e">
        <f t="shared" si="3"/>
        <v>#REF!</v>
      </c>
      <c r="I21" s="1376" t="e">
        <f>G21/430949</f>
        <v>#REF!</v>
      </c>
      <c r="J21" s="1376" t="e">
        <f>G21/670192</f>
        <v>#REF!</v>
      </c>
    </row>
    <row r="22" spans="2:17" s="67" customFormat="1" ht="63" x14ac:dyDescent="0.45">
      <c r="B22" s="506"/>
      <c r="C22" s="520" t="s">
        <v>172</v>
      </c>
      <c r="D22" s="1377"/>
      <c r="E22" s="1389"/>
      <c r="F22" s="1389"/>
      <c r="G22" s="1391"/>
      <c r="H22" s="1376"/>
      <c r="I22" s="1376"/>
      <c r="J22" s="1376"/>
    </row>
    <row r="23" spans="2:17" s="67" customFormat="1" ht="23.5" x14ac:dyDescent="0.55000000000000004">
      <c r="B23" s="508"/>
      <c r="C23" s="509"/>
      <c r="D23" s="518"/>
      <c r="E23" s="585"/>
      <c r="F23" s="585"/>
      <c r="G23" s="574"/>
      <c r="H23" s="574"/>
      <c r="I23" s="574"/>
      <c r="J23" s="574"/>
      <c r="K23" s="574"/>
      <c r="N23" s="615"/>
    </row>
    <row r="24" spans="2:17" s="67" customFormat="1" ht="23.5" x14ac:dyDescent="0.55000000000000004">
      <c r="B24" s="506"/>
      <c r="C24" s="626"/>
      <c r="D24" s="521"/>
      <c r="E24" s="591"/>
      <c r="F24" s="591"/>
      <c r="G24" s="575"/>
      <c r="H24" s="575"/>
    </row>
    <row r="25" spans="2:17" s="67" customFormat="1" ht="47" x14ac:dyDescent="0.45">
      <c r="B25" s="506"/>
      <c r="C25" s="573" t="s">
        <v>173</v>
      </c>
      <c r="D25" s="1377" t="e">
        <f>D151</f>
        <v>#REF!</v>
      </c>
      <c r="E25" s="1389" t="e">
        <f t="shared" ref="E25:F25" si="4">E151</f>
        <v>#REF!</v>
      </c>
      <c r="F25" s="1389" t="e">
        <f t="shared" si="4"/>
        <v>#REF!</v>
      </c>
      <c r="G25" s="1391" t="e">
        <f t="shared" ref="G25:H25" si="5">G151</f>
        <v>#REF!</v>
      </c>
      <c r="H25" s="1376" t="e">
        <f t="shared" si="5"/>
        <v>#REF!</v>
      </c>
      <c r="I25" s="1376" t="e">
        <f>G25/430949</f>
        <v>#REF!</v>
      </c>
      <c r="J25" s="1376" t="e">
        <f>G25/670192</f>
        <v>#REF!</v>
      </c>
    </row>
    <row r="26" spans="2:17" s="67" customFormat="1" ht="63" x14ac:dyDescent="0.45">
      <c r="B26" s="506"/>
      <c r="C26" s="520" t="s">
        <v>174</v>
      </c>
      <c r="D26" s="1377"/>
      <c r="E26" s="1389"/>
      <c r="F26" s="1389"/>
      <c r="G26" s="1391"/>
      <c r="H26" s="1376"/>
      <c r="I26" s="1376"/>
      <c r="J26" s="1376"/>
      <c r="N26" s="618" t="e">
        <f>H36-N10</f>
        <v>#REF!</v>
      </c>
    </row>
    <row r="27" spans="2:17" s="67" customFormat="1" ht="23.5" x14ac:dyDescent="0.55000000000000004">
      <c r="B27" s="508"/>
      <c r="C27" s="508"/>
      <c r="D27" s="518"/>
      <c r="E27" s="585"/>
      <c r="F27" s="585"/>
      <c r="G27" s="574"/>
      <c r="H27" s="574"/>
      <c r="I27" s="574"/>
      <c r="J27" s="574"/>
      <c r="K27" s="574"/>
      <c r="N27" s="615"/>
    </row>
    <row r="28" spans="2:17" s="67" customFormat="1" ht="23.5" x14ac:dyDescent="0.55000000000000004">
      <c r="B28" s="506"/>
      <c r="C28" s="506"/>
      <c r="D28" s="521"/>
      <c r="E28" s="591"/>
      <c r="F28" s="591"/>
      <c r="G28" s="575"/>
      <c r="H28" s="575"/>
    </row>
    <row r="29" spans="2:17" s="67" customFormat="1" ht="23.5" x14ac:dyDescent="0.45">
      <c r="B29" s="506"/>
      <c r="C29" s="573" t="s">
        <v>175</v>
      </c>
      <c r="D29" s="1377" t="e">
        <f>D182</f>
        <v>#REF!</v>
      </c>
      <c r="E29" s="1389" t="e">
        <f>E182</f>
        <v>#REF!</v>
      </c>
      <c r="F29" s="1389" t="e">
        <f>F182</f>
        <v>#REF!</v>
      </c>
      <c r="G29" s="1391" t="e">
        <f>G182</f>
        <v>#REF!</v>
      </c>
      <c r="H29" s="1376" t="e">
        <f>H182</f>
        <v>#REF!</v>
      </c>
      <c r="I29" s="1376" t="e">
        <f>G29/430949</f>
        <v>#REF!</v>
      </c>
      <c r="J29" s="1376" t="e">
        <f>G29/670192</f>
        <v>#REF!</v>
      </c>
    </row>
    <row r="30" spans="2:17" s="67" customFormat="1" ht="105" x14ac:dyDescent="0.45">
      <c r="B30" s="506"/>
      <c r="C30" s="520" t="s">
        <v>176</v>
      </c>
      <c r="D30" s="1377"/>
      <c r="E30" s="1389"/>
      <c r="F30" s="1389"/>
      <c r="G30" s="1391"/>
      <c r="H30" s="1376"/>
      <c r="I30" s="1376"/>
      <c r="J30" s="1376"/>
      <c r="N30" s="615" t="e">
        <f>G36-3600</f>
        <v>#REF!</v>
      </c>
    </row>
    <row r="31" spans="2:17" s="67" customFormat="1" ht="23.5" x14ac:dyDescent="0.55000000000000004">
      <c r="B31" s="508"/>
      <c r="C31" s="508"/>
      <c r="D31" s="518"/>
      <c r="E31" s="585"/>
      <c r="F31" s="585"/>
      <c r="G31" s="574"/>
      <c r="H31" s="574"/>
      <c r="I31" s="574"/>
      <c r="J31" s="574"/>
      <c r="K31" s="574"/>
      <c r="N31" s="615"/>
      <c r="Q31" s="67" t="s">
        <v>177</v>
      </c>
    </row>
    <row r="32" spans="2:17" s="67" customFormat="1" ht="23.5" x14ac:dyDescent="0.55000000000000004">
      <c r="B32" s="506"/>
      <c r="C32" s="506"/>
      <c r="D32" s="521"/>
      <c r="E32" s="591"/>
      <c r="F32" s="591"/>
      <c r="G32" s="575"/>
      <c r="H32" s="575"/>
      <c r="J32" s="546"/>
    </row>
    <row r="33" spans="2:16" s="67" customFormat="1" ht="23.5" x14ac:dyDescent="0.45">
      <c r="B33" s="506"/>
      <c r="C33" s="573" t="s">
        <v>178</v>
      </c>
      <c r="D33" s="1377" t="e">
        <f>D213</f>
        <v>#REF!</v>
      </c>
      <c r="E33" s="1389" t="e">
        <f>E213</f>
        <v>#REF!</v>
      </c>
      <c r="F33" s="1389" t="e">
        <f>F213</f>
        <v>#REF!</v>
      </c>
      <c r="G33" s="1391" t="e">
        <f>G213</f>
        <v>#REF!</v>
      </c>
      <c r="H33" s="1376" t="e">
        <f>H213</f>
        <v>#REF!</v>
      </c>
      <c r="I33" s="1376" t="e">
        <f>G33/430949</f>
        <v>#REF!</v>
      </c>
      <c r="J33" s="1376" t="e">
        <f>G33/670192</f>
        <v>#REF!</v>
      </c>
    </row>
    <row r="34" spans="2:16" s="67" customFormat="1" ht="84" x14ac:dyDescent="0.45">
      <c r="B34" s="506"/>
      <c r="C34" s="520" t="s">
        <v>179</v>
      </c>
      <c r="D34" s="1377"/>
      <c r="E34" s="1389"/>
      <c r="F34" s="1389"/>
      <c r="G34" s="1391"/>
      <c r="H34" s="1376"/>
      <c r="I34" s="1376"/>
      <c r="J34" s="1376"/>
      <c r="N34" s="615"/>
      <c r="O34" s="615"/>
      <c r="P34" s="615"/>
    </row>
    <row r="35" spans="2:16" s="67" customFormat="1" ht="21" x14ac:dyDescent="0.5">
      <c r="B35" s="508"/>
      <c r="C35" s="508"/>
      <c r="D35" s="518"/>
      <c r="E35" s="585"/>
      <c r="F35" s="585"/>
      <c r="G35" s="518"/>
      <c r="H35" s="518"/>
    </row>
    <row r="36" spans="2:16" s="67" customFormat="1" ht="21.65" customHeight="1" thickBot="1" x14ac:dyDescent="0.55000000000000004">
      <c r="B36" s="1382" t="s">
        <v>180</v>
      </c>
      <c r="C36" s="1382"/>
      <c r="D36" s="537" t="e">
        <f t="shared" ref="D36:J36" si="6">D8+D12+D21+D25+D29+D33</f>
        <v>#REF!</v>
      </c>
      <c r="E36" s="592" t="e">
        <f t="shared" si="6"/>
        <v>#REF!</v>
      </c>
      <c r="F36" s="592" t="e">
        <f t="shared" si="6"/>
        <v>#REF!</v>
      </c>
      <c r="G36" s="537" t="e">
        <f t="shared" si="6"/>
        <v>#REF!</v>
      </c>
      <c r="H36" s="571" t="e">
        <f t="shared" si="6"/>
        <v>#REF!</v>
      </c>
      <c r="I36" s="571" t="e">
        <f t="shared" si="6"/>
        <v>#REF!</v>
      </c>
      <c r="J36" s="571" t="e">
        <f t="shared" si="6"/>
        <v>#REF!</v>
      </c>
      <c r="N36" s="624"/>
    </row>
    <row r="37" spans="2:16" s="67" customFormat="1" ht="15" thickTop="1" x14ac:dyDescent="0.35">
      <c r="E37" s="601"/>
      <c r="F37" s="601"/>
    </row>
    <row r="38" spans="2:16" s="67" customFormat="1" x14ac:dyDescent="0.35">
      <c r="E38" s="601"/>
      <c r="F38" s="601"/>
    </row>
    <row r="39" spans="2:16" s="89" customFormat="1" ht="23.5" x14ac:dyDescent="0.55000000000000004">
      <c r="B39" s="1390" t="s">
        <v>181</v>
      </c>
      <c r="C39" s="1390"/>
      <c r="D39" s="1390"/>
      <c r="E39" s="1390"/>
      <c r="F39" s="1390"/>
      <c r="G39" s="1390"/>
      <c r="H39" s="1390"/>
    </row>
    <row r="40" spans="2:16" s="67" customFormat="1" x14ac:dyDescent="0.35">
      <c r="E40" s="601"/>
      <c r="F40" s="601"/>
    </row>
    <row r="41" spans="2:16" s="67" customFormat="1" x14ac:dyDescent="0.35">
      <c r="E41" s="601"/>
      <c r="F41" s="601"/>
    </row>
    <row r="42" spans="2:16" s="67" customFormat="1" ht="23.5" x14ac:dyDescent="0.55000000000000004">
      <c r="B42" s="1392" t="s">
        <v>182</v>
      </c>
      <c r="C42" s="1393"/>
      <c r="D42" s="1393"/>
      <c r="E42" s="1393"/>
      <c r="F42" s="1393"/>
      <c r="G42" s="1393"/>
      <c r="H42" s="1393"/>
      <c r="I42" s="1393"/>
      <c r="J42" s="1393"/>
      <c r="K42" s="1393"/>
    </row>
    <row r="43" spans="2:16" s="67" customFormat="1" ht="15.5" x14ac:dyDescent="0.35">
      <c r="B43" s="454"/>
      <c r="C43" s="2"/>
      <c r="D43" s="2"/>
      <c r="E43" s="602"/>
      <c r="F43" s="602"/>
      <c r="G43" s="2"/>
      <c r="H43" s="2"/>
    </row>
    <row r="44" spans="2:16" s="67" customFormat="1" ht="63" x14ac:dyDescent="0.5">
      <c r="B44" s="530" t="s">
        <v>183</v>
      </c>
      <c r="C44" s="531"/>
      <c r="D44" s="532" t="s">
        <v>184</v>
      </c>
      <c r="E44" s="603" t="s">
        <v>152</v>
      </c>
      <c r="F44" s="613" t="s">
        <v>153</v>
      </c>
      <c r="G44" s="532" t="s">
        <v>185</v>
      </c>
      <c r="H44" s="532" t="s">
        <v>108</v>
      </c>
      <c r="I44" s="532" t="s">
        <v>155</v>
      </c>
      <c r="J44" s="532" t="s">
        <v>156</v>
      </c>
      <c r="K44" s="532" t="s">
        <v>186</v>
      </c>
    </row>
    <row r="45" spans="2:16" s="67" customFormat="1" ht="18.5" x14ac:dyDescent="0.45">
      <c r="B45" s="506"/>
      <c r="C45" s="506"/>
      <c r="D45" s="506"/>
      <c r="E45" s="604"/>
      <c r="F45" s="604"/>
      <c r="G45" s="507"/>
      <c r="H45" s="507"/>
      <c r="I45" s="507"/>
    </row>
    <row r="46" spans="2:16" s="67" customFormat="1" ht="18" customHeight="1" x14ac:dyDescent="0.35">
      <c r="C46" s="629" t="s">
        <v>187</v>
      </c>
      <c r="D46" s="1377" t="e">
        <f>(AssetByAsset.Summary!D70/1000000)*1.1</f>
        <v>#REF!</v>
      </c>
      <c r="E46" s="1379" t="e">
        <f>G46*(17)</f>
        <v>#REF!</v>
      </c>
      <c r="F46" s="1379" t="e">
        <f>G46*(39.7)</f>
        <v>#REF!</v>
      </c>
      <c r="G46" s="1377" t="e">
        <f>(AssetByAsset.Summary!E70/1000000)*1.1</f>
        <v>#REF!</v>
      </c>
      <c r="H46" s="1380" t="e">
        <f>(AssetByAsset.Summary!F70)*1.1</f>
        <v>#REF!</v>
      </c>
      <c r="I46" s="1376" t="e">
        <f>G46/430949</f>
        <v>#REF!</v>
      </c>
      <c r="J46" s="1376" t="e">
        <f>G46/670192</f>
        <v>#REF!</v>
      </c>
    </row>
    <row r="47" spans="2:16" s="67" customFormat="1" ht="39.75" customHeight="1" x14ac:dyDescent="0.35">
      <c r="C47" s="630" t="s">
        <v>188</v>
      </c>
      <c r="D47" s="1377"/>
      <c r="E47" s="1379"/>
      <c r="F47" s="1379"/>
      <c r="G47" s="1377"/>
      <c r="H47" s="1380"/>
      <c r="I47" s="1376"/>
      <c r="J47" s="1376"/>
    </row>
    <row r="48" spans="2:16" s="67" customFormat="1" ht="21" customHeight="1" x14ac:dyDescent="0.5">
      <c r="B48" s="508"/>
      <c r="C48" s="509"/>
      <c r="D48" s="517"/>
      <c r="E48" s="593"/>
      <c r="F48" s="593"/>
      <c r="G48" s="518"/>
      <c r="H48" s="519"/>
      <c r="I48" s="519"/>
      <c r="J48" s="519"/>
      <c r="K48" s="519"/>
    </row>
    <row r="49" spans="2:11" s="67" customFormat="1" ht="21" customHeight="1" x14ac:dyDescent="0.5">
      <c r="B49" s="506"/>
      <c r="C49" s="626"/>
      <c r="D49" s="520"/>
      <c r="E49" s="594"/>
      <c r="F49" s="594"/>
      <c r="G49" s="521"/>
      <c r="H49" s="522"/>
      <c r="I49" s="522"/>
    </row>
    <row r="50" spans="2:11" s="67" customFormat="1" ht="18" customHeight="1" x14ac:dyDescent="0.35">
      <c r="C50" s="631" t="s">
        <v>189</v>
      </c>
      <c r="D50" s="1377" t="e">
        <f>((AssetByAsset.Summary!D66+AssetByAsset.Summary!D68)/1000000)*1.1</f>
        <v>#REF!</v>
      </c>
      <c r="E50" s="1379" t="e">
        <f>G50*(11.45)</f>
        <v>#REF!</v>
      </c>
      <c r="F50" s="1379" t="e">
        <f>G50*(20.3)</f>
        <v>#REF!</v>
      </c>
      <c r="G50" s="1377" t="e">
        <f>((AssetByAsset.Summary!E66+AssetByAsset.Summary!E68)/1000000)*1.1</f>
        <v>#REF!</v>
      </c>
      <c r="H50" s="1380" t="e">
        <f>(AssetByAsset.Summary!F66+AssetByAsset.Summary!F68)*1.1</f>
        <v>#REF!</v>
      </c>
      <c r="I50" s="1376" t="e">
        <f>G50/430949</f>
        <v>#REF!</v>
      </c>
      <c r="J50" s="1376" t="e">
        <f>G50/670192</f>
        <v>#REF!</v>
      </c>
    </row>
    <row r="51" spans="2:11" s="67" customFormat="1" ht="56.9" customHeight="1" x14ac:dyDescent="0.35">
      <c r="C51" s="630" t="s">
        <v>190</v>
      </c>
      <c r="D51" s="1377"/>
      <c r="E51" s="1379"/>
      <c r="F51" s="1379"/>
      <c r="G51" s="1377"/>
      <c r="H51" s="1380"/>
      <c r="I51" s="1376"/>
      <c r="J51" s="1376"/>
    </row>
    <row r="52" spans="2:11" s="67" customFormat="1" ht="21" customHeight="1" x14ac:dyDescent="0.5">
      <c r="B52" s="508"/>
      <c r="C52" s="508"/>
      <c r="D52" s="518"/>
      <c r="E52" s="595"/>
      <c r="F52" s="595"/>
      <c r="G52" s="518"/>
      <c r="H52" s="519"/>
      <c r="I52" s="519"/>
      <c r="J52" s="519"/>
      <c r="K52" s="519"/>
    </row>
    <row r="53" spans="2:11" s="67" customFormat="1" ht="21" customHeight="1" x14ac:dyDescent="0.5">
      <c r="B53" s="506"/>
      <c r="C53" s="626"/>
      <c r="D53" s="520"/>
      <c r="E53" s="594"/>
      <c r="F53" s="594"/>
      <c r="G53" s="521"/>
      <c r="H53" s="522"/>
      <c r="I53" s="522"/>
    </row>
    <row r="54" spans="2:11" s="67" customFormat="1" ht="18" customHeight="1" x14ac:dyDescent="0.35">
      <c r="C54" s="631" t="s">
        <v>191</v>
      </c>
      <c r="D54" s="1377" t="e">
        <f>((AssetByAsset.Summary!D60+AssetByAsset.Summary!D61+AssetByAsset.Summary!D69)/1000000)*1.1</f>
        <v>#REF!</v>
      </c>
      <c r="E54" s="1379" t="e">
        <f>G54*(9.8)</f>
        <v>#REF!</v>
      </c>
      <c r="F54" s="1379" t="e">
        <f>G54*(22.8)</f>
        <v>#REF!</v>
      </c>
      <c r="G54" s="1377" t="e">
        <f>((AssetByAsset.Summary!E60+AssetByAsset.Summary!E61+AssetByAsset.Summary!E69)/1000000)*1.1</f>
        <v>#REF!</v>
      </c>
      <c r="H54" s="1380" t="e">
        <f>(AssetByAsset.Summary!F60+AssetByAsset.Summary!F61+AssetByAsset.Summary!F69)*1.1</f>
        <v>#REF!</v>
      </c>
      <c r="I54" s="1376" t="e">
        <f>G54/430949</f>
        <v>#REF!</v>
      </c>
      <c r="J54" s="1376" t="e">
        <f>G54/670192</f>
        <v>#REF!</v>
      </c>
    </row>
    <row r="55" spans="2:11" s="67" customFormat="1" ht="78" customHeight="1" x14ac:dyDescent="0.35">
      <c r="C55" s="630" t="s">
        <v>192</v>
      </c>
      <c r="D55" s="1377"/>
      <c r="E55" s="1379"/>
      <c r="F55" s="1379"/>
      <c r="G55" s="1377"/>
      <c r="H55" s="1380"/>
      <c r="I55" s="1376"/>
      <c r="J55" s="1376"/>
    </row>
    <row r="56" spans="2:11" s="67" customFormat="1" ht="21" customHeight="1" x14ac:dyDescent="0.5">
      <c r="B56" s="508"/>
      <c r="C56" s="509"/>
      <c r="D56" s="517"/>
      <c r="E56" s="593"/>
      <c r="F56" s="593"/>
      <c r="G56" s="518"/>
      <c r="H56" s="518"/>
      <c r="I56" s="518"/>
      <c r="J56" s="519"/>
      <c r="K56" s="519"/>
    </row>
    <row r="57" spans="2:11" s="67" customFormat="1" ht="21" customHeight="1" x14ac:dyDescent="0.5">
      <c r="B57" s="506"/>
      <c r="C57" s="626"/>
      <c r="D57" s="520"/>
      <c r="E57" s="594"/>
      <c r="F57" s="594"/>
      <c r="G57" s="521"/>
      <c r="H57" s="521"/>
      <c r="I57" s="521"/>
    </row>
    <row r="58" spans="2:11" s="67" customFormat="1" ht="18" customHeight="1" x14ac:dyDescent="0.35">
      <c r="C58" s="631" t="s">
        <v>193</v>
      </c>
      <c r="D58" s="1377" t="e">
        <f>((AssetByAsset.Summary!D64+AssetByAsset.Summary!D65+AssetByAsset.Summary!D67)/1000000)*1.1</f>
        <v>#REF!</v>
      </c>
      <c r="E58" s="1379" t="e">
        <f>G58*(17)</f>
        <v>#REF!</v>
      </c>
      <c r="F58" s="1379" t="e">
        <f>G58*(39.7)</f>
        <v>#REF!</v>
      </c>
      <c r="G58" s="1377" t="e">
        <f>((AssetByAsset.Summary!E64+AssetByAsset.Summary!E65+AssetByAsset.Summary!E67)/1000000)*1.1</f>
        <v>#REF!</v>
      </c>
      <c r="H58" s="1380" t="e">
        <f>(AssetByAsset.Summary!F64+AssetByAsset.Summary!F65+AssetByAsset.Summary!F67)*1.1</f>
        <v>#REF!</v>
      </c>
      <c r="I58" s="1376" t="e">
        <f>G58/430949</f>
        <v>#REF!</v>
      </c>
      <c r="J58" s="1376" t="e">
        <f>G58/670192</f>
        <v>#REF!</v>
      </c>
    </row>
    <row r="59" spans="2:11" s="67" customFormat="1" ht="57" customHeight="1" x14ac:dyDescent="0.35">
      <c r="C59" s="630" t="s">
        <v>194</v>
      </c>
      <c r="D59" s="1377"/>
      <c r="E59" s="1379"/>
      <c r="F59" s="1379"/>
      <c r="G59" s="1377"/>
      <c r="H59" s="1380"/>
      <c r="I59" s="1376"/>
      <c r="J59" s="1376"/>
    </row>
    <row r="60" spans="2:11" s="67" customFormat="1" ht="21" customHeight="1" x14ac:dyDescent="0.5">
      <c r="B60" s="508"/>
      <c r="C60" s="508"/>
      <c r="D60" s="518"/>
      <c r="E60" s="595"/>
      <c r="F60" s="595"/>
      <c r="G60" s="518"/>
      <c r="H60" s="518"/>
      <c r="I60" s="518"/>
      <c r="J60" s="519"/>
      <c r="K60" s="519"/>
    </row>
    <row r="61" spans="2:11" s="67" customFormat="1" ht="21" customHeight="1" x14ac:dyDescent="0.5">
      <c r="B61" s="506"/>
      <c r="C61" s="506"/>
      <c r="D61" s="521"/>
      <c r="E61" s="596"/>
      <c r="F61" s="596"/>
      <c r="G61" s="521"/>
      <c r="H61" s="521"/>
      <c r="I61" s="521"/>
    </row>
    <row r="62" spans="2:11" s="67" customFormat="1" ht="18" customHeight="1" x14ac:dyDescent="0.35">
      <c r="C62" s="631" t="s">
        <v>195</v>
      </c>
      <c r="D62" s="1377" t="e">
        <f>((AssetByAsset.Summary!D62+AssetByAsset.Summary!D63)/1000000)*1.1</f>
        <v>#REF!</v>
      </c>
      <c r="E62" s="1379" t="e">
        <f>G62*(17)</f>
        <v>#REF!</v>
      </c>
      <c r="F62" s="1379" t="e">
        <f>G62*(39.7)</f>
        <v>#REF!</v>
      </c>
      <c r="G62" s="1377" t="e">
        <f>((AssetByAsset.Summary!E62+AssetByAsset.Summary!E63)/1000000)*1.1</f>
        <v>#REF!</v>
      </c>
      <c r="H62" s="1380" t="e">
        <f>(AssetByAsset.Summary!F62+AssetByAsset.Summary!F63)*1.1</f>
        <v>#REF!</v>
      </c>
      <c r="I62" s="1376" t="e">
        <f>G62/430949</f>
        <v>#REF!</v>
      </c>
      <c r="J62" s="1376" t="e">
        <f>G62/670192</f>
        <v>#REF!</v>
      </c>
    </row>
    <row r="63" spans="2:11" s="67" customFormat="1" ht="39" customHeight="1" x14ac:dyDescent="0.35">
      <c r="C63" s="630" t="s">
        <v>196</v>
      </c>
      <c r="D63" s="1377"/>
      <c r="E63" s="1379"/>
      <c r="F63" s="1379"/>
      <c r="G63" s="1377"/>
      <c r="H63" s="1380"/>
      <c r="I63" s="1376"/>
      <c r="J63" s="1376"/>
    </row>
    <row r="64" spans="2:11" s="67" customFormat="1" ht="21" x14ac:dyDescent="0.45">
      <c r="B64" s="505"/>
      <c r="C64" s="516"/>
      <c r="D64" s="523"/>
      <c r="E64" s="597"/>
      <c r="F64" s="597"/>
      <c r="G64" s="523"/>
      <c r="H64" s="524"/>
      <c r="I64" s="524"/>
      <c r="J64" s="524"/>
      <c r="K64" s="524"/>
    </row>
    <row r="65" spans="2:11" s="67" customFormat="1" ht="21" customHeight="1" x14ac:dyDescent="0.5">
      <c r="C65" s="633" t="s">
        <v>197</v>
      </c>
      <c r="D65" s="536" t="e">
        <f>SUM(SUM(D46:D64))</f>
        <v>#REF!</v>
      </c>
      <c r="E65" s="600" t="e">
        <f t="shared" ref="E65:J65" si="7">SUM(SUM(E46:E64))</f>
        <v>#REF!</v>
      </c>
      <c r="F65" s="600" t="e">
        <f t="shared" si="7"/>
        <v>#REF!</v>
      </c>
      <c r="G65" s="536" t="e">
        <f t="shared" si="7"/>
        <v>#REF!</v>
      </c>
      <c r="H65" s="526" t="e">
        <f t="shared" si="7"/>
        <v>#REF!</v>
      </c>
      <c r="I65" s="534" t="e">
        <f t="shared" si="7"/>
        <v>#REF!</v>
      </c>
      <c r="J65" s="534" t="e">
        <f t="shared" si="7"/>
        <v>#REF!</v>
      </c>
    </row>
    <row r="66" spans="2:11" s="67" customFormat="1" ht="21" x14ac:dyDescent="0.5">
      <c r="B66" s="515"/>
      <c r="C66" s="515"/>
      <c r="D66" s="525"/>
      <c r="E66" s="598"/>
      <c r="F66" s="598"/>
      <c r="G66" s="525"/>
      <c r="H66" s="526"/>
    </row>
    <row r="67" spans="2:11" s="67" customFormat="1" ht="21" customHeight="1" x14ac:dyDescent="0.35">
      <c r="C67" s="632" t="s">
        <v>198</v>
      </c>
      <c r="D67" s="1377" t="e">
        <f>G67*Assumptions!C4</f>
        <v>#REF!</v>
      </c>
      <c r="E67" s="1379" t="e">
        <f>G67*(11.45)</f>
        <v>#REF!</v>
      </c>
      <c r="F67" s="1379" t="e">
        <f>G67*(20.3)</f>
        <v>#REF!</v>
      </c>
      <c r="G67" s="1377" t="e">
        <f>AssetByAsset.Summary!E77/1000000</f>
        <v>#REF!</v>
      </c>
      <c r="H67" s="1380" t="e">
        <f>AssetByAsset.Summary!F77</f>
        <v>#REF!</v>
      </c>
      <c r="I67" s="1376" t="e">
        <f>G67/430949</f>
        <v>#REF!</v>
      </c>
      <c r="J67" s="1376" t="e">
        <f>G67/670192</f>
        <v>#REF!</v>
      </c>
    </row>
    <row r="68" spans="2:11" s="67" customFormat="1" ht="54.65" customHeight="1" x14ac:dyDescent="0.35">
      <c r="C68" s="630" t="s">
        <v>199</v>
      </c>
      <c r="D68" s="1377"/>
      <c r="E68" s="1379"/>
      <c r="F68" s="1379"/>
      <c r="G68" s="1377"/>
      <c r="H68" s="1380"/>
      <c r="I68" s="1376"/>
      <c r="J68" s="1376"/>
    </row>
    <row r="69" spans="2:11" s="67" customFormat="1" ht="18" customHeight="1" x14ac:dyDescent="0.45">
      <c r="B69" s="505"/>
      <c r="C69" s="505"/>
      <c r="D69" s="505"/>
      <c r="E69" s="599"/>
      <c r="F69" s="599"/>
      <c r="G69" s="505"/>
      <c r="H69" s="505"/>
    </row>
    <row r="70" spans="2:11" s="67" customFormat="1" ht="41.25" customHeight="1" thickBot="1" x14ac:dyDescent="0.4">
      <c r="B70" s="1387" t="s">
        <v>200</v>
      </c>
      <c r="C70" s="1387"/>
      <c r="D70" s="583" t="e">
        <f>D65+D67</f>
        <v>#REF!</v>
      </c>
      <c r="E70" s="611" t="e">
        <f>E65+E67</f>
        <v>#REF!</v>
      </c>
      <c r="F70" s="611" t="e">
        <f>F65+F67</f>
        <v>#REF!</v>
      </c>
      <c r="G70" s="583" t="e">
        <f>G65+G67</f>
        <v>#REF!</v>
      </c>
      <c r="H70" s="584" t="e">
        <f>H67+H65</f>
        <v>#REF!</v>
      </c>
      <c r="I70" s="634" t="e">
        <f>I67+I65</f>
        <v>#REF!</v>
      </c>
      <c r="J70" s="634" t="e">
        <f>J67+J65</f>
        <v>#REF!</v>
      </c>
    </row>
    <row r="71" spans="2:11" s="67" customFormat="1" ht="15" thickTop="1" x14ac:dyDescent="0.35">
      <c r="E71" s="601"/>
      <c r="F71" s="601"/>
    </row>
    <row r="72" spans="2:11" s="67" customFormat="1" x14ac:dyDescent="0.35">
      <c r="E72" s="601"/>
      <c r="F72" s="601"/>
    </row>
    <row r="73" spans="2:11" s="67" customFormat="1" ht="23.5" x14ac:dyDescent="0.55000000000000004">
      <c r="B73" s="1394" t="s">
        <v>201</v>
      </c>
      <c r="C73" s="1395"/>
      <c r="D73" s="1395"/>
      <c r="E73" s="1395"/>
      <c r="F73" s="1395"/>
      <c r="G73" s="1395"/>
      <c r="H73" s="1395"/>
      <c r="I73" s="1395"/>
      <c r="J73" s="1395"/>
      <c r="K73" s="1395"/>
    </row>
    <row r="74" spans="2:11" s="67" customFormat="1" ht="15.5" x14ac:dyDescent="0.35">
      <c r="B74" s="454"/>
      <c r="C74" s="2"/>
      <c r="D74" s="2"/>
      <c r="E74" s="602"/>
      <c r="F74" s="602"/>
      <c r="G74" s="2"/>
      <c r="H74" s="2"/>
    </row>
    <row r="75" spans="2:11" s="67" customFormat="1" ht="63" x14ac:dyDescent="0.5">
      <c r="B75" s="530" t="s">
        <v>183</v>
      </c>
      <c r="C75" s="531"/>
      <c r="D75" s="532" t="s">
        <v>184</v>
      </c>
      <c r="E75" s="603" t="s">
        <v>152</v>
      </c>
      <c r="F75" s="613" t="s">
        <v>153</v>
      </c>
      <c r="G75" s="532" t="s">
        <v>185</v>
      </c>
      <c r="H75" s="532" t="s">
        <v>108</v>
      </c>
      <c r="I75" s="532" t="s">
        <v>155</v>
      </c>
      <c r="J75" s="532" t="s">
        <v>156</v>
      </c>
      <c r="K75" s="532" t="s">
        <v>186</v>
      </c>
    </row>
    <row r="76" spans="2:11" s="67" customFormat="1" ht="18.5" x14ac:dyDescent="0.45">
      <c r="B76" s="514"/>
      <c r="C76" s="506"/>
      <c r="D76" s="507"/>
      <c r="E76" s="605"/>
      <c r="F76" s="605"/>
      <c r="G76" s="507"/>
      <c r="H76" s="507"/>
      <c r="I76" s="507"/>
    </row>
    <row r="77" spans="2:11" s="67" customFormat="1" ht="44.9" customHeight="1" x14ac:dyDescent="0.35">
      <c r="B77" s="628"/>
      <c r="C77" s="627" t="s">
        <v>202</v>
      </c>
      <c r="D77" s="1377" t="e">
        <f>AssetByAsset.Summary!D24*1.1/1000000</f>
        <v>#REF!</v>
      </c>
      <c r="E77" s="1379" t="e">
        <f>G77*(9.96)</f>
        <v>#REF!</v>
      </c>
      <c r="F77" s="1379" t="e">
        <f>G77*(19.764)</f>
        <v>#REF!</v>
      </c>
      <c r="G77" s="1377" t="e">
        <f>AssetByAsset.Summary!E24*1.1/1000000</f>
        <v>#REF!</v>
      </c>
      <c r="H77" s="1380" t="e">
        <f>AssetByAsset.Summary!F24*1.1</f>
        <v>#REF!</v>
      </c>
      <c r="I77" s="1376" t="e">
        <f>G77/430949</f>
        <v>#REF!</v>
      </c>
      <c r="J77" s="1376" t="e">
        <f>G77/670192</f>
        <v>#REF!</v>
      </c>
    </row>
    <row r="78" spans="2:11" s="67" customFormat="1" ht="111" x14ac:dyDescent="0.35">
      <c r="B78" s="628">
        <v>6.1</v>
      </c>
      <c r="C78" s="626" t="s">
        <v>203</v>
      </c>
      <c r="D78" s="1377"/>
      <c r="E78" s="1379"/>
      <c r="F78" s="1379"/>
      <c r="G78" s="1377"/>
      <c r="H78" s="1380"/>
      <c r="I78" s="1376"/>
      <c r="J78" s="1376"/>
    </row>
    <row r="79" spans="2:11" s="67" customFormat="1" ht="21" customHeight="1" x14ac:dyDescent="0.5">
      <c r="B79" s="508"/>
      <c r="C79" s="509"/>
      <c r="D79" s="517"/>
      <c r="E79" s="606"/>
      <c r="F79" s="606"/>
      <c r="G79" s="518"/>
      <c r="H79" s="519"/>
      <c r="I79" s="519"/>
      <c r="J79" s="519"/>
      <c r="K79" s="519"/>
    </row>
    <row r="80" spans="2:11" s="67" customFormat="1" ht="21" x14ac:dyDescent="0.5">
      <c r="B80" s="506"/>
      <c r="C80" s="506"/>
      <c r="D80" s="521"/>
      <c r="E80" s="596"/>
      <c r="F80" s="596"/>
      <c r="G80" s="535"/>
      <c r="H80" s="535"/>
      <c r="I80" s="535"/>
    </row>
    <row r="81" spans="2:13" s="67" customFormat="1" ht="21" customHeight="1" x14ac:dyDescent="0.35">
      <c r="B81" s="1388" t="s">
        <v>204</v>
      </c>
      <c r="C81" s="627" t="s">
        <v>205</v>
      </c>
      <c r="D81" s="1377" t="e">
        <f>(AssetByAsset.Summary!D9+AssetByAsset.Summary!D10+AssetByAsset.Summary!D11+AssetByAsset.Summary!D12+AssetByAsset.Summary!D19+AssetByAsset.Summary!D20+AssetByAsset.Summary!D21)*1.1/1000000</f>
        <v>#REF!</v>
      </c>
      <c r="E81" s="1379" t="e">
        <f>G81*(19)</f>
        <v>#REF!</v>
      </c>
      <c r="F81" s="1379" t="e">
        <f>G81*((19+12.95+9.2))</f>
        <v>#REF!</v>
      </c>
      <c r="G81" s="1377" t="e">
        <f>((AssetByAsset.Summary!E9+AssetByAsset.Summary!E10+AssetByAsset.Summary!E11+AssetByAsset.Summary!E12+AssetByAsset.Summary!E19+AssetByAsset.Summary!E20+AssetByAsset.Summary!E21)*1.1/1000000)+L81</f>
        <v>#REF!</v>
      </c>
      <c r="H81" s="1380" t="e">
        <f>((AssetByAsset.Summary!F9+AssetByAsset.Summary!F10+AssetByAsset.Summary!F11+AssetByAsset.Summary!F12+AssetByAsset.Summary!F19+AssetByAsset.Summary!F20+AssetByAsset.Summary!F21)*1.1)+M81</f>
        <v>#REF!</v>
      </c>
      <c r="I81" s="1376" t="e">
        <f>G81/430949</f>
        <v>#REF!</v>
      </c>
      <c r="J81" s="1376" t="e">
        <f>G81/670192</f>
        <v>#REF!</v>
      </c>
      <c r="L81" s="67">
        <v>29.504446092863279</v>
      </c>
      <c r="M81" s="67">
        <v>1.7402539532920308E-5</v>
      </c>
    </row>
    <row r="82" spans="2:13" s="67" customFormat="1" ht="166.5" x14ac:dyDescent="0.35">
      <c r="B82" s="1388"/>
      <c r="C82" s="539" t="s">
        <v>206</v>
      </c>
      <c r="D82" s="1377"/>
      <c r="E82" s="1379"/>
      <c r="F82" s="1379"/>
      <c r="G82" s="1377"/>
      <c r="H82" s="1380"/>
      <c r="I82" s="1376"/>
      <c r="J82" s="1376"/>
    </row>
    <row r="83" spans="2:13" s="67" customFormat="1" ht="21" customHeight="1" x14ac:dyDescent="0.5">
      <c r="B83" s="508"/>
      <c r="C83" s="509"/>
      <c r="D83" s="517"/>
      <c r="E83" s="606"/>
      <c r="F83" s="606"/>
      <c r="G83" s="518"/>
      <c r="H83" s="519"/>
      <c r="I83" s="519"/>
      <c r="J83" s="519"/>
      <c r="K83" s="519"/>
    </row>
    <row r="84" spans="2:13" s="67" customFormat="1" ht="21" x14ac:dyDescent="0.5">
      <c r="B84" s="506"/>
      <c r="C84" s="626"/>
      <c r="D84" s="520"/>
      <c r="E84" s="607"/>
      <c r="F84" s="607"/>
      <c r="G84" s="521"/>
      <c r="H84" s="522"/>
      <c r="I84" s="522"/>
    </row>
    <row r="85" spans="2:13" s="67" customFormat="1" ht="21" customHeight="1" x14ac:dyDescent="0.45">
      <c r="B85" s="506"/>
      <c r="C85" s="627" t="s">
        <v>207</v>
      </c>
      <c r="D85" s="1377" t="e">
        <f>(AssetByAsset.Summary!D13+AssetByAsset.Summary!D14+AssetByAsset.Summary!D15+AssetByAsset.Summary!D16+AssetByAsset.Summary!D18)*1.1/1000000</f>
        <v>#REF!</v>
      </c>
      <c r="E85" s="1379" t="e">
        <f>G85*(18.2)</f>
        <v>#REF!</v>
      </c>
      <c r="F85" s="1379" t="e">
        <f>G85*((18.2+12.95+9.2))</f>
        <v>#REF!</v>
      </c>
      <c r="G85" s="1377" t="e">
        <f>(AssetByAsset.Summary!E13+AssetByAsset.Summary!E14+AssetByAsset.Summary!E15+AssetByAsset.Summary!E16+AssetByAsset.Summary!E18)*1.1/1000000</f>
        <v>#REF!</v>
      </c>
      <c r="H85" s="1380" t="e">
        <f>(AssetByAsset.Summary!F13+AssetByAsset.Summary!F14+AssetByAsset.Summary!F15+AssetByAsset.Summary!F16+AssetByAsset.Summary!F18)*1.1</f>
        <v>#REF!</v>
      </c>
      <c r="I85" s="1376" t="e">
        <f>G85/430949</f>
        <v>#REF!</v>
      </c>
      <c r="J85" s="1376" t="e">
        <f>G85/670192</f>
        <v>#REF!</v>
      </c>
    </row>
    <row r="86" spans="2:13" s="67" customFormat="1" ht="111" x14ac:dyDescent="0.35">
      <c r="B86" s="824" t="s">
        <v>208</v>
      </c>
      <c r="C86" s="626" t="s">
        <v>209</v>
      </c>
      <c r="D86" s="1377"/>
      <c r="E86" s="1379"/>
      <c r="F86" s="1379"/>
      <c r="G86" s="1377"/>
      <c r="H86" s="1380"/>
      <c r="I86" s="1376"/>
      <c r="J86" s="1376"/>
    </row>
    <row r="87" spans="2:13" s="67" customFormat="1" ht="21" customHeight="1" x14ac:dyDescent="0.5">
      <c r="B87" s="508"/>
      <c r="C87" s="508"/>
      <c r="D87" s="518"/>
      <c r="E87" s="595"/>
      <c r="F87" s="595"/>
      <c r="G87" s="518"/>
      <c r="H87" s="519"/>
      <c r="I87" s="519"/>
      <c r="J87" s="519"/>
      <c r="K87" s="519"/>
    </row>
    <row r="88" spans="2:13" s="67" customFormat="1" ht="21" x14ac:dyDescent="0.5">
      <c r="B88" s="506"/>
      <c r="C88" s="626"/>
      <c r="D88" s="520"/>
      <c r="E88" s="607"/>
      <c r="F88" s="607"/>
      <c r="G88" s="521"/>
      <c r="H88" s="522"/>
      <c r="I88" s="522"/>
    </row>
    <row r="89" spans="2:13" s="67" customFormat="1" ht="21" customHeight="1" x14ac:dyDescent="0.45">
      <c r="B89" s="506"/>
      <c r="C89" s="627" t="s">
        <v>210</v>
      </c>
      <c r="D89" s="1377" t="e">
        <f>AssetByAsset.Summary!D17*1.1/1000000</f>
        <v>#REF!</v>
      </c>
      <c r="E89" s="1379" t="e">
        <f>G89*(11.45)</f>
        <v>#REF!</v>
      </c>
      <c r="F89" s="1379" t="e">
        <f>G89*((11.45+4.15+4.7))</f>
        <v>#REF!</v>
      </c>
      <c r="G89" s="1377" t="e">
        <f>AssetByAsset.Summary!E17*1.1/1000000</f>
        <v>#REF!</v>
      </c>
      <c r="H89" s="1380" t="e">
        <f>AssetByAsset.Summary!F17*1.1</f>
        <v>#REF!</v>
      </c>
      <c r="I89" s="1376" t="e">
        <f>G89/430949</f>
        <v>#REF!</v>
      </c>
      <c r="J89" s="1376" t="e">
        <f>G89/670192</f>
        <v>#REF!</v>
      </c>
    </row>
    <row r="90" spans="2:13" s="67" customFormat="1" ht="55.5" x14ac:dyDescent="0.35">
      <c r="B90" s="628">
        <v>9.1</v>
      </c>
      <c r="C90" s="626" t="s">
        <v>211</v>
      </c>
      <c r="D90" s="1377"/>
      <c r="E90" s="1379"/>
      <c r="F90" s="1379"/>
      <c r="G90" s="1377"/>
      <c r="H90" s="1380"/>
      <c r="I90" s="1376"/>
      <c r="J90" s="1376"/>
    </row>
    <row r="91" spans="2:13" s="67" customFormat="1" ht="21" x14ac:dyDescent="0.5">
      <c r="B91" s="508"/>
      <c r="C91" s="508"/>
      <c r="D91" s="518"/>
      <c r="E91" s="595"/>
      <c r="F91" s="595"/>
      <c r="G91" s="518"/>
      <c r="H91" s="518"/>
      <c r="I91" s="518"/>
      <c r="J91" s="518"/>
      <c r="K91" s="518"/>
    </row>
    <row r="92" spans="2:13" s="67" customFormat="1" ht="21" x14ac:dyDescent="0.5">
      <c r="B92" s="506"/>
      <c r="C92" s="506"/>
      <c r="D92" s="521"/>
      <c r="E92" s="596"/>
      <c r="F92" s="596"/>
      <c r="G92" s="521"/>
      <c r="H92" s="521"/>
      <c r="I92" s="521"/>
    </row>
    <row r="93" spans="2:13" s="67" customFormat="1" ht="46.5" customHeight="1" x14ac:dyDescent="0.45">
      <c r="B93" s="506"/>
      <c r="C93" s="627" t="s">
        <v>212</v>
      </c>
      <c r="D93" s="1377" t="e">
        <f>(AssetByAsset.Summary!D22+AssetByAsset.Summary!D23)*1.1/1000000</f>
        <v>#REF!</v>
      </c>
      <c r="E93" s="1379" t="e">
        <f>G93*(11.45)</f>
        <v>#REF!</v>
      </c>
      <c r="F93" s="1379" t="e">
        <f>G93*((11.45+4.15+4.7))</f>
        <v>#REF!</v>
      </c>
      <c r="G93" s="1377" t="e">
        <f>(AssetByAsset.Summary!E22+AssetByAsset.Summary!E23)*1.1/1000000</f>
        <v>#REF!</v>
      </c>
      <c r="H93" s="1380" t="e">
        <f>(AssetByAsset.Summary!F22+AssetByAsset.Summary!F23)*1.1</f>
        <v>#REF!</v>
      </c>
      <c r="I93" s="1376" t="e">
        <f>G93/430949</f>
        <v>#REF!</v>
      </c>
      <c r="J93" s="1376" t="e">
        <f>G93/670192</f>
        <v>#REF!</v>
      </c>
    </row>
    <row r="94" spans="2:13" s="67" customFormat="1" ht="72" customHeight="1" x14ac:dyDescent="0.35">
      <c r="B94" s="824" t="s">
        <v>213</v>
      </c>
      <c r="C94" s="626" t="s">
        <v>214</v>
      </c>
      <c r="D94" s="1377"/>
      <c r="E94" s="1379"/>
      <c r="F94" s="1379"/>
      <c r="G94" s="1377"/>
      <c r="H94" s="1380"/>
      <c r="I94" s="1376"/>
      <c r="J94" s="1376"/>
    </row>
    <row r="95" spans="2:13" s="67" customFormat="1" ht="21" customHeight="1" x14ac:dyDescent="0.5">
      <c r="B95" s="508"/>
      <c r="C95" s="508"/>
      <c r="D95" s="518"/>
      <c r="E95" s="595"/>
      <c r="F95" s="595"/>
      <c r="G95" s="518"/>
      <c r="H95" s="518"/>
      <c r="I95" s="518"/>
      <c r="J95" s="518"/>
      <c r="K95" s="518"/>
    </row>
    <row r="96" spans="2:13" s="67" customFormat="1" ht="21" x14ac:dyDescent="0.5">
      <c r="B96" s="506"/>
      <c r="C96" s="506"/>
      <c r="D96" s="521"/>
      <c r="E96" s="596"/>
      <c r="F96" s="596"/>
      <c r="G96" s="521"/>
      <c r="H96" s="521"/>
      <c r="I96" s="521"/>
    </row>
    <row r="97" spans="2:11" s="67" customFormat="1" ht="21" customHeight="1" x14ac:dyDescent="0.45">
      <c r="B97" s="506"/>
      <c r="C97" s="627" t="s">
        <v>215</v>
      </c>
      <c r="D97" s="1377" t="e">
        <f>AssetByAsset.Summary!D25*1.1/1000000</f>
        <v>#REF!</v>
      </c>
      <c r="E97" s="1379" t="e">
        <f>G97*(11.45)</f>
        <v>#REF!</v>
      </c>
      <c r="F97" s="1379" t="e">
        <f>G97*(20.3)</f>
        <v>#REF!</v>
      </c>
      <c r="G97" s="1377" t="e">
        <f>AssetByAsset.Summary!E25*1.1/1000000</f>
        <v>#REF!</v>
      </c>
      <c r="H97" s="1378" t="e">
        <f>AssetByAsset.Summary!F25*1.1</f>
        <v>#REF!</v>
      </c>
      <c r="I97" s="1376" t="e">
        <f>G97/430949</f>
        <v>#REF!</v>
      </c>
      <c r="J97" s="1376" t="e">
        <f>G97/670192</f>
        <v>#REF!</v>
      </c>
    </row>
    <row r="98" spans="2:11" s="67" customFormat="1" ht="92.5" x14ac:dyDescent="0.35">
      <c r="B98" s="628">
        <v>11.1</v>
      </c>
      <c r="C98" s="626" t="s">
        <v>216</v>
      </c>
      <c r="D98" s="1377"/>
      <c r="E98" s="1379"/>
      <c r="F98" s="1379"/>
      <c r="G98" s="1377"/>
      <c r="H98" s="1378"/>
      <c r="I98" s="1376"/>
      <c r="J98" s="1376"/>
    </row>
    <row r="99" spans="2:11" s="67" customFormat="1" ht="21" x14ac:dyDescent="0.45">
      <c r="B99" s="505"/>
      <c r="C99" s="516"/>
      <c r="D99" s="523"/>
      <c r="E99" s="608"/>
      <c r="F99" s="608"/>
      <c r="G99" s="523"/>
      <c r="H99" s="524"/>
      <c r="I99" s="524"/>
      <c r="J99" s="524"/>
      <c r="K99" s="524"/>
    </row>
    <row r="100" spans="2:11" s="67" customFormat="1" ht="21" x14ac:dyDescent="0.5">
      <c r="B100" s="1381" t="s">
        <v>217</v>
      </c>
      <c r="C100" s="1381"/>
      <c r="D100" s="536" t="e">
        <f t="shared" ref="D100:J100" si="8">SUM(SUM(D77:D99))</f>
        <v>#REF!</v>
      </c>
      <c r="E100" s="600" t="e">
        <f t="shared" si="8"/>
        <v>#REF!</v>
      </c>
      <c r="F100" s="600" t="e">
        <f t="shared" si="8"/>
        <v>#REF!</v>
      </c>
      <c r="G100" s="536" t="e">
        <f t="shared" si="8"/>
        <v>#REF!</v>
      </c>
      <c r="H100" s="526" t="e">
        <f t="shared" si="8"/>
        <v>#REF!</v>
      </c>
      <c r="I100" s="526" t="e">
        <f t="shared" si="8"/>
        <v>#REF!</v>
      </c>
      <c r="J100" s="526" t="e">
        <f t="shared" si="8"/>
        <v>#REF!</v>
      </c>
    </row>
    <row r="101" spans="2:11" s="67" customFormat="1" ht="21" x14ac:dyDescent="0.5">
      <c r="B101" s="515"/>
      <c r="C101" s="515"/>
      <c r="D101" s="525"/>
      <c r="E101" s="609"/>
      <c r="F101" s="609"/>
      <c r="G101" s="525"/>
      <c r="H101" s="526"/>
    </row>
    <row r="102" spans="2:11" s="67" customFormat="1" ht="42" x14ac:dyDescent="0.35">
      <c r="C102" s="627" t="s">
        <v>218</v>
      </c>
      <c r="D102" s="1377" t="e">
        <f>(AssetByAsset.Summary!E34)*Assumptions!C4/1000000</f>
        <v>#REF!</v>
      </c>
      <c r="E102" s="1379" t="e">
        <f>G102*(11.45)</f>
        <v>#REF!</v>
      </c>
      <c r="F102" s="1379" t="e">
        <f>G102*((11.45+4.15+4.7))</f>
        <v>#REF!</v>
      </c>
      <c r="G102" s="1377" t="e">
        <f>AssetByAsset.Summary!E34/1000000</f>
        <v>#REF!</v>
      </c>
      <c r="H102" s="1380" t="e">
        <f>(AssetByAsset.Summary!F98+AssetByAsset.Summary!F99)</f>
        <v>#REF!</v>
      </c>
      <c r="I102" s="1376" t="e">
        <f>G102/430949</f>
        <v>#REF!</v>
      </c>
      <c r="J102" s="1376" t="e">
        <f>G102/670192</f>
        <v>#REF!</v>
      </c>
    </row>
    <row r="103" spans="2:11" s="67" customFormat="1" ht="92.5" x14ac:dyDescent="0.45">
      <c r="B103" s="506"/>
      <c r="C103" s="626" t="s">
        <v>219</v>
      </c>
      <c r="D103" s="1377"/>
      <c r="E103" s="1379"/>
      <c r="F103" s="1379"/>
      <c r="G103" s="1377"/>
      <c r="H103" s="1380"/>
      <c r="I103" s="1376"/>
      <c r="J103" s="1376"/>
    </row>
    <row r="104" spans="2:11" s="67" customFormat="1" ht="21" x14ac:dyDescent="0.5">
      <c r="B104" s="505"/>
      <c r="C104" s="505"/>
      <c r="D104" s="531"/>
      <c r="E104" s="610"/>
      <c r="F104" s="610"/>
      <c r="G104" s="531"/>
      <c r="H104" s="531"/>
    </row>
    <row r="105" spans="2:11" s="67" customFormat="1" ht="39.65" customHeight="1" thickBot="1" x14ac:dyDescent="0.4">
      <c r="B105" s="1386" t="s">
        <v>220</v>
      </c>
      <c r="C105" s="1386"/>
      <c r="D105" s="583" t="e">
        <f>D100+D102</f>
        <v>#REF!</v>
      </c>
      <c r="E105" s="611" t="e">
        <f>E100+E102</f>
        <v>#REF!</v>
      </c>
      <c r="F105" s="611" t="e">
        <f>F100+F102</f>
        <v>#REF!</v>
      </c>
      <c r="G105" s="583" t="e">
        <f>G100+G102</f>
        <v>#REF!</v>
      </c>
      <c r="H105" s="584" t="e">
        <f>H102+H100</f>
        <v>#REF!</v>
      </c>
      <c r="I105" s="584" t="e">
        <f>I102+I100</f>
        <v>#REF!</v>
      </c>
      <c r="J105" s="584" t="e">
        <f>J102+J100</f>
        <v>#REF!</v>
      </c>
    </row>
    <row r="106" spans="2:11" s="67" customFormat="1" ht="15" thickTop="1" x14ac:dyDescent="0.35">
      <c r="E106" s="601"/>
      <c r="F106" s="601"/>
    </row>
    <row r="107" spans="2:11" s="67" customFormat="1" x14ac:dyDescent="0.35">
      <c r="E107" s="601"/>
      <c r="F107" s="601"/>
    </row>
    <row r="108" spans="2:11" s="67" customFormat="1" ht="23.5" x14ac:dyDescent="0.55000000000000004">
      <c r="B108" s="1396" t="s">
        <v>171</v>
      </c>
      <c r="C108" s="1397"/>
      <c r="D108" s="1397"/>
      <c r="E108" s="1397"/>
      <c r="F108" s="1397"/>
      <c r="G108" s="1397"/>
      <c r="H108" s="1397"/>
      <c r="I108" s="1397"/>
      <c r="J108" s="1397"/>
      <c r="K108" s="1397"/>
    </row>
    <row r="109" spans="2:11" s="67" customFormat="1" ht="15.5" x14ac:dyDescent="0.35">
      <c r="B109" s="454"/>
      <c r="C109" s="2"/>
      <c r="D109" s="2"/>
      <c r="E109" s="602"/>
      <c r="F109" s="602"/>
      <c r="G109" s="2"/>
      <c r="H109" s="2"/>
    </row>
    <row r="110" spans="2:11" s="67" customFormat="1" ht="63" x14ac:dyDescent="0.5">
      <c r="B110" s="530" t="s">
        <v>183</v>
      </c>
      <c r="C110" s="531"/>
      <c r="D110" s="532" t="s">
        <v>184</v>
      </c>
      <c r="E110" s="603" t="s">
        <v>152</v>
      </c>
      <c r="F110" s="613" t="s">
        <v>153</v>
      </c>
      <c r="G110" s="532" t="s">
        <v>221</v>
      </c>
      <c r="H110" s="532" t="s">
        <v>108</v>
      </c>
      <c r="I110" s="532" t="s">
        <v>155</v>
      </c>
      <c r="J110" s="532" t="s">
        <v>156</v>
      </c>
      <c r="K110" s="532" t="s">
        <v>186</v>
      </c>
    </row>
    <row r="111" spans="2:11" s="67" customFormat="1" ht="18.5" x14ac:dyDescent="0.45">
      <c r="B111" s="514"/>
      <c r="C111" s="506"/>
      <c r="D111" s="507"/>
      <c r="E111" s="605"/>
      <c r="F111" s="605"/>
      <c r="G111" s="507"/>
      <c r="H111" s="507"/>
      <c r="I111" s="507"/>
    </row>
    <row r="112" spans="2:11" s="67" customFormat="1" ht="41.9" customHeight="1" x14ac:dyDescent="0.35">
      <c r="C112" s="627" t="s">
        <v>222</v>
      </c>
      <c r="D112" s="1377" t="e">
        <f>AssetByAsset.Summary!D41*1.1/1000000</f>
        <v>#REF!</v>
      </c>
      <c r="E112" s="1379" t="e">
        <f>G112*(11.45)</f>
        <v>#REF!</v>
      </c>
      <c r="F112" s="1379" t="e">
        <f>G112*(20.3)</f>
        <v>#REF!</v>
      </c>
      <c r="G112" s="1377" t="e">
        <f>AssetByAsset.Summary!E41*1.1/1000000</f>
        <v>#REF!</v>
      </c>
      <c r="H112" s="1380" t="e">
        <f>AssetByAsset.Summary!F41*1.1</f>
        <v>#REF!</v>
      </c>
      <c r="I112" s="1376" t="e">
        <f>G112/430949</f>
        <v>#REF!</v>
      </c>
      <c r="J112" s="1376" t="e">
        <f>G112/670192</f>
        <v>#REF!</v>
      </c>
    </row>
    <row r="113" spans="2:13" s="67" customFormat="1" ht="92.5" x14ac:dyDescent="0.35">
      <c r="B113" s="628">
        <v>12.1</v>
      </c>
      <c r="C113" s="626" t="s">
        <v>223</v>
      </c>
      <c r="D113" s="1377"/>
      <c r="E113" s="1379"/>
      <c r="F113" s="1379"/>
      <c r="G113" s="1377"/>
      <c r="H113" s="1380"/>
      <c r="I113" s="1376"/>
      <c r="J113" s="1376"/>
    </row>
    <row r="114" spans="2:13" s="67" customFormat="1" ht="21" x14ac:dyDescent="0.5">
      <c r="B114" s="508"/>
      <c r="C114" s="509"/>
      <c r="D114" s="540"/>
      <c r="E114" s="606"/>
      <c r="F114" s="606"/>
      <c r="G114" s="518"/>
      <c r="H114" s="519"/>
      <c r="I114" s="519"/>
      <c r="J114" s="519"/>
      <c r="K114" s="519"/>
    </row>
    <row r="115" spans="2:13" s="67" customFormat="1" ht="21" x14ac:dyDescent="0.5">
      <c r="B115" s="506"/>
      <c r="C115" s="506"/>
      <c r="D115" s="541"/>
      <c r="E115" s="596"/>
      <c r="F115" s="596"/>
      <c r="G115" s="535"/>
      <c r="H115" s="535"/>
      <c r="I115" s="535"/>
    </row>
    <row r="116" spans="2:13" s="67" customFormat="1" ht="21" customHeight="1" x14ac:dyDescent="0.45">
      <c r="B116" s="506"/>
      <c r="C116" s="627" t="s">
        <v>224</v>
      </c>
      <c r="D116" s="1377" t="e">
        <f>AssetByAsset.Summary!D40*1.1/1000000</f>
        <v>#REF!</v>
      </c>
      <c r="E116" s="1379" t="e">
        <f>G116*(17)</f>
        <v>#REF!</v>
      </c>
      <c r="F116" s="1379" t="e">
        <f>G116*(39.7)</f>
        <v>#REF!</v>
      </c>
      <c r="G116" s="1377" t="e">
        <f>AssetByAsset.Summary!E40*1.1/1000000</f>
        <v>#REF!</v>
      </c>
      <c r="H116" s="1378" t="e">
        <f>AssetByAsset.Summary!F40*1.1</f>
        <v>#REF!</v>
      </c>
      <c r="I116" s="1376" t="e">
        <f>G116/430949</f>
        <v>#REF!</v>
      </c>
      <c r="J116" s="1376" t="e">
        <f>G116/670192</f>
        <v>#REF!</v>
      </c>
    </row>
    <row r="117" spans="2:13" s="67" customFormat="1" ht="37" x14ac:dyDescent="0.35">
      <c r="B117" s="628">
        <v>12.2</v>
      </c>
      <c r="C117" s="539" t="s">
        <v>225</v>
      </c>
      <c r="D117" s="1377"/>
      <c r="E117" s="1379"/>
      <c r="F117" s="1379"/>
      <c r="G117" s="1377"/>
      <c r="H117" s="1378"/>
      <c r="I117" s="1376"/>
      <c r="J117" s="1376"/>
    </row>
    <row r="118" spans="2:13" s="67" customFormat="1" ht="21" customHeight="1" x14ac:dyDescent="0.5">
      <c r="B118" s="508"/>
      <c r="C118" s="509"/>
      <c r="D118" s="540"/>
      <c r="E118" s="606"/>
      <c r="F118" s="606"/>
      <c r="G118" s="518"/>
      <c r="H118" s="519"/>
      <c r="I118" s="519"/>
      <c r="J118" s="519"/>
      <c r="K118" s="519"/>
    </row>
    <row r="119" spans="2:13" s="67" customFormat="1" ht="21" x14ac:dyDescent="0.5">
      <c r="B119" s="506"/>
      <c r="C119" s="626"/>
      <c r="D119" s="542"/>
      <c r="E119" s="607"/>
      <c r="F119" s="607"/>
      <c r="G119" s="521"/>
      <c r="H119" s="522"/>
      <c r="I119" s="522"/>
    </row>
    <row r="120" spans="2:13" s="67" customFormat="1" ht="21" customHeight="1" x14ac:dyDescent="0.45">
      <c r="B120" s="506"/>
      <c r="C120" s="627" t="s">
        <v>226</v>
      </c>
      <c r="D120" s="1377" t="e">
        <f>(AssetByAsset.Summary!D43)*1.1/1000000</f>
        <v>#REF!</v>
      </c>
      <c r="E120" s="1379" t="e">
        <f>G120*(17)</f>
        <v>#REF!</v>
      </c>
      <c r="F120" s="1379" t="e">
        <f>G120*(39.7)</f>
        <v>#REF!</v>
      </c>
      <c r="G120" s="1377" t="e">
        <f>(AssetByAsset.Summary!E43)*1.1/1000000</f>
        <v>#REF!</v>
      </c>
      <c r="H120" s="1378" t="e">
        <f>AssetByAsset.Summary!F43*1.1</f>
        <v>#REF!</v>
      </c>
      <c r="I120" s="1376" t="e">
        <f>G120/430949</f>
        <v>#REF!</v>
      </c>
      <c r="J120" s="1376" t="e">
        <f>G120/670192</f>
        <v>#REF!</v>
      </c>
    </row>
    <row r="121" spans="2:13" s="67" customFormat="1" ht="111" x14ac:dyDescent="0.35">
      <c r="B121" s="628">
        <v>13.1</v>
      </c>
      <c r="C121" s="626" t="s">
        <v>227</v>
      </c>
      <c r="D121" s="1377"/>
      <c r="E121" s="1379"/>
      <c r="F121" s="1379"/>
      <c r="G121" s="1377"/>
      <c r="H121" s="1378"/>
      <c r="I121" s="1376"/>
      <c r="J121" s="1376"/>
    </row>
    <row r="122" spans="2:13" s="67" customFormat="1" ht="21" customHeight="1" x14ac:dyDescent="0.5">
      <c r="B122" s="508"/>
      <c r="C122" s="508"/>
      <c r="D122" s="518"/>
      <c r="E122" s="595"/>
      <c r="F122" s="595"/>
      <c r="G122" s="518"/>
      <c r="H122" s="519"/>
      <c r="I122" s="519"/>
      <c r="J122" s="519"/>
      <c r="K122" s="519"/>
    </row>
    <row r="123" spans="2:13" s="67" customFormat="1" ht="21" x14ac:dyDescent="0.5">
      <c r="B123" s="506"/>
      <c r="C123" s="626"/>
      <c r="D123" s="520"/>
      <c r="E123" s="607"/>
      <c r="F123" s="607"/>
      <c r="G123" s="521"/>
      <c r="H123" s="522"/>
      <c r="I123" s="522"/>
    </row>
    <row r="124" spans="2:13" s="67" customFormat="1" ht="21" customHeight="1" x14ac:dyDescent="0.45">
      <c r="B124" s="506"/>
      <c r="C124" s="627" t="s">
        <v>228</v>
      </c>
      <c r="D124" s="1377" t="e">
        <f>AssetByAsset.Summary!D42*1.1/1000000</f>
        <v>#REF!</v>
      </c>
      <c r="E124" s="1379" t="e">
        <f>G124*(17)</f>
        <v>#REF!</v>
      </c>
      <c r="F124" s="1379" t="e">
        <f>G124*(39.7)</f>
        <v>#REF!</v>
      </c>
      <c r="G124" s="1377" t="e">
        <f>AssetByAsset.Summary!E42*1.1/1000000</f>
        <v>#REF!</v>
      </c>
      <c r="H124" s="1378" t="e">
        <f>AssetByAsset.Summary!F42*1.1</f>
        <v>#REF!</v>
      </c>
      <c r="I124" s="1376" t="e">
        <f>G124/430949</f>
        <v>#REF!</v>
      </c>
      <c r="J124" s="1376" t="e">
        <f>G124/670192</f>
        <v>#REF!</v>
      </c>
      <c r="M124" s="67" t="s">
        <v>229</v>
      </c>
    </row>
    <row r="125" spans="2:13" s="67" customFormat="1" ht="129.5" x14ac:dyDescent="0.35">
      <c r="B125" s="628">
        <v>14.1</v>
      </c>
      <c r="C125" s="626" t="s">
        <v>230</v>
      </c>
      <c r="D125" s="1377"/>
      <c r="E125" s="1379"/>
      <c r="F125" s="1379"/>
      <c r="G125" s="1377"/>
      <c r="H125" s="1378"/>
      <c r="I125" s="1376"/>
      <c r="J125" s="1376"/>
      <c r="M125" s="67" t="s">
        <v>231</v>
      </c>
    </row>
    <row r="126" spans="2:13" s="67" customFormat="1" ht="21" x14ac:dyDescent="0.45">
      <c r="B126" s="505"/>
      <c r="C126" s="516"/>
      <c r="D126" s="544"/>
      <c r="E126" s="608"/>
      <c r="F126" s="608"/>
      <c r="G126" s="544"/>
      <c r="H126" s="524"/>
      <c r="I126" s="524"/>
      <c r="J126" s="524"/>
      <c r="K126" s="524"/>
    </row>
    <row r="127" spans="2:13" s="67" customFormat="1" ht="21" x14ac:dyDescent="0.5">
      <c r="B127" s="1381" t="s">
        <v>232</v>
      </c>
      <c r="C127" s="1381"/>
      <c r="D127" s="536" t="e">
        <f t="shared" ref="D127:J127" si="9">SUM(SUM(D112:D126))</f>
        <v>#REF!</v>
      </c>
      <c r="E127" s="600" t="e">
        <f t="shared" si="9"/>
        <v>#REF!</v>
      </c>
      <c r="F127" s="600" t="e">
        <f t="shared" si="9"/>
        <v>#REF!</v>
      </c>
      <c r="G127" s="536" t="e">
        <f t="shared" si="9"/>
        <v>#REF!</v>
      </c>
      <c r="H127" s="534" t="e">
        <f t="shared" si="9"/>
        <v>#REF!</v>
      </c>
      <c r="I127" s="534" t="e">
        <f t="shared" si="9"/>
        <v>#REF!</v>
      </c>
      <c r="J127" s="534" t="e">
        <f t="shared" si="9"/>
        <v>#REF!</v>
      </c>
    </row>
    <row r="128" spans="2:13" s="67" customFormat="1" ht="21" x14ac:dyDescent="0.5">
      <c r="B128" s="515"/>
      <c r="C128" s="515"/>
      <c r="D128" s="536"/>
      <c r="E128" s="609"/>
      <c r="F128" s="609"/>
      <c r="G128" s="536"/>
      <c r="H128" s="526"/>
    </row>
    <row r="129" spans="2:11" s="67" customFormat="1" ht="42" x14ac:dyDescent="0.45">
      <c r="B129" s="506"/>
      <c r="C129" s="627" t="s">
        <v>233</v>
      </c>
      <c r="D129" s="1377" t="e">
        <f>(AssetByAsset.Summary!E53+AssetByAsset.Summary!#REF!)*Assumptions!C4/1000000</f>
        <v>#REF!</v>
      </c>
      <c r="E129" s="1379" t="e">
        <f>G129*(11.45)</f>
        <v>#REF!</v>
      </c>
      <c r="F129" s="1379" t="e">
        <f>G129*((11.45+4.15+4.7))</f>
        <v>#REF!</v>
      </c>
      <c r="G129" s="1377" t="e">
        <f>D129/Assumptions!C4</f>
        <v>#REF!</v>
      </c>
      <c r="H129" s="1380" t="e">
        <f>(AssetByAsset.Summary!F53+AssetByAsset.Summary!#REF!)</f>
        <v>#REF!</v>
      </c>
      <c r="I129" s="1376" t="e">
        <f>G129/430949</f>
        <v>#REF!</v>
      </c>
      <c r="J129" s="1376" t="e">
        <f>G129/670192</f>
        <v>#REF!</v>
      </c>
    </row>
    <row r="130" spans="2:11" s="67" customFormat="1" ht="55.5" x14ac:dyDescent="0.45">
      <c r="B130" s="506"/>
      <c r="C130" s="626" t="s">
        <v>234</v>
      </c>
      <c r="D130" s="1377"/>
      <c r="E130" s="1379"/>
      <c r="F130" s="1379"/>
      <c r="G130" s="1377"/>
      <c r="H130" s="1380"/>
      <c r="I130" s="1376"/>
      <c r="J130" s="1376"/>
    </row>
    <row r="131" spans="2:11" s="67" customFormat="1" ht="21" x14ac:dyDescent="0.5">
      <c r="B131" s="505"/>
      <c r="C131" s="505"/>
      <c r="D131" s="545"/>
      <c r="E131" s="610"/>
      <c r="F131" s="610"/>
      <c r="G131" s="545"/>
      <c r="H131" s="531"/>
    </row>
    <row r="132" spans="2:11" s="67" customFormat="1" ht="45.75" customHeight="1" thickBot="1" x14ac:dyDescent="0.55000000000000004">
      <c r="B132" s="1382" t="s">
        <v>235</v>
      </c>
      <c r="C132" s="1382"/>
      <c r="D132" s="537" t="e">
        <f>D127+D129</f>
        <v>#REF!</v>
      </c>
      <c r="E132" s="592" t="e">
        <f>E127+E129</f>
        <v>#REF!</v>
      </c>
      <c r="F132" s="592" t="e">
        <f>F127+F129</f>
        <v>#REF!</v>
      </c>
      <c r="G132" s="537" t="e">
        <f>G127+G129</f>
        <v>#REF!</v>
      </c>
      <c r="H132" s="571" t="e">
        <f>H129+H127</f>
        <v>#REF!</v>
      </c>
      <c r="I132" s="571" t="e">
        <f>I129+I127</f>
        <v>#REF!</v>
      </c>
      <c r="J132" s="571" t="e">
        <f>J129+J127</f>
        <v>#REF!</v>
      </c>
    </row>
    <row r="133" spans="2:11" s="67" customFormat="1" ht="15" thickTop="1" x14ac:dyDescent="0.35">
      <c r="E133" s="601"/>
      <c r="F133" s="601"/>
    </row>
    <row r="134" spans="2:11" s="67" customFormat="1" x14ac:dyDescent="0.35">
      <c r="D134" s="67" t="s">
        <v>177</v>
      </c>
      <c r="E134" s="601"/>
      <c r="F134" s="601"/>
    </row>
    <row r="135" spans="2:11" s="67" customFormat="1" ht="23.5" x14ac:dyDescent="0.55000000000000004">
      <c r="B135" s="1384" t="s">
        <v>236</v>
      </c>
      <c r="C135" s="1385"/>
      <c r="D135" s="1385"/>
      <c r="E135" s="1385"/>
      <c r="F135" s="1385"/>
      <c r="G135" s="1385"/>
      <c r="H135" s="1385"/>
      <c r="I135" s="1385"/>
      <c r="J135" s="1385"/>
      <c r="K135" s="1385"/>
    </row>
    <row r="136" spans="2:11" s="67" customFormat="1" ht="15.5" x14ac:dyDescent="0.35">
      <c r="B136" s="454"/>
      <c r="C136" s="2"/>
      <c r="D136" s="2"/>
      <c r="E136" s="602"/>
      <c r="F136" s="602"/>
      <c r="G136" s="2"/>
      <c r="H136" s="2"/>
    </row>
    <row r="137" spans="2:11" s="67" customFormat="1" ht="63" x14ac:dyDescent="0.5">
      <c r="B137" s="530" t="s">
        <v>183</v>
      </c>
      <c r="C137" s="531"/>
      <c r="D137" s="532" t="s">
        <v>184</v>
      </c>
      <c r="E137" s="603" t="s">
        <v>152</v>
      </c>
      <c r="F137" s="613" t="s">
        <v>153</v>
      </c>
      <c r="G137" s="532" t="s">
        <v>221</v>
      </c>
      <c r="H137" s="532" t="s">
        <v>108</v>
      </c>
      <c r="I137" s="532" t="s">
        <v>155</v>
      </c>
      <c r="J137" s="532" t="s">
        <v>156</v>
      </c>
      <c r="K137" s="532" t="s">
        <v>186</v>
      </c>
    </row>
    <row r="138" spans="2:11" s="67" customFormat="1" ht="18.5" x14ac:dyDescent="0.45">
      <c r="B138" s="514"/>
      <c r="C138" s="506"/>
      <c r="D138" s="507"/>
      <c r="E138" s="605"/>
      <c r="F138" s="605"/>
      <c r="G138" s="507"/>
      <c r="H138" s="507"/>
      <c r="I138" s="507"/>
    </row>
    <row r="139" spans="2:11" s="67" customFormat="1" ht="21" customHeight="1" x14ac:dyDescent="0.45">
      <c r="B139" s="506"/>
      <c r="C139" s="627" t="s">
        <v>237</v>
      </c>
      <c r="D139" s="1377" t="e">
        <f>AssetByAsset.Summary!D44*1.1/1000000</f>
        <v>#REF!</v>
      </c>
      <c r="E139" s="1379" t="e">
        <f>G139*(17)</f>
        <v>#REF!</v>
      </c>
      <c r="F139" s="1379" t="e">
        <f>G139*((17+12.95+9.2))</f>
        <v>#REF!</v>
      </c>
      <c r="G139" s="1377" t="e">
        <f>AssetByAsset.Summary!E44*1.1/1000000</f>
        <v>#REF!</v>
      </c>
      <c r="H139" s="1378" t="e">
        <f>AssetByAsset.Summary!F44*1.1</f>
        <v>#REF!</v>
      </c>
      <c r="I139" s="1376" t="e">
        <f>G139/430949</f>
        <v>#REF!</v>
      </c>
      <c r="J139" s="1376" t="e">
        <f>G139/670192</f>
        <v>#REF!</v>
      </c>
    </row>
    <row r="140" spans="2:11" s="67" customFormat="1" ht="129.5" x14ac:dyDescent="0.35">
      <c r="B140" s="664">
        <v>17.100000000000001</v>
      </c>
      <c r="C140" s="539" t="s">
        <v>238</v>
      </c>
      <c r="D140" s="1377"/>
      <c r="E140" s="1379"/>
      <c r="F140" s="1379"/>
      <c r="G140" s="1377"/>
      <c r="H140" s="1378"/>
      <c r="I140" s="1376"/>
      <c r="J140" s="1376"/>
    </row>
    <row r="141" spans="2:11" s="67" customFormat="1" ht="21" customHeight="1" x14ac:dyDescent="0.5">
      <c r="B141" s="508"/>
      <c r="C141" s="509"/>
      <c r="D141" s="540"/>
      <c r="E141" s="606"/>
      <c r="F141" s="606"/>
      <c r="G141" s="543"/>
      <c r="H141" s="519"/>
      <c r="I141" s="519"/>
      <c r="J141" s="519"/>
      <c r="K141" s="519"/>
    </row>
    <row r="142" spans="2:11" s="67" customFormat="1" ht="21" x14ac:dyDescent="0.5">
      <c r="B142" s="506"/>
      <c r="C142" s="626"/>
      <c r="D142" s="542"/>
      <c r="E142" s="607"/>
      <c r="F142" s="607"/>
      <c r="G142" s="541"/>
      <c r="H142" s="522"/>
      <c r="I142" s="522"/>
    </row>
    <row r="143" spans="2:11" s="67" customFormat="1" ht="21" customHeight="1" x14ac:dyDescent="0.45">
      <c r="B143" s="506"/>
      <c r="C143" s="627" t="s">
        <v>239</v>
      </c>
      <c r="D143" s="1377" t="e">
        <f>AssetByAsset.Summary!D45*1.1/1000000</f>
        <v>#REF!</v>
      </c>
      <c r="E143" s="1379" t="e">
        <f>G143*(17)</f>
        <v>#REF!</v>
      </c>
      <c r="F143" s="1379" t="e">
        <f>G143*((17+12.95+9.2))</f>
        <v>#REF!</v>
      </c>
      <c r="G143" s="1377" t="e">
        <f>AssetByAsset.Summary!E45*1.1/1000000</f>
        <v>#REF!</v>
      </c>
      <c r="H143" s="1378" t="e">
        <f>AssetByAsset.Summary!F45*1.1</f>
        <v>#REF!</v>
      </c>
      <c r="I143" s="1376" t="e">
        <f>G143/430949</f>
        <v>#REF!</v>
      </c>
      <c r="J143" s="1376" t="e">
        <f>G143/670192</f>
        <v>#REF!</v>
      </c>
    </row>
    <row r="144" spans="2:11" s="67" customFormat="1" ht="129.5" x14ac:dyDescent="0.35">
      <c r="B144" s="628">
        <v>18.100000000000001</v>
      </c>
      <c r="C144" s="539" t="s">
        <v>240</v>
      </c>
      <c r="D144" s="1377"/>
      <c r="E144" s="1379"/>
      <c r="F144" s="1379"/>
      <c r="G144" s="1377"/>
      <c r="H144" s="1378"/>
      <c r="I144" s="1376"/>
      <c r="J144" s="1376"/>
    </row>
    <row r="145" spans="2:13" s="67" customFormat="1" ht="21" x14ac:dyDescent="0.45">
      <c r="B145" s="505"/>
      <c r="C145" s="516"/>
      <c r="D145" s="523"/>
      <c r="E145" s="608"/>
      <c r="F145" s="608"/>
      <c r="G145" s="523"/>
      <c r="H145" s="524"/>
      <c r="I145" s="524"/>
      <c r="J145" s="524"/>
      <c r="K145" s="524"/>
    </row>
    <row r="146" spans="2:13" s="67" customFormat="1" ht="21" x14ac:dyDescent="0.5">
      <c r="B146" s="1381" t="s">
        <v>241</v>
      </c>
      <c r="C146" s="1381"/>
      <c r="D146" s="536" t="e">
        <f t="shared" ref="D146:J146" si="10">SUM(SUM(D139:D145))</f>
        <v>#REF!</v>
      </c>
      <c r="E146" s="600" t="e">
        <f t="shared" si="10"/>
        <v>#REF!</v>
      </c>
      <c r="F146" s="600" t="e">
        <f t="shared" si="10"/>
        <v>#REF!</v>
      </c>
      <c r="G146" s="536" t="e">
        <f t="shared" si="10"/>
        <v>#REF!</v>
      </c>
      <c r="H146" s="534" t="e">
        <f t="shared" si="10"/>
        <v>#REF!</v>
      </c>
      <c r="I146" s="534" t="e">
        <f t="shared" si="10"/>
        <v>#REF!</v>
      </c>
      <c r="J146" s="534" t="e">
        <f t="shared" si="10"/>
        <v>#REF!</v>
      </c>
    </row>
    <row r="147" spans="2:13" s="67" customFormat="1" ht="21" x14ac:dyDescent="0.5">
      <c r="B147" s="515"/>
      <c r="C147" s="515"/>
      <c r="D147" s="536"/>
      <c r="E147" s="609"/>
      <c r="F147" s="609"/>
      <c r="G147" s="536"/>
      <c r="H147" s="526"/>
    </row>
    <row r="148" spans="2:13" s="67" customFormat="1" ht="42" x14ac:dyDescent="0.45">
      <c r="B148" s="506"/>
      <c r="C148" s="627" t="s">
        <v>242</v>
      </c>
      <c r="D148" s="1377" t="e">
        <f>(AssetByAsset.Summary!E50+AssetByAsset.Summary!E51+AssetByAsset.Summary!E52)*Assumptions!$C$4/1000000</f>
        <v>#REF!</v>
      </c>
      <c r="E148" s="1379" t="e">
        <f>G148*(11.45)</f>
        <v>#REF!</v>
      </c>
      <c r="F148" s="1379" t="e">
        <f>G148*((11.45+4.15+4.7))</f>
        <v>#REF!</v>
      </c>
      <c r="G148" s="1377" t="e">
        <f>(AssetByAsset.Summary!E50+AssetByAsset.Summary!E51+AssetByAsset.Summary!E52)/1000000</f>
        <v>#REF!</v>
      </c>
      <c r="H148" s="1378" t="e">
        <f>(AssetByAsset.Summary!F50+AssetByAsset.Summary!F51+AssetByAsset.Summary!F52)</f>
        <v>#REF!</v>
      </c>
      <c r="I148" s="1376" t="e">
        <f>G148/430949</f>
        <v>#REF!</v>
      </c>
      <c r="J148" s="1398" t="e">
        <f>G148/670192</f>
        <v>#REF!</v>
      </c>
    </row>
    <row r="149" spans="2:13" s="67" customFormat="1" ht="55.5" x14ac:dyDescent="0.45">
      <c r="B149" s="506"/>
      <c r="C149" s="626" t="s">
        <v>243</v>
      </c>
      <c r="D149" s="1377"/>
      <c r="E149" s="1379"/>
      <c r="F149" s="1379"/>
      <c r="G149" s="1377"/>
      <c r="H149" s="1378"/>
      <c r="I149" s="1376"/>
      <c r="J149" s="1398"/>
    </row>
    <row r="150" spans="2:13" s="67" customFormat="1" ht="21" x14ac:dyDescent="0.5">
      <c r="B150" s="505"/>
      <c r="C150" s="505"/>
      <c r="D150" s="545"/>
      <c r="E150" s="610"/>
      <c r="F150" s="610"/>
      <c r="G150" s="545"/>
      <c r="H150" s="531"/>
    </row>
    <row r="151" spans="2:13" s="67" customFormat="1" ht="41.9" customHeight="1" thickBot="1" x14ac:dyDescent="0.55000000000000004">
      <c r="B151" s="1382" t="s">
        <v>244</v>
      </c>
      <c r="C151" s="1382"/>
      <c r="D151" s="537" t="e">
        <f>D146+D148</f>
        <v>#REF!</v>
      </c>
      <c r="E151" s="592" t="e">
        <f>E146+E148</f>
        <v>#REF!</v>
      </c>
      <c r="F151" s="592" t="e">
        <f>F146+F148</f>
        <v>#REF!</v>
      </c>
      <c r="G151" s="537" t="e">
        <f>G146+G148</f>
        <v>#REF!</v>
      </c>
      <c r="H151" s="571" t="e">
        <f>H148+H146</f>
        <v>#REF!</v>
      </c>
      <c r="I151" s="571" t="e">
        <f>I148+I146</f>
        <v>#REF!</v>
      </c>
      <c r="J151" s="533" t="e">
        <f>J148+J146</f>
        <v>#REF!</v>
      </c>
    </row>
    <row r="152" spans="2:13" s="67" customFormat="1" ht="15" thickTop="1" x14ac:dyDescent="0.35">
      <c r="E152" s="601"/>
      <c r="F152" s="601"/>
    </row>
    <row r="153" spans="2:13" s="67" customFormat="1" x14ac:dyDescent="0.35">
      <c r="E153" s="601"/>
      <c r="F153" s="601"/>
    </row>
    <row r="154" spans="2:13" s="67" customFormat="1" ht="23.5" x14ac:dyDescent="0.55000000000000004">
      <c r="B154" s="1399" t="s">
        <v>175</v>
      </c>
      <c r="C154" s="1400"/>
      <c r="D154" s="1400"/>
      <c r="E154" s="1400"/>
      <c r="F154" s="1400"/>
      <c r="G154" s="1400"/>
      <c r="H154" s="1400"/>
      <c r="I154" s="1400"/>
      <c r="J154" s="1400"/>
      <c r="K154" s="1400"/>
      <c r="M154" s="549" t="s">
        <v>245</v>
      </c>
    </row>
    <row r="155" spans="2:13" s="67" customFormat="1" ht="15.5" x14ac:dyDescent="0.35">
      <c r="B155" s="454"/>
      <c r="C155" s="2"/>
      <c r="D155" s="2"/>
      <c r="E155" s="602"/>
      <c r="F155" s="602"/>
      <c r="G155" s="2"/>
      <c r="H155" s="2"/>
    </row>
    <row r="156" spans="2:13" s="67" customFormat="1" ht="63" x14ac:dyDescent="0.5">
      <c r="B156" s="530" t="s">
        <v>183</v>
      </c>
      <c r="C156" s="531"/>
      <c r="D156" s="532" t="s">
        <v>184</v>
      </c>
      <c r="E156" s="603" t="s">
        <v>152</v>
      </c>
      <c r="F156" s="613" t="s">
        <v>153</v>
      </c>
      <c r="G156" s="532" t="s">
        <v>221</v>
      </c>
      <c r="H156" s="532" t="s">
        <v>108</v>
      </c>
      <c r="I156" s="532" t="s">
        <v>155</v>
      </c>
      <c r="J156" s="532" t="s">
        <v>156</v>
      </c>
      <c r="K156" s="532" t="s">
        <v>186</v>
      </c>
    </row>
    <row r="157" spans="2:13" s="67" customFormat="1" ht="18.5" x14ac:dyDescent="0.45">
      <c r="B157" s="514"/>
      <c r="C157" s="506"/>
      <c r="D157" s="507"/>
      <c r="E157" s="605"/>
      <c r="F157" s="605"/>
      <c r="G157" s="507"/>
      <c r="H157" s="507"/>
      <c r="I157" s="507"/>
    </row>
    <row r="158" spans="2:13" s="67" customFormat="1" ht="42" x14ac:dyDescent="0.45">
      <c r="B158" s="506"/>
      <c r="C158" s="627" t="s">
        <v>246</v>
      </c>
      <c r="D158" s="1377" t="e">
        <f>AssetByAsset.Summary!D83*1.1/1000000</f>
        <v>#REF!</v>
      </c>
      <c r="E158" s="1379" t="e">
        <f>G158*(9.96)</f>
        <v>#REF!</v>
      </c>
      <c r="F158" s="1379" t="e">
        <f>G158*((9.96+4.38+5.427))</f>
        <v>#REF!</v>
      </c>
      <c r="G158" s="1377" t="e">
        <f>AssetByAsset.Summary!E83*1.1/1000000</f>
        <v>#REF!</v>
      </c>
      <c r="H158" s="1378" t="e">
        <f>AssetByAsset.Summary!F83*1.1</f>
        <v>#REF!</v>
      </c>
      <c r="I158" s="1376" t="e">
        <f>G158/430949</f>
        <v>#REF!</v>
      </c>
      <c r="J158" s="1376" t="e">
        <f>G158/670192</f>
        <v>#REF!</v>
      </c>
    </row>
    <row r="159" spans="2:13" s="67" customFormat="1" ht="129.5" x14ac:dyDescent="0.35">
      <c r="B159" s="628">
        <v>19.100000000000001</v>
      </c>
      <c r="C159" s="626" t="s">
        <v>247</v>
      </c>
      <c r="D159" s="1377"/>
      <c r="E159" s="1379"/>
      <c r="F159" s="1379"/>
      <c r="G159" s="1377"/>
      <c r="H159" s="1378"/>
      <c r="I159" s="1376"/>
      <c r="J159" s="1376"/>
    </row>
    <row r="160" spans="2:13" s="67" customFormat="1" ht="21" x14ac:dyDescent="0.5">
      <c r="B160" s="508"/>
      <c r="C160" s="509"/>
      <c r="D160" s="540"/>
      <c r="E160" s="606"/>
      <c r="F160" s="606"/>
      <c r="G160" s="543"/>
      <c r="H160" s="577"/>
      <c r="I160" s="519"/>
      <c r="J160" s="519"/>
      <c r="K160" s="519"/>
    </row>
    <row r="161" spans="2:15" s="67" customFormat="1" ht="21" x14ac:dyDescent="0.5">
      <c r="B161" s="506"/>
      <c r="C161" s="506"/>
      <c r="D161" s="541"/>
      <c r="E161" s="596"/>
      <c r="F161" s="596"/>
      <c r="G161" s="536"/>
      <c r="H161" s="578"/>
      <c r="I161" s="535"/>
    </row>
    <row r="162" spans="2:15" s="67" customFormat="1" ht="42" x14ac:dyDescent="0.35">
      <c r="C162" s="627" t="s">
        <v>248</v>
      </c>
      <c r="D162" s="1377" t="e">
        <f>(AssetByAsset.Summary!D84+AssetByAsset.Summary!D85+AssetByAsset.Summary!D86+AssetByAsset.Summary!D87+AssetByAsset.Summary!D88)*1.1/1000000</f>
        <v>#REF!</v>
      </c>
      <c r="E162" s="1379" t="e">
        <f>G162*(18.2)</f>
        <v>#REF!</v>
      </c>
      <c r="F162" s="1379" t="e">
        <f>G162*((18.2+12.95+9.2))</f>
        <v>#REF!</v>
      </c>
      <c r="G162" s="1377" t="e">
        <f>(AssetByAsset.Summary!E84+AssetByAsset.Summary!E85+AssetByAsset.Summary!E86+AssetByAsset.Summary!E87+AssetByAsset.Summary!E88+AssetByAsset.Summary!E95)*1.1/1000000</f>
        <v>#REF!</v>
      </c>
      <c r="H162" s="1378" t="e">
        <f>(AssetByAsset.Summary!F84+AssetByAsset.Summary!F85+AssetByAsset.Summary!F86+AssetByAsset.Summary!F87+AssetByAsset.Summary!F88+AssetByAsset.Summary!F95)*1.1</f>
        <v>#REF!</v>
      </c>
      <c r="I162" s="1376" t="e">
        <f>G162/430949</f>
        <v>#REF!</v>
      </c>
      <c r="J162" s="1376" t="e">
        <f>G162/670192</f>
        <v>#REF!</v>
      </c>
    </row>
    <row r="163" spans="2:15" s="67" customFormat="1" ht="74" x14ac:dyDescent="0.35">
      <c r="B163" s="824" t="s">
        <v>249</v>
      </c>
      <c r="C163" s="626" t="s">
        <v>250</v>
      </c>
      <c r="D163" s="1377"/>
      <c r="E163" s="1379"/>
      <c r="F163" s="1379"/>
      <c r="G163" s="1377"/>
      <c r="H163" s="1378"/>
      <c r="I163" s="1376"/>
      <c r="J163" s="1376"/>
      <c r="O163" s="67" t="s">
        <v>251</v>
      </c>
    </row>
    <row r="164" spans="2:15" s="67" customFormat="1" ht="21" x14ac:dyDescent="0.5">
      <c r="B164" s="508"/>
      <c r="C164" s="509"/>
      <c r="D164" s="540"/>
      <c r="E164" s="606"/>
      <c r="F164" s="606"/>
      <c r="G164" s="543"/>
      <c r="H164" s="577"/>
      <c r="I164" s="519"/>
      <c r="J164" s="519"/>
      <c r="K164" s="519"/>
    </row>
    <row r="165" spans="2:15" s="67" customFormat="1" ht="21" x14ac:dyDescent="0.5">
      <c r="B165" s="506"/>
      <c r="C165" s="626"/>
      <c r="D165" s="542"/>
      <c r="E165" s="607"/>
      <c r="F165" s="607"/>
      <c r="G165" s="541"/>
      <c r="H165" s="579"/>
      <c r="I165" s="522"/>
    </row>
    <row r="166" spans="2:15" s="67" customFormat="1" ht="42" x14ac:dyDescent="0.45">
      <c r="B166" s="506"/>
      <c r="C166" s="627" t="s">
        <v>252</v>
      </c>
      <c r="D166" s="1377" t="e">
        <f>AssetByAsset.Summary!D89*1.1/1000000</f>
        <v>#REF!</v>
      </c>
      <c r="E166" s="1379" t="e">
        <f>G166*(17)</f>
        <v>#REF!</v>
      </c>
      <c r="F166" s="1379" t="e">
        <f>G166*((17+12.95+9.2))</f>
        <v>#REF!</v>
      </c>
      <c r="G166" s="1377" t="e">
        <f>AssetByAsset.Summary!E89*1.1/1000000</f>
        <v>#REF!</v>
      </c>
      <c r="H166" s="1378" t="e">
        <f>AssetByAsset.Summary!F89*1.1</f>
        <v>#REF!</v>
      </c>
      <c r="I166" s="1376" t="e">
        <f>G166/430949</f>
        <v>#REF!</v>
      </c>
      <c r="J166" s="1376" t="e">
        <f>G166/670192</f>
        <v>#REF!</v>
      </c>
    </row>
    <row r="167" spans="2:15" s="67" customFormat="1" ht="92.5" x14ac:dyDescent="0.35">
      <c r="B167" s="824">
        <v>21.1</v>
      </c>
      <c r="C167" s="626" t="s">
        <v>253</v>
      </c>
      <c r="D167" s="1377"/>
      <c r="E167" s="1379"/>
      <c r="F167" s="1379"/>
      <c r="G167" s="1377"/>
      <c r="H167" s="1378"/>
      <c r="I167" s="1376"/>
      <c r="J167" s="1376"/>
    </row>
    <row r="168" spans="2:15" s="67" customFormat="1" ht="21" customHeight="1" x14ac:dyDescent="0.5">
      <c r="B168" s="508"/>
      <c r="C168" s="508"/>
      <c r="D168" s="518"/>
      <c r="E168" s="595"/>
      <c r="F168" s="595"/>
      <c r="G168" s="518"/>
      <c r="H168" s="577"/>
      <c r="I168" s="519"/>
      <c r="J168" s="519"/>
      <c r="K168" s="519"/>
    </row>
    <row r="169" spans="2:15" s="67" customFormat="1" ht="21" x14ac:dyDescent="0.5">
      <c r="B169" s="506"/>
      <c r="C169" s="626"/>
      <c r="D169" s="520"/>
      <c r="E169" s="607"/>
      <c r="F169" s="607"/>
      <c r="G169" s="521"/>
      <c r="H169" s="579"/>
      <c r="I169" s="522"/>
    </row>
    <row r="170" spans="2:15" s="67" customFormat="1" ht="42" x14ac:dyDescent="0.45">
      <c r="B170" s="506"/>
      <c r="C170" s="627" t="s">
        <v>254</v>
      </c>
      <c r="D170" s="1383" t="e">
        <f>(AssetByAsset.Summary!D91+AssetByAsset.Summary!D92+AssetByAsset.Summary!D93+AssetByAsset.Summary!D94+AssetByAsset.Summary!D96+AssetByAsset.Summary!D95)*1.1/1000000</f>
        <v>#REF!</v>
      </c>
      <c r="E170" s="1379" t="e">
        <f>G170*(17)</f>
        <v>#REF!</v>
      </c>
      <c r="F170" s="1379" t="e">
        <f>G170*((17+12.95+9.2))</f>
        <v>#REF!</v>
      </c>
      <c r="G170" s="1377" t="e">
        <f>(AssetByAsset.Summary!E91+AssetByAsset.Summary!E92+AssetByAsset.Summary!E93+AssetByAsset.Summary!E94+AssetByAsset.Summary!E95+AssetByAsset.Summary!E96)*1.1/1000000</f>
        <v>#REF!</v>
      </c>
      <c r="H170" s="1378" t="e">
        <f>(AssetByAsset.Summary!F91+AssetByAsset.Summary!F92+AssetByAsset.Summary!F93+AssetByAsset.Summary!F94+AssetByAsset.Summary!F95+AssetByAsset.Summary!F96)*1.1</f>
        <v>#REF!</v>
      </c>
      <c r="I170" s="1376" t="e">
        <f>G170/430949</f>
        <v>#REF!</v>
      </c>
      <c r="J170" s="1376" t="e">
        <f>G170/670192</f>
        <v>#REF!</v>
      </c>
    </row>
    <row r="171" spans="2:15" s="67" customFormat="1" ht="108" customHeight="1" x14ac:dyDescent="0.35">
      <c r="B171" s="824" t="s">
        <v>255</v>
      </c>
      <c r="C171" s="626" t="s">
        <v>256</v>
      </c>
      <c r="D171" s="1383"/>
      <c r="E171" s="1379"/>
      <c r="F171" s="1379"/>
      <c r="G171" s="1377"/>
      <c r="H171" s="1378"/>
      <c r="I171" s="1376"/>
      <c r="J171" s="1376"/>
      <c r="M171" s="199" t="s">
        <v>257</v>
      </c>
    </row>
    <row r="172" spans="2:15" s="67" customFormat="1" ht="21" customHeight="1" x14ac:dyDescent="0.5">
      <c r="B172" s="508"/>
      <c r="C172" s="509"/>
      <c r="D172" s="540"/>
      <c r="E172" s="606"/>
      <c r="F172" s="606"/>
      <c r="G172" s="543"/>
      <c r="H172" s="577"/>
      <c r="I172" s="518"/>
      <c r="J172" s="518"/>
      <c r="K172" s="519"/>
    </row>
    <row r="173" spans="2:15" s="67" customFormat="1" ht="21" x14ac:dyDescent="0.5">
      <c r="B173" s="506"/>
      <c r="C173" s="626"/>
      <c r="D173" s="542"/>
      <c r="E173" s="607"/>
      <c r="F173" s="607"/>
      <c r="G173" s="541"/>
      <c r="H173" s="579"/>
      <c r="I173" s="521"/>
    </row>
    <row r="174" spans="2:15" s="67" customFormat="1" ht="21" customHeight="1" x14ac:dyDescent="0.45">
      <c r="B174" s="506"/>
      <c r="C174" s="627" t="s">
        <v>258</v>
      </c>
      <c r="D174" s="1377" t="e">
        <f>AssetByAsset.Summary!D90*1.1/1000000</f>
        <v>#REF!</v>
      </c>
      <c r="E174" s="1379" t="e">
        <f>G174*(16.6)</f>
        <v>#REF!</v>
      </c>
      <c r="F174" s="1379" t="e">
        <f>G174*((16.6+12.95+9.2))</f>
        <v>#REF!</v>
      </c>
      <c r="G174" s="1377" t="e">
        <f>AssetByAsset.Summary!E90*1.1/1000000</f>
        <v>#REF!</v>
      </c>
      <c r="H174" s="1378" t="e">
        <f>AssetByAsset.Summary!F90*1.1/1000000000</f>
        <v>#REF!</v>
      </c>
      <c r="I174" s="1376" t="e">
        <f>G174/430949</f>
        <v>#REF!</v>
      </c>
      <c r="J174" s="1376" t="e">
        <f>G174/670192</f>
        <v>#REF!</v>
      </c>
    </row>
    <row r="175" spans="2:15" s="67" customFormat="1" ht="74" x14ac:dyDescent="0.45">
      <c r="B175" s="506"/>
      <c r="C175" s="539" t="s">
        <v>259</v>
      </c>
      <c r="D175" s="1377"/>
      <c r="E175" s="1379"/>
      <c r="F175" s="1379"/>
      <c r="G175" s="1377"/>
      <c r="H175" s="1378"/>
      <c r="I175" s="1376"/>
      <c r="J175" s="1376"/>
    </row>
    <row r="176" spans="2:15" s="67" customFormat="1" ht="21" x14ac:dyDescent="0.45">
      <c r="B176" s="505"/>
      <c r="C176" s="516"/>
      <c r="D176" s="523"/>
      <c r="E176" s="608"/>
      <c r="F176" s="608"/>
      <c r="G176" s="523"/>
      <c r="H176" s="580"/>
      <c r="I176" s="524"/>
      <c r="J176" s="544"/>
      <c r="K176" s="544"/>
    </row>
    <row r="177" spans="2:14" s="67" customFormat="1" ht="21" x14ac:dyDescent="0.5">
      <c r="B177" s="1381" t="s">
        <v>260</v>
      </c>
      <c r="C177" s="1381"/>
      <c r="D177" s="536" t="e">
        <f t="shared" ref="D177:J177" si="11">SUM(SUM(D158:D176))</f>
        <v>#REF!</v>
      </c>
      <c r="E177" s="600" t="e">
        <f t="shared" si="11"/>
        <v>#REF!</v>
      </c>
      <c r="F177" s="600" t="e">
        <f t="shared" si="11"/>
        <v>#REF!</v>
      </c>
      <c r="G177" s="536" t="e">
        <f t="shared" si="11"/>
        <v>#REF!</v>
      </c>
      <c r="H177" s="534" t="e">
        <f t="shared" si="11"/>
        <v>#REF!</v>
      </c>
      <c r="I177" s="534" t="e">
        <f t="shared" si="11"/>
        <v>#REF!</v>
      </c>
      <c r="J177" s="534" t="e">
        <f t="shared" si="11"/>
        <v>#REF!</v>
      </c>
    </row>
    <row r="178" spans="2:14" s="67" customFormat="1" ht="21" x14ac:dyDescent="0.5">
      <c r="B178" s="515"/>
      <c r="C178" s="515"/>
      <c r="D178" s="536"/>
      <c r="E178" s="609"/>
      <c r="F178" s="609"/>
      <c r="G178" s="536"/>
      <c r="H178" s="534"/>
      <c r="I178" s="526"/>
    </row>
    <row r="179" spans="2:14" s="67" customFormat="1" ht="42" x14ac:dyDescent="0.45">
      <c r="B179" s="506"/>
      <c r="C179" s="627" t="s">
        <v>261</v>
      </c>
      <c r="D179" s="1377" t="e">
        <f>AssetByAsset.Summary!E104/1000000*Assumptions!C4</f>
        <v>#REF!</v>
      </c>
      <c r="E179" s="1379" t="e">
        <f>G179*(11.45)</f>
        <v>#REF!</v>
      </c>
      <c r="F179" s="1379" t="e">
        <f>G179*((11.45+4.15+4.7))</f>
        <v>#REF!</v>
      </c>
      <c r="G179" s="1377" t="e">
        <f>$D$179/Assumptions!C4</f>
        <v>#REF!</v>
      </c>
      <c r="H179" s="1378" t="e">
        <f>AssetByAsset.Summary!F104</f>
        <v>#REF!</v>
      </c>
      <c r="I179" s="1376" t="e">
        <f>G179/430949</f>
        <v>#REF!</v>
      </c>
      <c r="J179" s="1376" t="e">
        <f>G179/670192</f>
        <v>#REF!</v>
      </c>
    </row>
    <row r="180" spans="2:14" s="67" customFormat="1" ht="37" x14ac:dyDescent="0.45">
      <c r="B180" s="506"/>
      <c r="C180" s="626" t="s">
        <v>262</v>
      </c>
      <c r="D180" s="1377"/>
      <c r="E180" s="1379"/>
      <c r="F180" s="1379"/>
      <c r="G180" s="1377"/>
      <c r="H180" s="1378"/>
      <c r="I180" s="1376"/>
      <c r="J180" s="1376"/>
    </row>
    <row r="181" spans="2:14" s="67" customFormat="1" ht="21" x14ac:dyDescent="0.5">
      <c r="B181" s="505"/>
      <c r="C181" s="505"/>
      <c r="D181" s="545"/>
      <c r="E181" s="610"/>
      <c r="F181" s="610"/>
      <c r="G181" s="545"/>
      <c r="H181" s="581"/>
      <c r="I181" s="823"/>
    </row>
    <row r="182" spans="2:14" s="67" customFormat="1" ht="38.15" customHeight="1" thickBot="1" x14ac:dyDescent="0.55000000000000004">
      <c r="B182" s="1403" t="s">
        <v>263</v>
      </c>
      <c r="C182" s="1403"/>
      <c r="D182" s="537" t="e">
        <f>D177+D179</f>
        <v>#REF!</v>
      </c>
      <c r="E182" s="592" t="e">
        <f>E177+E179</f>
        <v>#REF!</v>
      </c>
      <c r="F182" s="592" t="e">
        <f>F177+F179</f>
        <v>#REF!</v>
      </c>
      <c r="G182" s="537" t="e">
        <f>G177+G179</f>
        <v>#REF!</v>
      </c>
      <c r="H182" s="571" t="e">
        <f>H179+H177</f>
        <v>#REF!</v>
      </c>
      <c r="I182" s="571" t="e">
        <f t="shared" ref="I182:J182" si="12">I179+I177</f>
        <v>#REF!</v>
      </c>
      <c r="J182" s="571" t="e">
        <f t="shared" si="12"/>
        <v>#REF!</v>
      </c>
    </row>
    <row r="183" spans="2:14" s="67" customFormat="1" ht="15" thickTop="1" x14ac:dyDescent="0.35">
      <c r="E183" s="601"/>
      <c r="F183" s="601"/>
    </row>
    <row r="184" spans="2:14" s="67" customFormat="1" x14ac:dyDescent="0.35">
      <c r="E184" s="601"/>
      <c r="F184" s="601"/>
    </row>
    <row r="185" spans="2:14" s="67" customFormat="1" ht="21" x14ac:dyDescent="0.5">
      <c r="B185" s="1401" t="s">
        <v>178</v>
      </c>
      <c r="C185" s="1402"/>
      <c r="D185" s="1402"/>
      <c r="E185" s="1402"/>
      <c r="F185" s="1402"/>
      <c r="G185" s="1402"/>
      <c r="H185" s="1402"/>
      <c r="I185" s="1402"/>
      <c r="J185" s="1402"/>
      <c r="K185" s="1402"/>
      <c r="N185" s="199" t="s">
        <v>264</v>
      </c>
    </row>
    <row r="186" spans="2:14" s="67" customFormat="1" ht="21" x14ac:dyDescent="0.5">
      <c r="B186" s="521"/>
      <c r="C186" s="521"/>
      <c r="D186" s="521"/>
      <c r="E186" s="596"/>
      <c r="F186" s="596"/>
      <c r="G186" s="521"/>
      <c r="H186" s="521"/>
    </row>
    <row r="187" spans="2:14" s="67" customFormat="1" ht="21" x14ac:dyDescent="0.5">
      <c r="B187" s="530" t="s">
        <v>183</v>
      </c>
      <c r="C187" s="531"/>
      <c r="D187" s="532" t="s">
        <v>184</v>
      </c>
      <c r="E187" s="603" t="s">
        <v>152</v>
      </c>
      <c r="F187" s="603"/>
      <c r="G187" s="532" t="s">
        <v>185</v>
      </c>
      <c r="H187" s="532" t="s">
        <v>108</v>
      </c>
      <c r="I187" s="532" t="s">
        <v>155</v>
      </c>
      <c r="J187" s="532" t="s">
        <v>156</v>
      </c>
      <c r="K187" s="532" t="s">
        <v>186</v>
      </c>
      <c r="N187" s="67" t="s">
        <v>265</v>
      </c>
    </row>
    <row r="188" spans="2:14" s="67" customFormat="1" ht="18.5" x14ac:dyDescent="0.45">
      <c r="B188" s="514"/>
      <c r="C188" s="506"/>
      <c r="D188" s="507"/>
      <c r="E188" s="605"/>
      <c r="F188" s="605"/>
      <c r="G188" s="507"/>
      <c r="H188" s="507"/>
      <c r="I188" s="507"/>
      <c r="N188" s="67" t="s">
        <v>266</v>
      </c>
    </row>
    <row r="189" spans="2:14" s="67" customFormat="1" ht="42" x14ac:dyDescent="0.45">
      <c r="B189" s="506"/>
      <c r="C189" s="627" t="s">
        <v>267</v>
      </c>
      <c r="D189" s="1377" t="e">
        <f>AssetByAsset.Summary!D112*1.1/1000000</f>
        <v>#REF!</v>
      </c>
      <c r="E189" s="1379" t="e">
        <f>G189*(11.45)</f>
        <v>#REF!</v>
      </c>
      <c r="F189" s="1379" t="e">
        <f>G189*((11.45+4.15+4.7))</f>
        <v>#REF!</v>
      </c>
      <c r="G189" s="1377" t="e">
        <f>AssetByAsset.Summary!E112*1.1/1000000</f>
        <v>#REF!</v>
      </c>
      <c r="H189" s="1378" t="e">
        <f>AssetByAsset.Summary!F112*1.1</f>
        <v>#REF!</v>
      </c>
      <c r="I189" s="1376" t="e">
        <f>G189/430949</f>
        <v>#REF!</v>
      </c>
      <c r="J189" s="1376" t="e">
        <f>G189/670192</f>
        <v>#REF!</v>
      </c>
    </row>
    <row r="190" spans="2:14" s="67" customFormat="1" ht="129.5" x14ac:dyDescent="0.45">
      <c r="B190" s="506"/>
      <c r="C190" s="539" t="s">
        <v>268</v>
      </c>
      <c r="D190" s="1377"/>
      <c r="E190" s="1379"/>
      <c r="F190" s="1379"/>
      <c r="G190" s="1377"/>
      <c r="H190" s="1378"/>
      <c r="I190" s="1376"/>
      <c r="J190" s="1376"/>
    </row>
    <row r="191" spans="2:14" s="67" customFormat="1" ht="21" x14ac:dyDescent="0.5">
      <c r="B191" s="508"/>
      <c r="C191" s="509"/>
      <c r="D191" s="540"/>
      <c r="E191" s="606"/>
      <c r="F191" s="606"/>
      <c r="G191" s="543"/>
      <c r="H191" s="577"/>
      <c r="I191" s="519"/>
      <c r="J191" s="519"/>
      <c r="K191" s="519"/>
    </row>
    <row r="192" spans="2:14" s="67" customFormat="1" ht="21" x14ac:dyDescent="0.5">
      <c r="B192" s="506"/>
      <c r="C192" s="506"/>
      <c r="D192" s="541"/>
      <c r="E192" s="596"/>
      <c r="F192" s="596"/>
      <c r="G192" s="536"/>
      <c r="H192" s="578"/>
      <c r="I192" s="535"/>
    </row>
    <row r="193" spans="2:11" s="67" customFormat="1" ht="42" x14ac:dyDescent="0.45">
      <c r="B193" s="506"/>
      <c r="C193" s="627" t="s">
        <v>269</v>
      </c>
      <c r="D193" s="1377" t="e">
        <f>AssetByAsset.Summary!D114*1.1/1000000</f>
        <v>#REF!</v>
      </c>
      <c r="E193" s="1379" t="e">
        <f>G193*(17)</f>
        <v>#REF!</v>
      </c>
      <c r="F193" s="1379" t="e">
        <f>G193*((17+12.95+9.2))</f>
        <v>#REF!</v>
      </c>
      <c r="G193" s="1377" t="e">
        <f>AssetByAsset.Summary!E114*1.1/1000000</f>
        <v>#REF!</v>
      </c>
      <c r="H193" s="1378" t="e">
        <f>AssetByAsset.Summary!F114*1.1</f>
        <v>#REF!</v>
      </c>
      <c r="I193" s="1376" t="e">
        <f>G193/430949</f>
        <v>#REF!</v>
      </c>
      <c r="J193" s="1376" t="e">
        <f>G193/670192</f>
        <v>#REF!</v>
      </c>
    </row>
    <row r="194" spans="2:11" s="67" customFormat="1" ht="72" customHeight="1" x14ac:dyDescent="0.45">
      <c r="B194" s="506"/>
      <c r="C194" s="626" t="s">
        <v>270</v>
      </c>
      <c r="D194" s="1377"/>
      <c r="E194" s="1379"/>
      <c r="F194" s="1379"/>
      <c r="G194" s="1377"/>
      <c r="H194" s="1378"/>
      <c r="I194" s="1376"/>
      <c r="J194" s="1376"/>
    </row>
    <row r="195" spans="2:11" s="67" customFormat="1" ht="21" x14ac:dyDescent="0.5">
      <c r="B195" s="508"/>
      <c r="C195" s="509"/>
      <c r="D195" s="540"/>
      <c r="E195" s="606"/>
      <c r="F195" s="606"/>
      <c r="G195" s="543"/>
      <c r="H195" s="577"/>
      <c r="I195" s="519"/>
      <c r="J195" s="519"/>
      <c r="K195" s="519"/>
    </row>
    <row r="196" spans="2:11" s="67" customFormat="1" ht="21" x14ac:dyDescent="0.5">
      <c r="B196" s="506"/>
      <c r="C196" s="626"/>
      <c r="D196" s="542"/>
      <c r="E196" s="607"/>
      <c r="F196" s="607"/>
      <c r="G196" s="541"/>
      <c r="H196" s="579"/>
      <c r="I196" s="522"/>
    </row>
    <row r="197" spans="2:11" s="67" customFormat="1" ht="42" x14ac:dyDescent="0.45">
      <c r="B197" s="506"/>
      <c r="C197" s="627" t="s">
        <v>271</v>
      </c>
      <c r="D197" s="1377" t="e">
        <f>AssetByAsset.Summary!D111/1.1/1000000</f>
        <v>#REF!</v>
      </c>
      <c r="E197" s="1379" t="e">
        <f>G197*(7.7)</f>
        <v>#REF!</v>
      </c>
      <c r="F197" s="1379" t="e">
        <f>G197*(17.36)</f>
        <v>#REF!</v>
      </c>
      <c r="G197" s="1377" t="e">
        <f>AssetByAsset.Summary!E111/1.1/1000000</f>
        <v>#REF!</v>
      </c>
      <c r="H197" s="1378" t="e">
        <f>AssetByAsset.Summary!F111/1.1</f>
        <v>#REF!</v>
      </c>
      <c r="I197" s="1376" t="e">
        <f>G197/430949</f>
        <v>#REF!</v>
      </c>
      <c r="J197" s="1376" t="e">
        <f>G197/670192</f>
        <v>#REF!</v>
      </c>
    </row>
    <row r="198" spans="2:11" s="67" customFormat="1" ht="111" x14ac:dyDescent="0.45">
      <c r="B198" s="506"/>
      <c r="C198" s="626" t="s">
        <v>272</v>
      </c>
      <c r="D198" s="1377"/>
      <c r="E198" s="1379"/>
      <c r="F198" s="1379"/>
      <c r="G198" s="1377"/>
      <c r="H198" s="1378"/>
      <c r="I198" s="1376"/>
      <c r="J198" s="1376"/>
    </row>
    <row r="199" spans="2:11" s="67" customFormat="1" ht="21" customHeight="1" x14ac:dyDescent="0.5">
      <c r="B199" s="508"/>
      <c r="C199" s="508"/>
      <c r="D199" s="543"/>
      <c r="E199" s="595"/>
      <c r="F199" s="595"/>
      <c r="G199" s="543"/>
      <c r="H199" s="577"/>
      <c r="I199" s="519"/>
      <c r="J199" s="519"/>
      <c r="K199" s="519"/>
    </row>
    <row r="200" spans="2:11" s="67" customFormat="1" ht="21" x14ac:dyDescent="0.5">
      <c r="B200" s="506"/>
      <c r="C200" s="626"/>
      <c r="D200" s="542"/>
      <c r="E200" s="607"/>
      <c r="F200" s="607"/>
      <c r="G200" s="541"/>
      <c r="H200" s="579"/>
      <c r="I200" s="522"/>
    </row>
    <row r="201" spans="2:11" s="67" customFormat="1" ht="21" customHeight="1" x14ac:dyDescent="0.45">
      <c r="B201" s="506"/>
      <c r="C201" s="627" t="s">
        <v>273</v>
      </c>
      <c r="D201" s="1377" t="e">
        <f>AssetByAsset.Summary!D110*1.1/1000000</f>
        <v>#REF!</v>
      </c>
      <c r="E201" s="1379">
        <f>G201*(17)</f>
        <v>0</v>
      </c>
      <c r="F201" s="821"/>
      <c r="G201" s="1377">
        <v>0</v>
      </c>
      <c r="H201" s="1378">
        <v>0</v>
      </c>
      <c r="I201" s="1376">
        <v>0</v>
      </c>
      <c r="J201" s="1376">
        <v>0</v>
      </c>
    </row>
    <row r="202" spans="2:11" s="67" customFormat="1" ht="111" x14ac:dyDescent="0.45">
      <c r="B202" s="506"/>
      <c r="C202" s="539" t="s">
        <v>274</v>
      </c>
      <c r="D202" s="1377"/>
      <c r="E202" s="1379"/>
      <c r="F202" s="821">
        <v>0</v>
      </c>
      <c r="G202" s="1377"/>
      <c r="H202" s="1378"/>
      <c r="I202" s="1376"/>
      <c r="J202" s="1376"/>
    </row>
    <row r="203" spans="2:11" s="67" customFormat="1" ht="21" x14ac:dyDescent="0.5">
      <c r="B203" s="508"/>
      <c r="C203" s="509"/>
      <c r="D203" s="540"/>
      <c r="E203" s="606"/>
      <c r="F203" s="606"/>
      <c r="G203" s="543"/>
      <c r="H203" s="577"/>
      <c r="I203" s="518"/>
      <c r="J203" s="519"/>
      <c r="K203" s="519"/>
    </row>
    <row r="204" spans="2:11" s="67" customFormat="1" ht="21" x14ac:dyDescent="0.5">
      <c r="B204" s="506"/>
      <c r="C204" s="626"/>
      <c r="D204" s="542"/>
      <c r="E204" s="607"/>
      <c r="F204" s="607"/>
      <c r="G204" s="541"/>
      <c r="H204" s="579"/>
      <c r="I204" s="521"/>
    </row>
    <row r="205" spans="2:11" s="67" customFormat="1" ht="42" x14ac:dyDescent="0.45">
      <c r="B205" s="506"/>
      <c r="C205" s="627" t="s">
        <v>275</v>
      </c>
      <c r="D205" s="1377" t="e">
        <f>AssetByAsset.Summary!D113*1.1/1000000</f>
        <v>#REF!</v>
      </c>
      <c r="E205" s="1379" t="e">
        <f>G205*(7.7)</f>
        <v>#REF!</v>
      </c>
      <c r="F205" s="1379" t="e">
        <f>G205*(17.36)</f>
        <v>#REF!</v>
      </c>
      <c r="G205" s="1377" t="e">
        <f>AssetByAsset.Summary!E113*1.1/1000000</f>
        <v>#REF!</v>
      </c>
      <c r="H205" s="1378" t="e">
        <f>AssetByAsset.Summary!F113*1.1</f>
        <v>#REF!</v>
      </c>
      <c r="I205" s="1376" t="e">
        <f>G205/430949</f>
        <v>#REF!</v>
      </c>
      <c r="J205" s="1376" t="e">
        <f>G205/670192</f>
        <v>#REF!</v>
      </c>
    </row>
    <row r="206" spans="2:11" s="67" customFormat="1" ht="92.5" x14ac:dyDescent="0.45">
      <c r="B206" s="506"/>
      <c r="C206" s="626" t="s">
        <v>276</v>
      </c>
      <c r="D206" s="1377"/>
      <c r="E206" s="1379"/>
      <c r="F206" s="1379"/>
      <c r="G206" s="1377"/>
      <c r="H206" s="1378"/>
      <c r="I206" s="1376"/>
      <c r="J206" s="1376"/>
    </row>
    <row r="207" spans="2:11" s="67" customFormat="1" ht="21" x14ac:dyDescent="0.45">
      <c r="B207" s="505"/>
      <c r="C207" s="516"/>
      <c r="D207" s="544"/>
      <c r="E207" s="608"/>
      <c r="F207" s="608"/>
      <c r="G207" s="544"/>
      <c r="H207" s="524"/>
      <c r="I207" s="524"/>
      <c r="J207" s="524"/>
      <c r="K207" s="524"/>
    </row>
    <row r="208" spans="2:11" s="67" customFormat="1" ht="21" x14ac:dyDescent="0.5">
      <c r="B208" s="1381" t="s">
        <v>277</v>
      </c>
      <c r="C208" s="1381"/>
      <c r="D208" s="536" t="e">
        <f t="shared" ref="D208:J208" si="13">SUM(SUM(D189:D207))</f>
        <v>#REF!</v>
      </c>
      <c r="E208" s="600" t="e">
        <f t="shared" si="13"/>
        <v>#REF!</v>
      </c>
      <c r="F208" s="600" t="e">
        <f t="shared" si="13"/>
        <v>#REF!</v>
      </c>
      <c r="G208" s="536" t="e">
        <f t="shared" si="13"/>
        <v>#REF!</v>
      </c>
      <c r="H208" s="534" t="e">
        <f t="shared" si="13"/>
        <v>#REF!</v>
      </c>
      <c r="I208" s="534" t="e">
        <f t="shared" si="13"/>
        <v>#REF!</v>
      </c>
      <c r="J208" s="534" t="e">
        <f t="shared" si="13"/>
        <v>#REF!</v>
      </c>
    </row>
    <row r="209" spans="2:13" s="67" customFormat="1" ht="21" customHeight="1" x14ac:dyDescent="0.5">
      <c r="B209" s="515"/>
      <c r="C209" s="515"/>
      <c r="D209" s="525"/>
      <c r="E209" s="609"/>
      <c r="F209" s="609"/>
      <c r="G209" s="525"/>
      <c r="H209" s="526"/>
    </row>
    <row r="210" spans="2:13" s="67" customFormat="1" ht="42" x14ac:dyDescent="0.45">
      <c r="B210" s="506"/>
      <c r="C210" s="627" t="s">
        <v>278</v>
      </c>
      <c r="D210" s="1377" t="e">
        <f>AssetByAsset.Summary!E121/1000000*Assumptions!C4</f>
        <v>#REF!</v>
      </c>
      <c r="E210" s="1379" t="e">
        <f>G210*(11.45)</f>
        <v>#REF!</v>
      </c>
      <c r="F210" s="1379" t="e">
        <f>G210*((11.45+4.15+4.7))</f>
        <v>#REF!</v>
      </c>
      <c r="G210" s="1377" t="e">
        <f>AssetByAsset.Summary!E121/1000000</f>
        <v>#REF!</v>
      </c>
      <c r="H210" s="1378">
        <f>AssetByAsset.Summary!G121</f>
        <v>0</v>
      </c>
      <c r="I210" s="1376" t="e">
        <f>G210/430949</f>
        <v>#REF!</v>
      </c>
      <c r="J210" s="1376" t="e">
        <f>G210/670192</f>
        <v>#REF!</v>
      </c>
    </row>
    <row r="211" spans="2:13" s="67" customFormat="1" ht="55.5" x14ac:dyDescent="0.45">
      <c r="B211" s="506"/>
      <c r="C211" s="511" t="s">
        <v>279</v>
      </c>
      <c r="D211" s="1377"/>
      <c r="E211" s="1379"/>
      <c r="F211" s="1379"/>
      <c r="G211" s="1377"/>
      <c r="H211" s="1378"/>
      <c r="I211" s="1376"/>
      <c r="J211" s="1376"/>
      <c r="M211" s="67" t="s">
        <v>280</v>
      </c>
    </row>
    <row r="212" spans="2:13" s="67" customFormat="1" ht="21" x14ac:dyDescent="0.5">
      <c r="B212" s="505"/>
      <c r="C212" s="505"/>
      <c r="D212" s="545"/>
      <c r="E212" s="610"/>
      <c r="F212" s="610"/>
      <c r="G212" s="545"/>
      <c r="H212" s="531"/>
    </row>
    <row r="213" spans="2:13" s="67" customFormat="1" ht="21.5" thickBot="1" x14ac:dyDescent="0.55000000000000004">
      <c r="B213" s="1382" t="s">
        <v>281</v>
      </c>
      <c r="C213" s="1382"/>
      <c r="D213" s="537" t="e">
        <f>D208+D210</f>
        <v>#REF!</v>
      </c>
      <c r="E213" s="592" t="e">
        <f>E208+E210</f>
        <v>#REF!</v>
      </c>
      <c r="F213" s="592" t="e">
        <f>F208+F210</f>
        <v>#REF!</v>
      </c>
      <c r="G213" s="537" t="e">
        <f>G208+G210</f>
        <v>#REF!</v>
      </c>
      <c r="H213" s="571" t="e">
        <f>H210+H208</f>
        <v>#REF!</v>
      </c>
      <c r="I213" s="571" t="e">
        <f>I210+I208</f>
        <v>#REF!</v>
      </c>
      <c r="J213" s="571" t="e">
        <f>J210+J208</f>
        <v>#REF!</v>
      </c>
    </row>
    <row r="214" spans="2:13" s="67" customFormat="1" ht="15" thickTop="1" x14ac:dyDescent="0.35">
      <c r="E214" s="601"/>
      <c r="F214" s="601"/>
    </row>
    <row r="215" spans="2:13" s="67" customFormat="1" x14ac:dyDescent="0.35">
      <c r="E215" s="601"/>
      <c r="F215" s="601"/>
    </row>
    <row r="216" spans="2:13" s="67" customFormat="1" ht="21" x14ac:dyDescent="0.5">
      <c r="D216" s="529"/>
      <c r="E216" s="612"/>
      <c r="F216" s="612"/>
      <c r="G216" s="529"/>
      <c r="H216" s="529"/>
    </row>
    <row r="217" spans="2:13" s="67" customFormat="1" x14ac:dyDescent="0.35">
      <c r="E217" s="601"/>
      <c r="F217" s="601"/>
    </row>
    <row r="218" spans="2:13" s="67" customFormat="1" x14ac:dyDescent="0.35">
      <c r="E218" s="601"/>
      <c r="F218" s="601"/>
    </row>
    <row r="219" spans="2:13" s="67" customFormat="1" x14ac:dyDescent="0.35">
      <c r="E219" s="601"/>
      <c r="F219" s="601"/>
    </row>
    <row r="220" spans="2:13" s="67" customFormat="1" x14ac:dyDescent="0.35">
      <c r="E220" s="601"/>
      <c r="F220" s="601"/>
    </row>
  </sheetData>
  <mergeCells count="293">
    <mergeCell ref="J201:J202"/>
    <mergeCell ref="J205:J206"/>
    <mergeCell ref="J210:J211"/>
    <mergeCell ref="B185:K185"/>
    <mergeCell ref="E179:E180"/>
    <mergeCell ref="E189:E190"/>
    <mergeCell ref="E193:E194"/>
    <mergeCell ref="E197:E198"/>
    <mergeCell ref="E201:E202"/>
    <mergeCell ref="E205:E206"/>
    <mergeCell ref="E210:E211"/>
    <mergeCell ref="B182:C182"/>
    <mergeCell ref="D189:D190"/>
    <mergeCell ref="G189:G190"/>
    <mergeCell ref="H189:H190"/>
    <mergeCell ref="I189:I190"/>
    <mergeCell ref="I210:I211"/>
    <mergeCell ref="F210:F211"/>
    <mergeCell ref="I201:I202"/>
    <mergeCell ref="D205:D206"/>
    <mergeCell ref="G205:G206"/>
    <mergeCell ref="H205:H206"/>
    <mergeCell ref="I205:I206"/>
    <mergeCell ref="F205:F206"/>
    <mergeCell ref="J174:J175"/>
    <mergeCell ref="J179:J180"/>
    <mergeCell ref="J189:J190"/>
    <mergeCell ref="J193:J194"/>
    <mergeCell ref="J197:J198"/>
    <mergeCell ref="H179:H180"/>
    <mergeCell ref="I179:I180"/>
    <mergeCell ref="D193:D194"/>
    <mergeCell ref="G193:G194"/>
    <mergeCell ref="H193:H194"/>
    <mergeCell ref="I193:I194"/>
    <mergeCell ref="D197:D198"/>
    <mergeCell ref="G197:G198"/>
    <mergeCell ref="H197:H198"/>
    <mergeCell ref="I197:I198"/>
    <mergeCell ref="F179:F180"/>
    <mergeCell ref="F189:F190"/>
    <mergeCell ref="F197:F198"/>
    <mergeCell ref="F193:F194"/>
    <mergeCell ref="J148:J149"/>
    <mergeCell ref="E174:E175"/>
    <mergeCell ref="J158:J159"/>
    <mergeCell ref="J162:J163"/>
    <mergeCell ref="J166:J167"/>
    <mergeCell ref="J170:J171"/>
    <mergeCell ref="E139:E140"/>
    <mergeCell ref="E143:E144"/>
    <mergeCell ref="E148:E149"/>
    <mergeCell ref="E158:E159"/>
    <mergeCell ref="E162:E163"/>
    <mergeCell ref="E166:E167"/>
    <mergeCell ref="E170:E171"/>
    <mergeCell ref="I148:I149"/>
    <mergeCell ref="I166:I167"/>
    <mergeCell ref="B154:K154"/>
    <mergeCell ref="F148:F149"/>
    <mergeCell ref="B146:C146"/>
    <mergeCell ref="D148:D149"/>
    <mergeCell ref="G148:G149"/>
    <mergeCell ref="H148:H149"/>
    <mergeCell ref="B151:C151"/>
    <mergeCell ref="D139:D140"/>
    <mergeCell ref="I139:I140"/>
    <mergeCell ref="J93:J94"/>
    <mergeCell ref="J97:J98"/>
    <mergeCell ref="J102:J103"/>
    <mergeCell ref="J112:J113"/>
    <mergeCell ref="J116:J117"/>
    <mergeCell ref="J120:J121"/>
    <mergeCell ref="B108:K108"/>
    <mergeCell ref="E93:E94"/>
    <mergeCell ref="E97:E98"/>
    <mergeCell ref="E102:E103"/>
    <mergeCell ref="E112:E113"/>
    <mergeCell ref="E116:E117"/>
    <mergeCell ref="E120:E121"/>
    <mergeCell ref="D97:D98"/>
    <mergeCell ref="G97:G98"/>
    <mergeCell ref="H97:H98"/>
    <mergeCell ref="I97:I98"/>
    <mergeCell ref="I102:I103"/>
    <mergeCell ref="D112:D113"/>
    <mergeCell ref="G112:G113"/>
    <mergeCell ref="H112:H113"/>
    <mergeCell ref="I112:I113"/>
    <mergeCell ref="D116:D117"/>
    <mergeCell ref="G116:G117"/>
    <mergeCell ref="J8:J9"/>
    <mergeCell ref="J12:J13"/>
    <mergeCell ref="J21:J22"/>
    <mergeCell ref="J25:J26"/>
    <mergeCell ref="J29:J30"/>
    <mergeCell ref="J33:J34"/>
    <mergeCell ref="B42:K42"/>
    <mergeCell ref="J67:J68"/>
    <mergeCell ref="J77:J78"/>
    <mergeCell ref="B73:K73"/>
    <mergeCell ref="E67:E68"/>
    <mergeCell ref="E46:E47"/>
    <mergeCell ref="E50:E51"/>
    <mergeCell ref="E54:E55"/>
    <mergeCell ref="E58:E59"/>
    <mergeCell ref="I8:I9"/>
    <mergeCell ref="I12:I13"/>
    <mergeCell ref="I21:I22"/>
    <mergeCell ref="I46:I47"/>
    <mergeCell ref="D50:D51"/>
    <mergeCell ref="G50:G51"/>
    <mergeCell ref="H50:H51"/>
    <mergeCell ref="I50:I51"/>
    <mergeCell ref="I25:I26"/>
    <mergeCell ref="I29:I30"/>
    <mergeCell ref="I33:I34"/>
    <mergeCell ref="B39:H39"/>
    <mergeCell ref="H21:H22"/>
    <mergeCell ref="D25:D26"/>
    <mergeCell ref="G25:G26"/>
    <mergeCell ref="H25:H26"/>
    <mergeCell ref="J46:J47"/>
    <mergeCell ref="J50:J51"/>
    <mergeCell ref="B36:C36"/>
    <mergeCell ref="D46:D47"/>
    <mergeCell ref="G46:G47"/>
    <mergeCell ref="H46:H47"/>
    <mergeCell ref="F25:F26"/>
    <mergeCell ref="F33:F34"/>
    <mergeCell ref="F46:F47"/>
    <mergeCell ref="F29:F30"/>
    <mergeCell ref="F50:F51"/>
    <mergeCell ref="E8:E9"/>
    <mergeCell ref="E12:E13"/>
    <mergeCell ref="E21:E22"/>
    <mergeCell ref="E25:E26"/>
    <mergeCell ref="E29:E30"/>
    <mergeCell ref="E33:E34"/>
    <mergeCell ref="B4:H4"/>
    <mergeCell ref="D8:D9"/>
    <mergeCell ref="G8:G9"/>
    <mergeCell ref="H8:H9"/>
    <mergeCell ref="D12:D13"/>
    <mergeCell ref="G12:G13"/>
    <mergeCell ref="H12:H13"/>
    <mergeCell ref="D29:D30"/>
    <mergeCell ref="G29:G30"/>
    <mergeCell ref="H29:H30"/>
    <mergeCell ref="D33:D34"/>
    <mergeCell ref="G33:G34"/>
    <mergeCell ref="H33:H34"/>
    <mergeCell ref="D21:D22"/>
    <mergeCell ref="G21:G22"/>
    <mergeCell ref="F8:F9"/>
    <mergeCell ref="F12:F13"/>
    <mergeCell ref="F21:F22"/>
    <mergeCell ref="H85:H86"/>
    <mergeCell ref="I85:I86"/>
    <mergeCell ref="H62:H63"/>
    <mergeCell ref="I62:I63"/>
    <mergeCell ref="D67:D68"/>
    <mergeCell ref="G67:G68"/>
    <mergeCell ref="H67:H68"/>
    <mergeCell ref="I67:I68"/>
    <mergeCell ref="E62:E63"/>
    <mergeCell ref="F67:F68"/>
    <mergeCell ref="B70:C70"/>
    <mergeCell ref="D77:D78"/>
    <mergeCell ref="G77:G78"/>
    <mergeCell ref="H77:H78"/>
    <mergeCell ref="I77:I78"/>
    <mergeCell ref="D62:D63"/>
    <mergeCell ref="G62:G63"/>
    <mergeCell ref="B81:B82"/>
    <mergeCell ref="J81:J82"/>
    <mergeCell ref="J85:J86"/>
    <mergeCell ref="J89:J90"/>
    <mergeCell ref="E77:E78"/>
    <mergeCell ref="E81:E82"/>
    <mergeCell ref="E85:E86"/>
    <mergeCell ref="E89:E90"/>
    <mergeCell ref="D93:D94"/>
    <mergeCell ref="G93:G94"/>
    <mergeCell ref="H93:H94"/>
    <mergeCell ref="I93:I94"/>
    <mergeCell ref="F77:F78"/>
    <mergeCell ref="F81:F82"/>
    <mergeCell ref="F85:F86"/>
    <mergeCell ref="D89:D90"/>
    <mergeCell ref="G89:G90"/>
    <mergeCell ref="H89:H90"/>
    <mergeCell ref="I89:I90"/>
    <mergeCell ref="D81:D82"/>
    <mergeCell ref="G81:G82"/>
    <mergeCell ref="H81:H82"/>
    <mergeCell ref="I81:I82"/>
    <mergeCell ref="D85:D86"/>
    <mergeCell ref="G85:G86"/>
    <mergeCell ref="F89:F90"/>
    <mergeCell ref="I116:I117"/>
    <mergeCell ref="B100:C100"/>
    <mergeCell ref="D102:D103"/>
    <mergeCell ref="G102:G103"/>
    <mergeCell ref="H102:H103"/>
    <mergeCell ref="B105:C105"/>
    <mergeCell ref="F102:F103"/>
    <mergeCell ref="F112:F113"/>
    <mergeCell ref="D120:D121"/>
    <mergeCell ref="G120:G121"/>
    <mergeCell ref="H120:H121"/>
    <mergeCell ref="I120:I121"/>
    <mergeCell ref="H116:H117"/>
    <mergeCell ref="J139:J140"/>
    <mergeCell ref="J143:J144"/>
    <mergeCell ref="B135:K135"/>
    <mergeCell ref="B132:C132"/>
    <mergeCell ref="F139:F140"/>
    <mergeCell ref="F143:F144"/>
    <mergeCell ref="G139:G140"/>
    <mergeCell ref="H139:H140"/>
    <mergeCell ref="D124:D125"/>
    <mergeCell ref="G124:G125"/>
    <mergeCell ref="H124:H125"/>
    <mergeCell ref="I124:I125"/>
    <mergeCell ref="I129:I130"/>
    <mergeCell ref="J124:J125"/>
    <mergeCell ref="J129:J130"/>
    <mergeCell ref="E124:E125"/>
    <mergeCell ref="E129:E130"/>
    <mergeCell ref="F124:F125"/>
    <mergeCell ref="H210:H211"/>
    <mergeCell ref="B213:C213"/>
    <mergeCell ref="D201:D202"/>
    <mergeCell ref="G201:G202"/>
    <mergeCell ref="H201:H202"/>
    <mergeCell ref="D166:D167"/>
    <mergeCell ref="G166:G167"/>
    <mergeCell ref="H166:H167"/>
    <mergeCell ref="D170:D171"/>
    <mergeCell ref="G170:G171"/>
    <mergeCell ref="H170:H171"/>
    <mergeCell ref="D174:D175"/>
    <mergeCell ref="G174:G175"/>
    <mergeCell ref="H174:H175"/>
    <mergeCell ref="D179:D180"/>
    <mergeCell ref="G179:G180"/>
    <mergeCell ref="F166:F167"/>
    <mergeCell ref="F170:F171"/>
    <mergeCell ref="F174:F175"/>
    <mergeCell ref="F93:F94"/>
    <mergeCell ref="F97:F98"/>
    <mergeCell ref="F116:F117"/>
    <mergeCell ref="F120:F121"/>
    <mergeCell ref="B127:C127"/>
    <mergeCell ref="D129:D130"/>
    <mergeCell ref="B208:C208"/>
    <mergeCell ref="D210:D211"/>
    <mergeCell ref="G210:G211"/>
    <mergeCell ref="D143:D144"/>
    <mergeCell ref="G143:G144"/>
    <mergeCell ref="F129:F130"/>
    <mergeCell ref="J54:J55"/>
    <mergeCell ref="J58:J59"/>
    <mergeCell ref="J62:J63"/>
    <mergeCell ref="D54:D55"/>
    <mergeCell ref="G54:G55"/>
    <mergeCell ref="H54:H55"/>
    <mergeCell ref="I54:I55"/>
    <mergeCell ref="D58:D59"/>
    <mergeCell ref="G58:G59"/>
    <mergeCell ref="H58:H59"/>
    <mergeCell ref="I58:I59"/>
    <mergeCell ref="F62:F63"/>
    <mergeCell ref="F58:F59"/>
    <mergeCell ref="F54:F55"/>
    <mergeCell ref="I158:I159"/>
    <mergeCell ref="D162:D163"/>
    <mergeCell ref="G162:G163"/>
    <mergeCell ref="H162:H163"/>
    <mergeCell ref="I162:I163"/>
    <mergeCell ref="F162:F163"/>
    <mergeCell ref="G129:G130"/>
    <mergeCell ref="H129:H130"/>
    <mergeCell ref="B177:C177"/>
    <mergeCell ref="F158:F159"/>
    <mergeCell ref="I170:I171"/>
    <mergeCell ref="D158:D159"/>
    <mergeCell ref="G158:G159"/>
    <mergeCell ref="H158:H159"/>
    <mergeCell ref="H143:H144"/>
    <mergeCell ref="I143:I144"/>
    <mergeCell ref="I174:I175"/>
  </mergeCells>
  <hyperlinks>
    <hyperlink ref="K8" r:id="rId1" xr:uid="{00000000-0004-0000-0700-000000000000}"/>
  </hyperlinks>
  <pageMargins left="0.7" right="0.7" top="0.75" bottom="0.75" header="0.3" footer="0.3"/>
  <pageSetup paperSize="9" orientation="portrait" r:id="rId2"/>
  <drawing r:id="rId3"/>
  <legacyDrawing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0000"/>
  </sheetPr>
  <dimension ref="A1:X235"/>
  <sheetViews>
    <sheetView topLeftCell="A4" zoomScale="55" zoomScaleNormal="55" workbookViewId="0">
      <selection activeCell="D80" sqref="D80:D81"/>
    </sheetView>
  </sheetViews>
  <sheetFormatPr defaultRowHeight="14.5" x14ac:dyDescent="0.35"/>
  <cols>
    <col min="1" max="1" width="9.1796875" style="67" customWidth="1"/>
    <col min="2" max="2" width="12" style="67" customWidth="1"/>
    <col min="3" max="3" width="129.1796875" customWidth="1"/>
    <col min="4" max="4" width="25.1796875" customWidth="1"/>
    <col min="5" max="5" width="24.453125" customWidth="1"/>
    <col min="6" max="6" width="21.54296875" customWidth="1"/>
    <col min="7" max="7" width="23.81640625" style="67" customWidth="1"/>
    <col min="8" max="8" width="19" style="67" customWidth="1"/>
    <col min="9" max="10" width="9" style="67"/>
    <col min="11" max="11" width="15.81640625" style="67" bestFit="1" customWidth="1"/>
    <col min="12" max="12" width="11.81640625" style="67" bestFit="1" customWidth="1"/>
    <col min="13" max="24" width="9" style="67"/>
  </cols>
  <sheetData>
    <row r="1" spans="2:24" x14ac:dyDescent="0.35">
      <c r="C1" s="67"/>
      <c r="D1" s="67"/>
      <c r="E1" s="67"/>
      <c r="F1" s="67"/>
    </row>
    <row r="2" spans="2:24" ht="23.5" x14ac:dyDescent="0.55000000000000004">
      <c r="B2" s="1420" t="s">
        <v>150</v>
      </c>
      <c r="C2" s="1421"/>
      <c r="D2" s="1421"/>
      <c r="E2" s="1421"/>
      <c r="F2" s="1422"/>
      <c r="X2"/>
    </row>
    <row r="3" spans="2:24" ht="15.5" x14ac:dyDescent="0.35">
      <c r="B3" s="454"/>
      <c r="C3" s="2"/>
      <c r="D3" s="2"/>
      <c r="E3" s="2"/>
      <c r="F3" s="67"/>
      <c r="X3"/>
    </row>
    <row r="4" spans="2:24" ht="21" x14ac:dyDescent="0.5">
      <c r="B4" s="530" t="s">
        <v>282</v>
      </c>
      <c r="C4" s="531"/>
      <c r="D4" s="532" t="s">
        <v>151</v>
      </c>
      <c r="E4" s="532" t="s">
        <v>283</v>
      </c>
      <c r="F4" s="532" t="s">
        <v>108</v>
      </c>
      <c r="G4" s="532" t="s">
        <v>284</v>
      </c>
    </row>
    <row r="5" spans="2:24" ht="18.5" x14ac:dyDescent="0.45">
      <c r="B5" s="506"/>
      <c r="C5" s="506"/>
      <c r="D5" s="506"/>
      <c r="E5" s="507"/>
      <c r="F5" s="507"/>
    </row>
    <row r="6" spans="2:24" ht="21" x14ac:dyDescent="0.45">
      <c r="B6" s="506"/>
      <c r="C6" s="627" t="s">
        <v>160</v>
      </c>
      <c r="D6" s="1377" t="e">
        <f>D68</f>
        <v>#REF!</v>
      </c>
      <c r="E6" s="1377" t="e">
        <f>E68</f>
        <v>#REF!</v>
      </c>
      <c r="F6" s="1378" t="e">
        <f>F68</f>
        <v>#REF!</v>
      </c>
      <c r="G6" s="1378" t="e">
        <f>E6/470447</f>
        <v>#REF!</v>
      </c>
    </row>
    <row r="7" spans="2:24" ht="37" x14ac:dyDescent="0.45">
      <c r="B7" s="506"/>
      <c r="C7" s="626" t="s">
        <v>285</v>
      </c>
      <c r="D7" s="1377"/>
      <c r="E7" s="1377"/>
      <c r="F7" s="1378"/>
      <c r="G7" s="1378"/>
    </row>
    <row r="8" spans="2:24" ht="21" x14ac:dyDescent="0.5">
      <c r="B8" s="508"/>
      <c r="C8" s="509"/>
      <c r="D8" s="518"/>
      <c r="E8" s="518"/>
      <c r="F8" s="518"/>
      <c r="G8" s="518"/>
    </row>
    <row r="9" spans="2:24" ht="21" x14ac:dyDescent="0.5">
      <c r="B9" s="506"/>
      <c r="C9" s="626"/>
      <c r="D9" s="521"/>
      <c r="E9" s="521"/>
      <c r="F9" s="521"/>
    </row>
    <row r="10" spans="2:24" ht="21" x14ac:dyDescent="0.45">
      <c r="B10" s="506"/>
      <c r="C10" s="627" t="s">
        <v>165</v>
      </c>
      <c r="D10" s="1377" t="e">
        <f>D107</f>
        <v>#REF!</v>
      </c>
      <c r="E10" s="1377" t="e">
        <f>E107</f>
        <v>#REF!</v>
      </c>
      <c r="F10" s="1378" t="e">
        <f>F107</f>
        <v>#REF!</v>
      </c>
      <c r="G10" s="1378" t="e">
        <f>E10/470447</f>
        <v>#REF!</v>
      </c>
    </row>
    <row r="11" spans="2:24" ht="37" x14ac:dyDescent="0.45">
      <c r="B11" s="506"/>
      <c r="C11" s="626" t="s">
        <v>286</v>
      </c>
      <c r="D11" s="1377"/>
      <c r="E11" s="1377"/>
      <c r="F11" s="1378"/>
      <c r="G11" s="1378"/>
    </row>
    <row r="12" spans="2:24" ht="21" x14ac:dyDescent="0.5">
      <c r="B12" s="508"/>
      <c r="C12" s="508"/>
      <c r="D12" s="518"/>
      <c r="E12" s="518"/>
      <c r="F12" s="518"/>
      <c r="G12" s="518"/>
    </row>
    <row r="13" spans="2:24" ht="21" hidden="1" x14ac:dyDescent="0.5">
      <c r="B13" s="506"/>
      <c r="C13" s="527" t="s">
        <v>167</v>
      </c>
      <c r="D13" s="554"/>
      <c r="E13" s="521"/>
      <c r="F13" s="521"/>
    </row>
    <row r="14" spans="2:24" ht="55.5" hidden="1" x14ac:dyDescent="0.5">
      <c r="B14" s="506"/>
      <c r="C14" s="509" t="s">
        <v>168</v>
      </c>
      <c r="D14" s="553"/>
      <c r="E14" s="518"/>
      <c r="F14" s="518"/>
    </row>
    <row r="15" spans="2:24" ht="37" hidden="1" x14ac:dyDescent="0.5">
      <c r="B15" s="506"/>
      <c r="C15" s="528" t="s">
        <v>169</v>
      </c>
      <c r="D15" s="555"/>
      <c r="E15" s="538"/>
      <c r="F15" s="538"/>
    </row>
    <row r="16" spans="2:24" ht="37" hidden="1" x14ac:dyDescent="0.5">
      <c r="B16" s="506"/>
      <c r="C16" s="528" t="s">
        <v>170</v>
      </c>
      <c r="D16" s="555"/>
      <c r="E16" s="538"/>
      <c r="F16" s="538"/>
    </row>
    <row r="17" spans="2:8" ht="21" hidden="1" x14ac:dyDescent="0.5">
      <c r="B17" s="506"/>
      <c r="C17" s="626"/>
      <c r="D17" s="511"/>
      <c r="E17" s="521"/>
      <c r="F17" s="521"/>
    </row>
    <row r="18" spans="2:8" ht="21" x14ac:dyDescent="0.5">
      <c r="B18" s="506"/>
      <c r="C18" s="626"/>
      <c r="D18" s="521"/>
      <c r="E18" s="521"/>
      <c r="F18" s="521"/>
    </row>
    <row r="19" spans="2:8" ht="21" x14ac:dyDescent="0.45">
      <c r="B19" s="506"/>
      <c r="C19" s="627" t="s">
        <v>171</v>
      </c>
      <c r="D19" s="1377" t="e">
        <f>D138</f>
        <v>#REF!</v>
      </c>
      <c r="E19" s="1377" t="e">
        <f>E138</f>
        <v>#REF!</v>
      </c>
      <c r="F19" s="1378" t="e">
        <f>F138</f>
        <v>#REF!</v>
      </c>
      <c r="G19" s="1378" t="e">
        <f>E19/470447</f>
        <v>#REF!</v>
      </c>
    </row>
    <row r="20" spans="2:8" ht="39" customHeight="1" x14ac:dyDescent="0.45">
      <c r="B20" s="506"/>
      <c r="C20" s="626" t="s">
        <v>287</v>
      </c>
      <c r="D20" s="1377"/>
      <c r="E20" s="1377"/>
      <c r="F20" s="1378"/>
      <c r="G20" s="1378"/>
    </row>
    <row r="21" spans="2:8" ht="21" x14ac:dyDescent="0.5">
      <c r="B21" s="508"/>
      <c r="C21" s="509"/>
      <c r="D21" s="518"/>
      <c r="E21" s="518"/>
      <c r="F21" s="518"/>
      <c r="G21" s="518"/>
    </row>
    <row r="22" spans="2:8" ht="21" x14ac:dyDescent="0.5">
      <c r="B22" s="506"/>
      <c r="C22" s="626"/>
      <c r="D22" s="521"/>
      <c r="E22" s="521"/>
      <c r="F22" s="521"/>
    </row>
    <row r="23" spans="2:8" s="67" customFormat="1" ht="21" x14ac:dyDescent="0.45">
      <c r="B23" s="506"/>
      <c r="C23" s="627" t="s">
        <v>236</v>
      </c>
      <c r="D23" s="1377" t="e">
        <f>D161</f>
        <v>#REF!</v>
      </c>
      <c r="E23" s="1377" t="e">
        <f>E161</f>
        <v>#REF!</v>
      </c>
      <c r="F23" s="1378" t="e">
        <f>F161</f>
        <v>#REF!</v>
      </c>
      <c r="G23" s="1378" t="e">
        <f>E23/470447</f>
        <v>#REF!</v>
      </c>
    </row>
    <row r="24" spans="2:8" s="67" customFormat="1" ht="37" x14ac:dyDescent="0.45">
      <c r="B24" s="506"/>
      <c r="C24" s="626" t="s">
        <v>288</v>
      </c>
      <c r="D24" s="1377"/>
      <c r="E24" s="1377"/>
      <c r="F24" s="1378"/>
      <c r="G24" s="1378"/>
    </row>
    <row r="25" spans="2:8" s="67" customFormat="1" ht="21" x14ac:dyDescent="0.5">
      <c r="B25" s="508"/>
      <c r="C25" s="508"/>
      <c r="D25" s="518"/>
      <c r="E25" s="518"/>
      <c r="F25" s="518"/>
      <c r="G25" s="518"/>
    </row>
    <row r="26" spans="2:8" s="67" customFormat="1" ht="21" x14ac:dyDescent="0.5">
      <c r="B26" s="506"/>
      <c r="C26" s="506"/>
      <c r="D26" s="521"/>
      <c r="E26" s="521"/>
      <c r="F26" s="521"/>
    </row>
    <row r="27" spans="2:8" s="67" customFormat="1" ht="21" x14ac:dyDescent="0.45">
      <c r="B27" s="506"/>
      <c r="C27" s="627" t="s">
        <v>175</v>
      </c>
      <c r="D27" s="1377" t="e">
        <f>D192</f>
        <v>#REF!</v>
      </c>
      <c r="E27" s="1377" t="e">
        <f>E192</f>
        <v>#REF!</v>
      </c>
      <c r="F27" s="1378" t="e">
        <f>F192</f>
        <v>#REF!</v>
      </c>
      <c r="G27" s="1378" t="e">
        <f>E27/470447</f>
        <v>#REF!</v>
      </c>
    </row>
    <row r="28" spans="2:8" s="67" customFormat="1" ht="37" x14ac:dyDescent="0.45">
      <c r="B28" s="506"/>
      <c r="C28" s="626" t="s">
        <v>289</v>
      </c>
      <c r="D28" s="1377"/>
      <c r="E28" s="1377"/>
      <c r="F28" s="1378"/>
      <c r="G28" s="1378"/>
    </row>
    <row r="29" spans="2:8" s="67" customFormat="1" ht="21" x14ac:dyDescent="0.5">
      <c r="B29" s="508"/>
      <c r="C29" s="508"/>
      <c r="D29" s="518"/>
      <c r="E29" s="518"/>
      <c r="F29" s="518"/>
      <c r="G29" s="518"/>
    </row>
    <row r="30" spans="2:8" s="67" customFormat="1" ht="21" x14ac:dyDescent="0.5">
      <c r="B30" s="506"/>
      <c r="C30" s="506"/>
      <c r="D30" s="521"/>
      <c r="E30" s="521"/>
      <c r="F30" s="521"/>
      <c r="H30" s="546"/>
    </row>
    <row r="31" spans="2:8" s="67" customFormat="1" ht="21" x14ac:dyDescent="0.45">
      <c r="B31" s="506"/>
      <c r="C31" s="627" t="s">
        <v>178</v>
      </c>
      <c r="D31" s="1377" t="e">
        <f>D223</f>
        <v>#REF!</v>
      </c>
      <c r="E31" s="1377" t="e">
        <f t="shared" ref="E31:F31" si="0">E223</f>
        <v>#REF!</v>
      </c>
      <c r="F31" s="1378" t="e">
        <f t="shared" si="0"/>
        <v>#REF!</v>
      </c>
      <c r="G31" s="1378" t="e">
        <f>E31/470447</f>
        <v>#REF!</v>
      </c>
    </row>
    <row r="32" spans="2:8" s="67" customFormat="1" ht="37" x14ac:dyDescent="0.45">
      <c r="B32" s="506"/>
      <c r="C32" s="626" t="s">
        <v>290</v>
      </c>
      <c r="D32" s="1377"/>
      <c r="E32" s="1377"/>
      <c r="F32" s="1378"/>
      <c r="G32" s="1378"/>
    </row>
    <row r="33" spans="2:7" s="67" customFormat="1" ht="21" x14ac:dyDescent="0.5">
      <c r="B33" s="508"/>
      <c r="C33" s="508"/>
      <c r="D33" s="531"/>
      <c r="E33" s="531"/>
      <c r="F33" s="531"/>
      <c r="G33" s="531"/>
    </row>
    <row r="34" spans="2:7" ht="21" x14ac:dyDescent="0.5">
      <c r="B34" s="1404" t="s">
        <v>291</v>
      </c>
      <c r="C34" s="1404"/>
      <c r="D34" s="536" t="e">
        <f>SUM(SUM(D6:D33))</f>
        <v>#REF!</v>
      </c>
      <c r="E34" s="536" t="e">
        <f>SUM(SUM(E6:E33))</f>
        <v>#REF!</v>
      </c>
      <c r="F34" s="534" t="e">
        <f>SUM(SUM(F6:F33))</f>
        <v>#REF!</v>
      </c>
      <c r="G34" s="534" t="e">
        <f>SUM(SUM(G6:G33))</f>
        <v>#REF!</v>
      </c>
    </row>
    <row r="35" spans="2:7" ht="21" x14ac:dyDescent="0.5">
      <c r="B35" s="822"/>
      <c r="C35" s="822"/>
      <c r="D35" s="822"/>
      <c r="E35" s="536"/>
      <c r="F35" s="534"/>
    </row>
    <row r="36" spans="2:7" ht="21" x14ac:dyDescent="0.45">
      <c r="B36" s="506"/>
      <c r="C36" s="627" t="s">
        <v>292</v>
      </c>
      <c r="D36" s="1377" t="e">
        <f>D70+D109+D140+D163+D194+D225</f>
        <v>#REF!</v>
      </c>
      <c r="E36" s="1377" t="e">
        <f>E70+E109+E140+E163+E194+E225</f>
        <v>#REF!</v>
      </c>
      <c r="F36" s="1378" t="e">
        <f>F70+F109+F140+F163+F194+F225</f>
        <v>#REF!</v>
      </c>
      <c r="G36" s="1378" t="e">
        <f>E36/470447</f>
        <v>#REF!</v>
      </c>
    </row>
    <row r="37" spans="2:7" ht="43.5" customHeight="1" x14ac:dyDescent="0.45">
      <c r="B37" s="506"/>
      <c r="C37" s="520" t="s">
        <v>293</v>
      </c>
      <c r="D37" s="1377"/>
      <c r="E37" s="1377"/>
      <c r="F37" s="1378"/>
      <c r="G37" s="1378"/>
    </row>
    <row r="38" spans="2:7" ht="21" customHeight="1" x14ac:dyDescent="0.45">
      <c r="B38" s="505"/>
      <c r="C38" s="505"/>
      <c r="D38" s="505"/>
      <c r="E38" s="505"/>
      <c r="F38" s="505"/>
    </row>
    <row r="39" spans="2:7" ht="21.65" customHeight="1" thickBot="1" x14ac:dyDescent="0.55000000000000004">
      <c r="B39" s="1382" t="s">
        <v>294</v>
      </c>
      <c r="C39" s="1382"/>
      <c r="D39" s="537" t="e">
        <f>D34+D36</f>
        <v>#REF!</v>
      </c>
      <c r="E39" s="537" t="e">
        <f>E34+E36</f>
        <v>#REF!</v>
      </c>
      <c r="F39" s="533" t="e">
        <f>F36+F34</f>
        <v>#REF!</v>
      </c>
      <c r="G39" s="533" t="e">
        <f>G36+G34</f>
        <v>#REF!</v>
      </c>
    </row>
    <row r="40" spans="2:7" ht="15" thickTop="1" x14ac:dyDescent="0.35">
      <c r="C40" s="67"/>
      <c r="D40" s="67"/>
      <c r="E40" s="67"/>
      <c r="F40" s="67"/>
    </row>
    <row r="41" spans="2:7" x14ac:dyDescent="0.35">
      <c r="C41" s="67"/>
      <c r="D41" s="67"/>
      <c r="E41" s="67"/>
      <c r="F41" s="67"/>
    </row>
    <row r="42" spans="2:7" s="510" customFormat="1" x14ac:dyDescent="0.35"/>
    <row r="43" spans="2:7" x14ac:dyDescent="0.35">
      <c r="C43" s="67"/>
      <c r="D43" s="67"/>
      <c r="E43" s="67"/>
      <c r="F43" s="67"/>
    </row>
    <row r="44" spans="2:7" x14ac:dyDescent="0.35">
      <c r="C44" s="67"/>
      <c r="D44" s="67"/>
      <c r="E44" s="67"/>
      <c r="F44" s="67"/>
    </row>
    <row r="45" spans="2:7" ht="23.5" x14ac:dyDescent="0.55000000000000004">
      <c r="B45" s="1408" t="s">
        <v>182</v>
      </c>
      <c r="C45" s="1409"/>
      <c r="D45" s="1409"/>
      <c r="E45" s="1409"/>
      <c r="F45" s="1409"/>
      <c r="G45" s="1410"/>
    </row>
    <row r="46" spans="2:7" ht="15.5" x14ac:dyDescent="0.35">
      <c r="B46" s="454"/>
      <c r="C46" s="2"/>
      <c r="D46" s="2"/>
      <c r="E46" s="2"/>
      <c r="F46" s="2"/>
    </row>
    <row r="47" spans="2:7" ht="21" x14ac:dyDescent="0.5">
      <c r="B47" s="530" t="s">
        <v>183</v>
      </c>
      <c r="C47" s="531"/>
      <c r="D47" s="532" t="s">
        <v>184</v>
      </c>
      <c r="E47" s="532" t="s">
        <v>185</v>
      </c>
      <c r="F47" s="532" t="s">
        <v>108</v>
      </c>
      <c r="G47" s="532" t="s">
        <v>157</v>
      </c>
    </row>
    <row r="48" spans="2:7" ht="18.5" x14ac:dyDescent="0.45">
      <c r="B48" s="506"/>
      <c r="C48" s="506"/>
      <c r="D48" s="506"/>
      <c r="E48" s="507"/>
      <c r="F48" s="507"/>
      <c r="G48" s="507"/>
    </row>
    <row r="49" spans="2:7" ht="21" x14ac:dyDescent="0.45">
      <c r="B49" s="506"/>
      <c r="C49" s="627" t="s">
        <v>295</v>
      </c>
      <c r="D49" s="1377" t="e">
        <f>(AssetByAsset.Summary!D70/1000000)*1.1</f>
        <v>#REF!</v>
      </c>
      <c r="E49" s="1377" t="e">
        <f>(AssetByAsset.Summary!E70/1000000)*1.1</f>
        <v>#REF!</v>
      </c>
      <c r="F49" s="1380" t="e">
        <f>(AssetByAsset.Summary!F70)*1.1</f>
        <v>#REF!</v>
      </c>
      <c r="G49" s="1380"/>
    </row>
    <row r="50" spans="2:7" ht="18.5" x14ac:dyDescent="0.45">
      <c r="B50" s="506"/>
      <c r="C50" s="626" t="s">
        <v>296</v>
      </c>
      <c r="D50" s="1377"/>
      <c r="E50" s="1377"/>
      <c r="F50" s="1380"/>
      <c r="G50" s="1380"/>
    </row>
    <row r="51" spans="2:7" ht="21" x14ac:dyDescent="0.5">
      <c r="B51" s="508"/>
      <c r="C51" s="509"/>
      <c r="D51" s="517"/>
      <c r="E51" s="518"/>
      <c r="F51" s="519"/>
      <c r="G51" s="519"/>
    </row>
    <row r="52" spans="2:7" ht="21" x14ac:dyDescent="0.5">
      <c r="B52" s="506"/>
      <c r="C52" s="626"/>
      <c r="D52" s="520"/>
      <c r="E52" s="521"/>
      <c r="F52" s="522"/>
      <c r="G52" s="522"/>
    </row>
    <row r="53" spans="2:7" ht="21" x14ac:dyDescent="0.45">
      <c r="B53" s="506"/>
      <c r="C53" s="627" t="s">
        <v>297</v>
      </c>
      <c r="D53" s="1377" t="e">
        <f>((AssetByAsset.Summary!D66+AssetByAsset.Summary!D68)/1000000)*1.1</f>
        <v>#REF!</v>
      </c>
      <c r="E53" s="1377" t="e">
        <f>((AssetByAsset.Summary!E66+AssetByAsset.Summary!E68)/1000000)*1.1</f>
        <v>#REF!</v>
      </c>
      <c r="F53" s="1380" t="e">
        <f>(AssetByAsset.Summary!F66+AssetByAsset.Summary!F68)*1.1</f>
        <v>#REF!</v>
      </c>
      <c r="G53" s="1380"/>
    </row>
    <row r="54" spans="2:7" ht="37" x14ac:dyDescent="0.45">
      <c r="B54" s="506"/>
      <c r="C54" s="626" t="s">
        <v>190</v>
      </c>
      <c r="D54" s="1377"/>
      <c r="E54" s="1377"/>
      <c r="F54" s="1380"/>
      <c r="G54" s="1380"/>
    </row>
    <row r="55" spans="2:7" ht="21" x14ac:dyDescent="0.5">
      <c r="B55" s="508"/>
      <c r="C55" s="508"/>
      <c r="D55" s="518"/>
      <c r="E55" s="518"/>
      <c r="F55" s="519"/>
      <c r="G55" s="519"/>
    </row>
    <row r="56" spans="2:7" ht="21" x14ac:dyDescent="0.5">
      <c r="B56" s="506"/>
      <c r="C56" s="626"/>
      <c r="D56" s="520"/>
      <c r="E56" s="521"/>
      <c r="F56" s="522"/>
      <c r="G56" s="522"/>
    </row>
    <row r="57" spans="2:7" ht="21" x14ac:dyDescent="0.45">
      <c r="B57" s="506"/>
      <c r="C57" s="627" t="s">
        <v>298</v>
      </c>
      <c r="D57" s="1377" t="e">
        <f>((AssetByAsset.Summary!D60+AssetByAsset.Summary!D61)/1000000)*1.1</f>
        <v>#REF!</v>
      </c>
      <c r="E57" s="1377" t="e">
        <f>((AssetByAsset.Summary!E60+AssetByAsset.Summary!E61)/1000000)*1.1</f>
        <v>#REF!</v>
      </c>
      <c r="F57" s="1380" t="e">
        <f>(AssetByAsset.Summary!F60+AssetByAsset.Summary!F61)*1.1</f>
        <v>#REF!</v>
      </c>
      <c r="G57" s="1380"/>
    </row>
    <row r="58" spans="2:7" ht="37" x14ac:dyDescent="0.45">
      <c r="B58" s="506"/>
      <c r="C58" s="626" t="s">
        <v>299</v>
      </c>
      <c r="D58" s="1377"/>
      <c r="E58" s="1377"/>
      <c r="F58" s="1380"/>
      <c r="G58" s="1380"/>
    </row>
    <row r="59" spans="2:7" ht="21" x14ac:dyDescent="0.5">
      <c r="B59" s="508"/>
      <c r="C59" s="509"/>
      <c r="D59" s="517"/>
      <c r="E59" s="518"/>
      <c r="F59" s="518"/>
      <c r="G59" s="518"/>
    </row>
    <row r="60" spans="2:7" ht="21" x14ac:dyDescent="0.5">
      <c r="B60" s="506"/>
      <c r="C60" s="626"/>
      <c r="D60" s="520"/>
      <c r="E60" s="521"/>
      <c r="F60" s="521"/>
      <c r="G60" s="521"/>
    </row>
    <row r="61" spans="2:7" ht="21" x14ac:dyDescent="0.45">
      <c r="B61" s="506"/>
      <c r="C61" s="627" t="s">
        <v>300</v>
      </c>
      <c r="D61" s="1377" t="e">
        <f>((AssetByAsset.Summary!D64+AssetByAsset.Summary!D65+AssetByAsset.Summary!D67)/1000000)*1.1</f>
        <v>#REF!</v>
      </c>
      <c r="E61" s="1377" t="e">
        <f>((AssetByAsset.Summary!E64+AssetByAsset.Summary!E65+AssetByAsset.Summary!E67)/1000000)*1.1</f>
        <v>#REF!</v>
      </c>
      <c r="F61" s="1380" t="e">
        <f>(AssetByAsset.Summary!F64+AssetByAsset.Summary!F65+AssetByAsset.Summary!F67)*1.1</f>
        <v>#REF!</v>
      </c>
      <c r="G61" s="1380"/>
    </row>
    <row r="62" spans="2:7" ht="37" x14ac:dyDescent="0.45">
      <c r="B62" s="506"/>
      <c r="C62" s="626" t="s">
        <v>194</v>
      </c>
      <c r="D62" s="1377"/>
      <c r="E62" s="1377"/>
      <c r="F62" s="1380"/>
      <c r="G62" s="1380"/>
    </row>
    <row r="63" spans="2:7" ht="21" x14ac:dyDescent="0.5">
      <c r="B63" s="508"/>
      <c r="C63" s="508"/>
      <c r="D63" s="518"/>
      <c r="E63" s="518"/>
      <c r="F63" s="518"/>
      <c r="G63" s="518"/>
    </row>
    <row r="64" spans="2:7" ht="21" x14ac:dyDescent="0.5">
      <c r="B64" s="506"/>
      <c r="C64" s="506"/>
      <c r="D64" s="521"/>
      <c r="E64" s="521"/>
      <c r="F64" s="521"/>
      <c r="G64" s="521"/>
    </row>
    <row r="65" spans="2:7" ht="21" x14ac:dyDescent="0.45">
      <c r="B65" s="506"/>
      <c r="C65" s="627" t="s">
        <v>301</v>
      </c>
      <c r="D65" s="1377" t="e">
        <f>((AssetByAsset.Summary!D62+AssetByAsset.Summary!D63)/1000000)*1.1</f>
        <v>#REF!</v>
      </c>
      <c r="E65" s="1377" t="e">
        <f>((AssetByAsset.Summary!E62+AssetByAsset.Summary!E63)/1000000)*1.1</f>
        <v>#REF!</v>
      </c>
      <c r="F65" s="1380" t="e">
        <f>(AssetByAsset.Summary!F62+AssetByAsset.Summary!F63)*1.1</f>
        <v>#REF!</v>
      </c>
      <c r="G65" s="1380"/>
    </row>
    <row r="66" spans="2:7" ht="18.5" x14ac:dyDescent="0.45">
      <c r="B66" s="506"/>
      <c r="C66" s="626" t="s">
        <v>196</v>
      </c>
      <c r="D66" s="1377"/>
      <c r="E66" s="1377"/>
      <c r="F66" s="1380"/>
      <c r="G66" s="1380"/>
    </row>
    <row r="67" spans="2:7" ht="21" x14ac:dyDescent="0.45">
      <c r="B67" s="505"/>
      <c r="C67" s="516"/>
      <c r="D67" s="523"/>
      <c r="E67" s="523"/>
      <c r="F67" s="524"/>
      <c r="G67" s="524"/>
    </row>
    <row r="68" spans="2:7" ht="21" x14ac:dyDescent="0.5">
      <c r="B68" s="1381" t="s">
        <v>197</v>
      </c>
      <c r="C68" s="1381"/>
      <c r="D68" s="536" t="e">
        <f>SUM(SUM(D49:D67))</f>
        <v>#REF!</v>
      </c>
      <c r="E68" s="536" t="e">
        <f t="shared" ref="E68:F68" si="1">SUM(SUM(E49:E67))</f>
        <v>#REF!</v>
      </c>
      <c r="F68" s="526" t="e">
        <f t="shared" si="1"/>
        <v>#REF!</v>
      </c>
    </row>
    <row r="69" spans="2:7" ht="21" x14ac:dyDescent="0.5">
      <c r="B69" s="515"/>
      <c r="C69" s="515"/>
      <c r="D69" s="525"/>
      <c r="E69" s="525"/>
      <c r="F69" s="526"/>
    </row>
    <row r="70" spans="2:7" ht="21" x14ac:dyDescent="0.45">
      <c r="B70" s="506"/>
      <c r="C70" s="627" t="s">
        <v>198</v>
      </c>
      <c r="D70" s="1377" t="e">
        <f>E70*Assumptions!C4</f>
        <v>#REF!</v>
      </c>
      <c r="E70" s="1377" t="e">
        <f>AssetByAsset.Summary!E77/1000000</f>
        <v>#REF!</v>
      </c>
      <c r="F70" s="1380" t="e">
        <f>(AssetByAsset.Summary!F65+AssetByAsset.Summary!F66)</f>
        <v>#REF!</v>
      </c>
    </row>
    <row r="71" spans="2:7" ht="37" x14ac:dyDescent="0.45">
      <c r="B71" s="506"/>
      <c r="C71" s="626" t="s">
        <v>302</v>
      </c>
      <c r="D71" s="1377"/>
      <c r="E71" s="1377"/>
      <c r="F71" s="1380"/>
    </row>
    <row r="72" spans="2:7" ht="18.5" x14ac:dyDescent="0.45">
      <c r="B72" s="505"/>
      <c r="C72" s="505"/>
      <c r="D72" s="505"/>
      <c r="E72" s="505"/>
      <c r="F72" s="505"/>
    </row>
    <row r="73" spans="2:7" ht="21.5" thickBot="1" x14ac:dyDescent="0.55000000000000004">
      <c r="B73" s="1382" t="s">
        <v>200</v>
      </c>
      <c r="C73" s="1382"/>
      <c r="D73" s="537" t="e">
        <f>D68+D70</f>
        <v>#REF!</v>
      </c>
      <c r="E73" s="537" t="e">
        <f>E68+E70</f>
        <v>#REF!</v>
      </c>
      <c r="F73" s="533" t="e">
        <f>F70+F68</f>
        <v>#REF!</v>
      </c>
    </row>
    <row r="74" spans="2:7" ht="15" thickTop="1" x14ac:dyDescent="0.35">
      <c r="C74" s="67"/>
      <c r="D74" s="67"/>
      <c r="E74" s="67"/>
      <c r="F74" s="67"/>
    </row>
    <row r="75" spans="2:7" x14ac:dyDescent="0.35">
      <c r="C75" s="67"/>
      <c r="D75" s="67"/>
      <c r="E75" s="67"/>
      <c r="F75" s="67"/>
    </row>
    <row r="76" spans="2:7" ht="23.5" x14ac:dyDescent="0.55000000000000004">
      <c r="B76" s="1411" t="s">
        <v>201</v>
      </c>
      <c r="C76" s="1412"/>
      <c r="D76" s="1412"/>
      <c r="E76" s="1412"/>
      <c r="F76" s="1412"/>
      <c r="G76" s="1413"/>
    </row>
    <row r="77" spans="2:7" ht="15.5" x14ac:dyDescent="0.35">
      <c r="B77" s="454"/>
      <c r="C77" s="2"/>
      <c r="D77" s="2"/>
      <c r="E77" s="2"/>
      <c r="F77" s="2"/>
    </row>
    <row r="78" spans="2:7" ht="21" x14ac:dyDescent="0.5">
      <c r="B78" s="530" t="s">
        <v>183</v>
      </c>
      <c r="C78" s="531"/>
      <c r="D78" s="532" t="s">
        <v>184</v>
      </c>
      <c r="E78" s="532" t="s">
        <v>185</v>
      </c>
      <c r="F78" s="532" t="s">
        <v>108</v>
      </c>
      <c r="G78" s="532" t="s">
        <v>157</v>
      </c>
    </row>
    <row r="79" spans="2:7" ht="18.5" x14ac:dyDescent="0.45">
      <c r="B79" s="514"/>
      <c r="C79" s="506"/>
      <c r="D79" s="507"/>
      <c r="E79" s="507"/>
      <c r="F79" s="507"/>
      <c r="G79" s="507"/>
    </row>
    <row r="80" spans="2:7" ht="21" x14ac:dyDescent="0.45">
      <c r="B80" s="506"/>
      <c r="C80" s="627" t="s">
        <v>303</v>
      </c>
      <c r="D80" s="1377" t="e">
        <f>AssetByAsset.Summary!D24*1.1/1000000</f>
        <v>#REF!</v>
      </c>
      <c r="E80" s="1377" t="e">
        <f>AssetByAsset.Summary!E24*1.1/1000000</f>
        <v>#REF!</v>
      </c>
      <c r="F80" s="1380" t="e">
        <f>AssetByAsset.Summary!F24*1.1</f>
        <v>#REF!</v>
      </c>
      <c r="G80" s="1380"/>
    </row>
    <row r="81" spans="2:7" ht="55.5" x14ac:dyDescent="0.45">
      <c r="B81" s="506"/>
      <c r="C81" s="626" t="s">
        <v>304</v>
      </c>
      <c r="D81" s="1377"/>
      <c r="E81" s="1377"/>
      <c r="F81" s="1380"/>
      <c r="G81" s="1380"/>
    </row>
    <row r="82" spans="2:7" ht="21" x14ac:dyDescent="0.5">
      <c r="B82" s="508"/>
      <c r="C82" s="509"/>
      <c r="D82" s="517"/>
      <c r="E82" s="518"/>
      <c r="F82" s="519"/>
      <c r="G82" s="519"/>
    </row>
    <row r="83" spans="2:7" ht="21" x14ac:dyDescent="0.5">
      <c r="B83" s="506"/>
      <c r="C83" s="506"/>
      <c r="D83" s="521"/>
      <c r="E83" s="535"/>
      <c r="F83" s="535"/>
      <c r="G83" s="535"/>
    </row>
    <row r="84" spans="2:7" ht="21" x14ac:dyDescent="0.45">
      <c r="B84" s="506"/>
      <c r="C84" s="627" t="s">
        <v>305</v>
      </c>
      <c r="D84" s="1377" t="e">
        <f>(AssetByAsset.Summary!D9+AssetByAsset.Summary!D10+AssetByAsset.Summary!D11+AssetByAsset.Summary!D12)*1.1/1000000</f>
        <v>#REF!</v>
      </c>
      <c r="E84" s="1377" t="e">
        <f>(AssetByAsset.Summary!E9+AssetByAsset.Summary!E10+AssetByAsset.Summary!E11+AssetByAsset.Summary!E12)*1.1/1000000</f>
        <v>#REF!</v>
      </c>
      <c r="F84" s="1380" t="e">
        <f>(AssetByAsset.Summary!F9+AssetByAsset.Summary!F10+AssetByAsset.Summary!F11+AssetByAsset.Summary!F12)*1.1</f>
        <v>#REF!</v>
      </c>
      <c r="G84" s="1380"/>
    </row>
    <row r="85" spans="2:7" ht="55.5" x14ac:dyDescent="0.45">
      <c r="B85" s="506"/>
      <c r="C85" s="539" t="s">
        <v>306</v>
      </c>
      <c r="D85" s="1377"/>
      <c r="E85" s="1377"/>
      <c r="F85" s="1380"/>
      <c r="G85" s="1380"/>
    </row>
    <row r="86" spans="2:7" ht="21" x14ac:dyDescent="0.5">
      <c r="B86" s="508"/>
      <c r="C86" s="509"/>
      <c r="D86" s="517"/>
      <c r="E86" s="518"/>
      <c r="F86" s="519"/>
      <c r="G86" s="519"/>
    </row>
    <row r="87" spans="2:7" ht="21" x14ac:dyDescent="0.5">
      <c r="B87" s="506"/>
      <c r="C87" s="626"/>
      <c r="D87" s="520"/>
      <c r="E87" s="521"/>
      <c r="F87" s="522"/>
      <c r="G87" s="522"/>
    </row>
    <row r="88" spans="2:7" ht="21" x14ac:dyDescent="0.45">
      <c r="B88" s="506"/>
      <c r="C88" s="627" t="s">
        <v>307</v>
      </c>
      <c r="D88" s="1377" t="e">
        <f>(AssetByAsset.Summary!D13+AssetByAsset.Summary!D14+AssetByAsset.Summary!D15+AssetByAsset.Summary!D16+AssetByAsset.Summary!D18)*1.1/1000000</f>
        <v>#REF!</v>
      </c>
      <c r="E88" s="1377" t="e">
        <f>(AssetByAsset.Summary!E13+AssetByAsset.Summary!E14+AssetByAsset.Summary!E15+AssetByAsset.Summary!E16+AssetByAsset.Summary!E18)*1.1/1000000</f>
        <v>#REF!</v>
      </c>
      <c r="F88" s="1380" t="e">
        <f>(AssetByAsset.Summary!F13+AssetByAsset.Summary!F14+AssetByAsset.Summary!F15+AssetByAsset.Summary!F16+AssetByAsset.Summary!F18)*1.1</f>
        <v>#REF!</v>
      </c>
      <c r="G88" s="1380"/>
    </row>
    <row r="89" spans="2:7" ht="55.5" x14ac:dyDescent="0.45">
      <c r="B89" s="506"/>
      <c r="C89" s="626" t="s">
        <v>209</v>
      </c>
      <c r="D89" s="1377"/>
      <c r="E89" s="1377"/>
      <c r="F89" s="1380"/>
      <c r="G89" s="1380"/>
    </row>
    <row r="90" spans="2:7" ht="21" x14ac:dyDescent="0.5">
      <c r="B90" s="508"/>
      <c r="C90" s="508"/>
      <c r="D90" s="518"/>
      <c r="E90" s="518"/>
      <c r="F90" s="519"/>
      <c r="G90" s="519"/>
    </row>
    <row r="91" spans="2:7" ht="21" x14ac:dyDescent="0.5">
      <c r="B91" s="506"/>
      <c r="C91" s="626"/>
      <c r="D91" s="520"/>
      <c r="E91" s="521"/>
      <c r="F91" s="522"/>
      <c r="G91" s="522"/>
    </row>
    <row r="92" spans="2:7" ht="21" x14ac:dyDescent="0.45">
      <c r="B92" s="506"/>
      <c r="C92" s="627" t="s">
        <v>308</v>
      </c>
      <c r="D92" s="1377" t="e">
        <f>AssetByAsset.Summary!D17*1.1/1000000</f>
        <v>#REF!</v>
      </c>
      <c r="E92" s="1377" t="e">
        <f>AssetByAsset.Summary!E17*1.1/1000000</f>
        <v>#REF!</v>
      </c>
      <c r="F92" s="1380" t="e">
        <f>AssetByAsset.Summary!F17*1.1</f>
        <v>#REF!</v>
      </c>
      <c r="G92" s="1380"/>
    </row>
    <row r="93" spans="2:7" ht="37" x14ac:dyDescent="0.45">
      <c r="B93" s="506"/>
      <c r="C93" s="626" t="s">
        <v>309</v>
      </c>
      <c r="D93" s="1377"/>
      <c r="E93" s="1377"/>
      <c r="F93" s="1380"/>
      <c r="G93" s="1380"/>
    </row>
    <row r="94" spans="2:7" ht="21" x14ac:dyDescent="0.5">
      <c r="B94" s="508"/>
      <c r="C94" s="508"/>
      <c r="D94" s="518"/>
      <c r="E94" s="518"/>
      <c r="F94" s="518"/>
      <c r="G94" s="518"/>
    </row>
    <row r="95" spans="2:7" ht="21" x14ac:dyDescent="0.5">
      <c r="B95" s="506"/>
      <c r="C95" s="506"/>
      <c r="D95" s="521"/>
      <c r="E95" s="521"/>
      <c r="F95" s="521"/>
      <c r="G95" s="521"/>
    </row>
    <row r="96" spans="2:7" ht="21" x14ac:dyDescent="0.45">
      <c r="B96" s="506"/>
      <c r="C96" s="627" t="s">
        <v>310</v>
      </c>
      <c r="D96" s="1377" t="e">
        <f>(AssetByAsset.Summary!D19+AssetByAsset.Summary!D20+AssetByAsset.Summary!D21)*1.1/1000000</f>
        <v>#REF!</v>
      </c>
      <c r="E96" s="1377" t="e">
        <f>(AssetByAsset.Summary!E19+AssetByAsset.Summary!E20+AssetByAsset.Summary!E21)*1.1/1000000</f>
        <v>#REF!</v>
      </c>
      <c r="F96" s="1380" t="e">
        <f>(AssetByAsset.Summary!F19+AssetByAsset.Summary!F20+AssetByAsset.Summary!F21)*1.1</f>
        <v>#REF!</v>
      </c>
      <c r="G96" s="1380"/>
    </row>
    <row r="97" spans="2:7" ht="37" x14ac:dyDescent="0.45">
      <c r="B97" s="506"/>
      <c r="C97" s="626" t="s">
        <v>311</v>
      </c>
      <c r="D97" s="1377"/>
      <c r="E97" s="1377"/>
      <c r="F97" s="1380"/>
      <c r="G97" s="1380"/>
    </row>
    <row r="98" spans="2:7" ht="21" x14ac:dyDescent="0.5">
      <c r="B98" s="508"/>
      <c r="C98" s="508"/>
      <c r="D98" s="518"/>
      <c r="E98" s="518"/>
      <c r="F98" s="518"/>
      <c r="G98" s="518"/>
    </row>
    <row r="99" spans="2:7" ht="21" x14ac:dyDescent="0.5">
      <c r="B99" s="506"/>
      <c r="C99" s="506"/>
      <c r="D99" s="521"/>
      <c r="E99" s="521"/>
      <c r="F99" s="521"/>
      <c r="G99" s="521"/>
    </row>
    <row r="100" spans="2:7" ht="21" x14ac:dyDescent="0.45">
      <c r="B100" s="506"/>
      <c r="C100" s="627" t="s">
        <v>312</v>
      </c>
      <c r="D100" s="1377" t="e">
        <f>(AssetByAsset.Summary!D22+AssetByAsset.Summary!D23)*1.1/1000000</f>
        <v>#REF!</v>
      </c>
      <c r="E100" s="1377" t="e">
        <f>(AssetByAsset.Summary!E22+AssetByAsset.Summary!E23)*1.1/1000000</f>
        <v>#REF!</v>
      </c>
      <c r="F100" s="1380" t="e">
        <f>(AssetByAsset.Summary!F22+AssetByAsset.Summary!F23)*1.1</f>
        <v>#REF!</v>
      </c>
      <c r="G100" s="1380"/>
    </row>
    <row r="101" spans="2:7" ht="37" x14ac:dyDescent="0.45">
      <c r="B101" s="506"/>
      <c r="C101" s="626" t="s">
        <v>214</v>
      </c>
      <c r="D101" s="1377"/>
      <c r="E101" s="1377"/>
      <c r="F101" s="1380"/>
      <c r="G101" s="1380"/>
    </row>
    <row r="102" spans="2:7" ht="21" x14ac:dyDescent="0.5">
      <c r="B102" s="508"/>
      <c r="C102" s="508"/>
      <c r="D102" s="518"/>
      <c r="E102" s="518"/>
      <c r="F102" s="518"/>
      <c r="G102" s="518"/>
    </row>
    <row r="103" spans="2:7" ht="21" x14ac:dyDescent="0.5">
      <c r="B103" s="506"/>
      <c r="C103" s="506"/>
      <c r="D103" s="521"/>
      <c r="E103" s="521"/>
      <c r="F103" s="521"/>
      <c r="G103" s="521"/>
    </row>
    <row r="104" spans="2:7" ht="21" x14ac:dyDescent="0.45">
      <c r="B104" s="506"/>
      <c r="C104" s="627" t="s">
        <v>313</v>
      </c>
      <c r="D104" s="1377" t="e">
        <f>AssetByAsset.Summary!D25*1.1/1000000</f>
        <v>#REF!</v>
      </c>
      <c r="E104" s="1377" t="e">
        <f>AssetByAsset.Summary!E25*1.1/1000000</f>
        <v>#REF!</v>
      </c>
      <c r="F104" s="1380" t="e">
        <f>AssetByAsset.Summary!F25*1.1</f>
        <v>#REF!</v>
      </c>
      <c r="G104" s="1380"/>
    </row>
    <row r="105" spans="2:7" ht="37" x14ac:dyDescent="0.45">
      <c r="B105" s="506"/>
      <c r="C105" s="626" t="s">
        <v>216</v>
      </c>
      <c r="D105" s="1377"/>
      <c r="E105" s="1377"/>
      <c r="F105" s="1380"/>
      <c r="G105" s="1380"/>
    </row>
    <row r="106" spans="2:7" s="67" customFormat="1" ht="21" x14ac:dyDescent="0.45">
      <c r="B106" s="505"/>
      <c r="C106" s="516"/>
      <c r="D106" s="523"/>
      <c r="E106" s="523"/>
      <c r="F106" s="524"/>
      <c r="G106" s="524"/>
    </row>
    <row r="107" spans="2:7" ht="21" x14ac:dyDescent="0.5">
      <c r="B107" s="1381" t="s">
        <v>217</v>
      </c>
      <c r="C107" s="1381"/>
      <c r="D107" s="536" t="e">
        <f>SUM(SUM(D80:D106))</f>
        <v>#REF!</v>
      </c>
      <c r="E107" s="536" t="e">
        <f>SUM(SUM(E80:E106))</f>
        <v>#REF!</v>
      </c>
      <c r="F107" s="526" t="e">
        <f>SUM(SUM(F80:F106))</f>
        <v>#REF!</v>
      </c>
    </row>
    <row r="108" spans="2:7" ht="21" x14ac:dyDescent="0.5">
      <c r="B108" s="515"/>
      <c r="C108" s="515"/>
      <c r="D108" s="525"/>
      <c r="E108" s="525"/>
      <c r="F108" s="526"/>
    </row>
    <row r="109" spans="2:7" ht="21" x14ac:dyDescent="0.45">
      <c r="B109" s="506"/>
      <c r="C109" s="627" t="s">
        <v>218</v>
      </c>
      <c r="D109" s="1377" t="e">
        <f>(AssetByAsset.Summary!E34)*Assumptions!C4/1000000</f>
        <v>#REF!</v>
      </c>
      <c r="E109" s="1377" t="e">
        <f>AssetByAsset.Summary!E34/1000000</f>
        <v>#REF!</v>
      </c>
      <c r="F109" s="1380" t="e">
        <f>(AssetByAsset.Summary!F98+AssetByAsset.Summary!F99)</f>
        <v>#REF!</v>
      </c>
    </row>
    <row r="110" spans="2:7" ht="37" x14ac:dyDescent="0.45">
      <c r="B110" s="506"/>
      <c r="C110" s="626" t="s">
        <v>219</v>
      </c>
      <c r="D110" s="1377"/>
      <c r="E110" s="1377"/>
      <c r="F110" s="1380"/>
    </row>
    <row r="111" spans="2:7" ht="21" x14ac:dyDescent="0.5">
      <c r="B111" s="505"/>
      <c r="C111" s="505"/>
      <c r="D111" s="531"/>
      <c r="E111" s="531"/>
      <c r="F111" s="531"/>
    </row>
    <row r="112" spans="2:7" ht="21.5" thickBot="1" x14ac:dyDescent="0.55000000000000004">
      <c r="B112" s="1403" t="s">
        <v>314</v>
      </c>
      <c r="C112" s="1403"/>
      <c r="D112" s="537" t="e">
        <f>D107+D109</f>
        <v>#REF!</v>
      </c>
      <c r="E112" s="537" t="e">
        <f>E107+E109</f>
        <v>#REF!</v>
      </c>
      <c r="F112" s="533" t="e">
        <f>F109+F107</f>
        <v>#REF!</v>
      </c>
    </row>
    <row r="113" spans="2:7" ht="15" thickTop="1" x14ac:dyDescent="0.35">
      <c r="C113" s="67"/>
      <c r="D113" s="67"/>
      <c r="E113" s="67"/>
      <c r="F113" s="67"/>
    </row>
    <row r="114" spans="2:7" x14ac:dyDescent="0.35">
      <c r="C114" s="67"/>
      <c r="D114" s="67"/>
      <c r="E114" s="67"/>
      <c r="F114" s="67"/>
    </row>
    <row r="115" spans="2:7" ht="23.5" x14ac:dyDescent="0.55000000000000004">
      <c r="B115" s="1405" t="s">
        <v>171</v>
      </c>
      <c r="C115" s="1406"/>
      <c r="D115" s="1406"/>
      <c r="E115" s="1406"/>
      <c r="F115" s="1406"/>
      <c r="G115" s="1407"/>
    </row>
    <row r="116" spans="2:7" ht="15.5" x14ac:dyDescent="0.35">
      <c r="B116" s="454"/>
      <c r="C116" s="2"/>
      <c r="D116" s="2"/>
      <c r="E116" s="2"/>
      <c r="F116" s="2"/>
    </row>
    <row r="117" spans="2:7" ht="21" x14ac:dyDescent="0.5">
      <c r="B117" s="530" t="s">
        <v>183</v>
      </c>
      <c r="C117" s="531"/>
      <c r="D117" s="532" t="s">
        <v>184</v>
      </c>
      <c r="E117" s="532" t="s">
        <v>221</v>
      </c>
      <c r="F117" s="532" t="s">
        <v>108</v>
      </c>
      <c r="G117" s="532" t="s">
        <v>157</v>
      </c>
    </row>
    <row r="118" spans="2:7" ht="18.5" x14ac:dyDescent="0.45">
      <c r="B118" s="514"/>
      <c r="C118" s="506"/>
      <c r="D118" s="507"/>
      <c r="E118" s="507"/>
      <c r="F118" s="507"/>
      <c r="G118" s="507"/>
    </row>
    <row r="119" spans="2:7" ht="21" x14ac:dyDescent="0.45">
      <c r="B119" s="506"/>
      <c r="C119" s="627" t="s">
        <v>315</v>
      </c>
      <c r="D119" s="1377" t="e">
        <f>AssetByAsset.Summary!D41*1.1/1000000</f>
        <v>#REF!</v>
      </c>
      <c r="E119" s="1377" t="e">
        <f>AssetByAsset.Summary!E41*1.1/1000000</f>
        <v>#REF!</v>
      </c>
      <c r="F119" s="1380" t="e">
        <f>AssetByAsset.Summary!F41*1.1</f>
        <v>#REF!</v>
      </c>
      <c r="G119" s="1380"/>
    </row>
    <row r="120" spans="2:7" ht="37" x14ac:dyDescent="0.45">
      <c r="B120" s="506"/>
      <c r="C120" s="626" t="s">
        <v>223</v>
      </c>
      <c r="D120" s="1377"/>
      <c r="E120" s="1377"/>
      <c r="F120" s="1380"/>
      <c r="G120" s="1380"/>
    </row>
    <row r="121" spans="2:7" ht="21" x14ac:dyDescent="0.5">
      <c r="B121" s="508"/>
      <c r="C121" s="509"/>
      <c r="D121" s="540"/>
      <c r="E121" s="518"/>
      <c r="F121" s="519"/>
      <c r="G121" s="519"/>
    </row>
    <row r="122" spans="2:7" ht="21" x14ac:dyDescent="0.5">
      <c r="B122" s="506"/>
      <c r="C122" s="506"/>
      <c r="D122" s="541"/>
      <c r="E122" s="535"/>
      <c r="F122" s="535"/>
      <c r="G122" s="535"/>
    </row>
    <row r="123" spans="2:7" ht="21" x14ac:dyDescent="0.45">
      <c r="B123" s="506"/>
      <c r="C123" s="627" t="s">
        <v>224</v>
      </c>
      <c r="D123" s="1377" t="e">
        <f>AssetByAsset.Summary!D40*1.1/1000000</f>
        <v>#REF!</v>
      </c>
      <c r="E123" s="1377" t="e">
        <f>AssetByAsset.Summary!E40*1.1/1000000</f>
        <v>#REF!</v>
      </c>
      <c r="F123" s="1380" t="e">
        <f>AssetByAsset.Summary!F40*1.1</f>
        <v>#REF!</v>
      </c>
      <c r="G123" s="1380"/>
    </row>
    <row r="124" spans="2:7" ht="18.5" x14ac:dyDescent="0.45">
      <c r="B124" s="506"/>
      <c r="C124" s="539" t="s">
        <v>225</v>
      </c>
      <c r="D124" s="1377"/>
      <c r="E124" s="1377"/>
      <c r="F124" s="1380"/>
      <c r="G124" s="1380"/>
    </row>
    <row r="125" spans="2:7" ht="21" x14ac:dyDescent="0.5">
      <c r="B125" s="508"/>
      <c r="C125" s="509"/>
      <c r="D125" s="540"/>
      <c r="E125" s="518"/>
      <c r="F125" s="519"/>
      <c r="G125" s="519"/>
    </row>
    <row r="126" spans="2:7" ht="21" x14ac:dyDescent="0.5">
      <c r="B126" s="506"/>
      <c r="C126" s="626"/>
      <c r="D126" s="542"/>
      <c r="E126" s="521"/>
      <c r="F126" s="522"/>
      <c r="G126" s="522"/>
    </row>
    <row r="127" spans="2:7" ht="21" x14ac:dyDescent="0.45">
      <c r="B127" s="506"/>
      <c r="C127" s="627" t="s">
        <v>316</v>
      </c>
      <c r="D127" s="1377" t="e">
        <f>(AssetByAsset.Summary!D43)*1.1/1000000</f>
        <v>#REF!</v>
      </c>
      <c r="E127" s="1377" t="e">
        <f>(AssetByAsset.Summary!E43)*1.1/1000000</f>
        <v>#REF!</v>
      </c>
      <c r="F127" s="1380" t="e">
        <f>AssetByAsset.Summary!F43*1.1</f>
        <v>#REF!</v>
      </c>
      <c r="G127" s="1380"/>
    </row>
    <row r="128" spans="2:7" ht="55.5" x14ac:dyDescent="0.45">
      <c r="B128" s="506"/>
      <c r="C128" s="626" t="s">
        <v>227</v>
      </c>
      <c r="D128" s="1377"/>
      <c r="E128" s="1377"/>
      <c r="F128" s="1380"/>
      <c r="G128" s="1380"/>
    </row>
    <row r="129" spans="2:7" ht="21" x14ac:dyDescent="0.5">
      <c r="B129" s="508"/>
      <c r="C129" s="508"/>
      <c r="D129" s="518"/>
      <c r="E129" s="518"/>
      <c r="F129" s="519"/>
      <c r="G129" s="519"/>
    </row>
    <row r="130" spans="2:7" ht="21" x14ac:dyDescent="0.5">
      <c r="B130" s="506"/>
      <c r="C130" s="626"/>
      <c r="D130" s="520"/>
      <c r="E130" s="521"/>
      <c r="F130" s="522"/>
      <c r="G130" s="522"/>
    </row>
    <row r="131" spans="2:7" ht="21" x14ac:dyDescent="0.45">
      <c r="B131" s="506"/>
      <c r="C131" s="627" t="s">
        <v>317</v>
      </c>
      <c r="D131" s="1377" t="e">
        <f>AssetByAsset.Summary!D42*1.1/1000000</f>
        <v>#REF!</v>
      </c>
      <c r="E131" s="1377" t="e">
        <f>AssetByAsset.Summary!E42*1.1/1000000</f>
        <v>#REF!</v>
      </c>
      <c r="F131" s="1380" t="e">
        <f>AssetByAsset.Summary!F42*1.1</f>
        <v>#REF!</v>
      </c>
      <c r="G131" s="1380"/>
    </row>
    <row r="132" spans="2:7" ht="55.5" x14ac:dyDescent="0.45">
      <c r="B132" s="506"/>
      <c r="C132" s="626" t="s">
        <v>230</v>
      </c>
      <c r="D132" s="1377"/>
      <c r="E132" s="1377"/>
      <c r="F132" s="1380"/>
      <c r="G132" s="1380"/>
    </row>
    <row r="133" spans="2:7" ht="21" x14ac:dyDescent="0.5">
      <c r="B133" s="508"/>
      <c r="C133" s="509"/>
      <c r="D133" s="540"/>
      <c r="E133" s="543"/>
      <c r="F133" s="518"/>
      <c r="G133" s="518"/>
    </row>
    <row r="134" spans="2:7" ht="21" x14ac:dyDescent="0.5">
      <c r="B134" s="506"/>
      <c r="C134" s="626"/>
      <c r="D134" s="542"/>
      <c r="E134" s="541"/>
      <c r="F134" s="521"/>
      <c r="G134" s="521"/>
    </row>
    <row r="135" spans="2:7" ht="21" x14ac:dyDescent="0.45">
      <c r="B135" s="506"/>
      <c r="C135" s="627" t="s">
        <v>318</v>
      </c>
      <c r="D135" s="1377" t="e">
        <f>AssetByAsset.Summary!#REF!*1.1/1000000</f>
        <v>#REF!</v>
      </c>
      <c r="E135" s="1377" t="e">
        <f>AssetByAsset.Summary!#REF!*1.1/1000000</f>
        <v>#REF!</v>
      </c>
      <c r="F135" s="1380" t="e">
        <f>AssetByAsset.Summary!#REF!*1.1</f>
        <v>#REF!</v>
      </c>
      <c r="G135" s="1380"/>
    </row>
    <row r="136" spans="2:7" ht="37" x14ac:dyDescent="0.45">
      <c r="B136" s="506"/>
      <c r="C136" s="539" t="s">
        <v>319</v>
      </c>
      <c r="D136" s="1377"/>
      <c r="E136" s="1377"/>
      <c r="F136" s="1380"/>
      <c r="G136" s="1380"/>
    </row>
    <row r="137" spans="2:7" ht="21" x14ac:dyDescent="0.45">
      <c r="B137" s="505"/>
      <c r="C137" s="516"/>
      <c r="D137" s="544"/>
      <c r="E137" s="544"/>
      <c r="F137" s="524"/>
      <c r="G137" s="524"/>
    </row>
    <row r="138" spans="2:7" ht="21" x14ac:dyDescent="0.5">
      <c r="B138" s="1381" t="s">
        <v>232</v>
      </c>
      <c r="C138" s="1381"/>
      <c r="D138" s="536" t="e">
        <f>SUM(SUM(D119:D137))</f>
        <v>#REF!</v>
      </c>
      <c r="E138" s="536" t="e">
        <f>SUM(SUM(E119:E137))</f>
        <v>#REF!</v>
      </c>
      <c r="F138" s="526" t="e">
        <f>SUM(SUM(F119:F137))</f>
        <v>#REF!</v>
      </c>
    </row>
    <row r="139" spans="2:7" ht="21" x14ac:dyDescent="0.5">
      <c r="B139" s="515"/>
      <c r="C139" s="515"/>
      <c r="D139" s="536"/>
      <c r="E139" s="536"/>
      <c r="F139" s="526"/>
    </row>
    <row r="140" spans="2:7" ht="21" x14ac:dyDescent="0.45">
      <c r="B140" s="506"/>
      <c r="C140" s="627" t="s">
        <v>233</v>
      </c>
      <c r="D140" s="1377" t="e">
        <f>(AssetByAsset.Summary!#REF!+AssetByAsset.Summary!E53+AssetByAsset.Summary!#REF!)*Assumptions!C4/1000000</f>
        <v>#REF!</v>
      </c>
      <c r="E140" s="1377" t="e">
        <f>D140/Assumptions!C4</f>
        <v>#REF!</v>
      </c>
      <c r="F140" s="1380" t="e">
        <f>(AssetByAsset.Summary!#REF!+AssetByAsset.Summary!F53+AssetByAsset.Summary!#REF!)</f>
        <v>#REF!</v>
      </c>
    </row>
    <row r="141" spans="2:7" ht="37" x14ac:dyDescent="0.45">
      <c r="B141" s="506"/>
      <c r="C141" s="626" t="s">
        <v>234</v>
      </c>
      <c r="D141" s="1377"/>
      <c r="E141" s="1377"/>
      <c r="F141" s="1380"/>
    </row>
    <row r="142" spans="2:7" ht="21" x14ac:dyDescent="0.5">
      <c r="B142" s="505"/>
      <c r="C142" s="505"/>
      <c r="D142" s="545"/>
      <c r="E142" s="545"/>
      <c r="F142" s="531"/>
    </row>
    <row r="143" spans="2:7" ht="21.5" thickBot="1" x14ac:dyDescent="0.55000000000000004">
      <c r="B143" s="1382" t="s">
        <v>235</v>
      </c>
      <c r="C143" s="1382"/>
      <c r="D143" s="537" t="e">
        <f>D138+D140</f>
        <v>#REF!</v>
      </c>
      <c r="E143" s="537" t="e">
        <f>E138+E140</f>
        <v>#REF!</v>
      </c>
      <c r="F143" s="533" t="e">
        <f>F140+F138</f>
        <v>#REF!</v>
      </c>
    </row>
    <row r="144" spans="2:7" ht="15" thickTop="1" x14ac:dyDescent="0.35">
      <c r="C144" s="67"/>
      <c r="D144" s="67"/>
      <c r="E144" s="67"/>
      <c r="F144" s="67"/>
    </row>
    <row r="145" spans="2:7" x14ac:dyDescent="0.35">
      <c r="C145" s="67"/>
      <c r="D145" s="67" t="s">
        <v>177</v>
      </c>
      <c r="E145" s="67"/>
      <c r="F145" s="67"/>
    </row>
    <row r="146" spans="2:7" ht="23.5" x14ac:dyDescent="0.55000000000000004">
      <c r="B146" s="1414" t="s">
        <v>236</v>
      </c>
      <c r="C146" s="1415"/>
      <c r="D146" s="1415"/>
      <c r="E146" s="1415"/>
      <c r="F146" s="1415"/>
      <c r="G146" s="1416"/>
    </row>
    <row r="147" spans="2:7" ht="15.5" x14ac:dyDescent="0.35">
      <c r="B147" s="454"/>
      <c r="C147" s="2"/>
      <c r="D147" s="2"/>
      <c r="E147" s="2"/>
      <c r="F147" s="2"/>
    </row>
    <row r="148" spans="2:7" ht="21" x14ac:dyDescent="0.5">
      <c r="B148" s="530" t="s">
        <v>183</v>
      </c>
      <c r="C148" s="531"/>
      <c r="D148" s="532" t="s">
        <v>184</v>
      </c>
      <c r="E148" s="532" t="s">
        <v>221</v>
      </c>
      <c r="F148" s="532" t="s">
        <v>108</v>
      </c>
      <c r="G148" s="532" t="s">
        <v>157</v>
      </c>
    </row>
    <row r="149" spans="2:7" ht="18.5" x14ac:dyDescent="0.45">
      <c r="B149" s="514"/>
      <c r="C149" s="506"/>
      <c r="D149" s="507"/>
      <c r="E149" s="507"/>
      <c r="F149" s="507"/>
      <c r="G149" s="507"/>
    </row>
    <row r="150" spans="2:7" ht="21" x14ac:dyDescent="0.45">
      <c r="B150" s="506"/>
      <c r="C150" s="627" t="s">
        <v>320</v>
      </c>
      <c r="D150" s="1377" t="e">
        <f>AssetByAsset.Summary!#REF!*1.1/1000000</f>
        <v>#REF!</v>
      </c>
      <c r="E150" s="1377" t="e">
        <f>AssetByAsset.Summary!#REF!*1.1/1000000</f>
        <v>#REF!</v>
      </c>
      <c r="F150" s="1380" t="e">
        <f>AssetByAsset.Summary!#REF!*1.1</f>
        <v>#REF!</v>
      </c>
      <c r="G150" s="1380"/>
    </row>
    <row r="151" spans="2:7" ht="37" x14ac:dyDescent="0.45">
      <c r="B151" s="506"/>
      <c r="C151" s="626" t="s">
        <v>321</v>
      </c>
      <c r="D151" s="1377"/>
      <c r="E151" s="1377"/>
      <c r="F151" s="1380"/>
      <c r="G151" s="1380"/>
    </row>
    <row r="152" spans="2:7" ht="21" x14ac:dyDescent="0.5">
      <c r="B152" s="508"/>
      <c r="C152" s="509"/>
      <c r="D152" s="540"/>
      <c r="E152" s="543"/>
      <c r="F152" s="519"/>
      <c r="G152" s="519"/>
    </row>
    <row r="153" spans="2:7" ht="21" x14ac:dyDescent="0.5">
      <c r="B153" s="506"/>
      <c r="C153" s="506"/>
      <c r="D153" s="541"/>
      <c r="E153" s="536"/>
      <c r="F153" s="535"/>
      <c r="G153" s="535"/>
    </row>
    <row r="154" spans="2:7" ht="21" x14ac:dyDescent="0.45">
      <c r="B154" s="506"/>
      <c r="C154" s="627" t="s">
        <v>322</v>
      </c>
      <c r="D154" s="1377" t="e">
        <f>AssetByAsset.Summary!D44*1.1/1000000</f>
        <v>#REF!</v>
      </c>
      <c r="E154" s="1377" t="e">
        <f>AssetByAsset.Summary!E44*1.1/1000000</f>
        <v>#REF!</v>
      </c>
      <c r="F154" s="1380" t="e">
        <f>AssetByAsset.Summary!F44*1.1</f>
        <v>#REF!</v>
      </c>
      <c r="G154" s="1380"/>
    </row>
    <row r="155" spans="2:7" ht="55.5" x14ac:dyDescent="0.45">
      <c r="B155" s="506"/>
      <c r="C155" s="539" t="s">
        <v>238</v>
      </c>
      <c r="D155" s="1377"/>
      <c r="E155" s="1377"/>
      <c r="F155" s="1380"/>
      <c r="G155" s="1380"/>
    </row>
    <row r="156" spans="2:7" ht="21" x14ac:dyDescent="0.5">
      <c r="B156" s="508"/>
      <c r="C156" s="509"/>
      <c r="D156" s="540"/>
      <c r="E156" s="543"/>
      <c r="F156" s="519"/>
      <c r="G156" s="519"/>
    </row>
    <row r="157" spans="2:7" ht="21" x14ac:dyDescent="0.5">
      <c r="B157" s="506"/>
      <c r="C157" s="626"/>
      <c r="D157" s="542"/>
      <c r="E157" s="541"/>
      <c r="F157" s="522"/>
      <c r="G157" s="522"/>
    </row>
    <row r="158" spans="2:7" ht="21" x14ac:dyDescent="0.45">
      <c r="B158" s="506"/>
      <c r="C158" s="627" t="s">
        <v>323</v>
      </c>
      <c r="D158" s="1377" t="e">
        <f>AssetByAsset.Summary!D45*1.1/1000000</f>
        <v>#REF!</v>
      </c>
      <c r="E158" s="1377" t="e">
        <f>AssetByAsset.Summary!E45*1.1/1000000</f>
        <v>#REF!</v>
      </c>
      <c r="F158" s="1380" t="e">
        <f>AssetByAsset.Summary!F45*1.1</f>
        <v>#REF!</v>
      </c>
      <c r="G158" s="1380"/>
    </row>
    <row r="159" spans="2:7" ht="55.5" x14ac:dyDescent="0.45">
      <c r="B159" s="506"/>
      <c r="C159" s="539" t="s">
        <v>240</v>
      </c>
      <c r="D159" s="1377"/>
      <c r="E159" s="1377"/>
      <c r="F159" s="1380"/>
      <c r="G159" s="1380"/>
    </row>
    <row r="160" spans="2:7" ht="21" x14ac:dyDescent="0.45">
      <c r="B160" s="505"/>
      <c r="C160" s="516"/>
      <c r="D160" s="523"/>
      <c r="E160" s="523"/>
      <c r="F160" s="524"/>
      <c r="G160" s="524"/>
    </row>
    <row r="161" spans="2:9" ht="21" x14ac:dyDescent="0.5">
      <c r="B161" s="1381" t="s">
        <v>241</v>
      </c>
      <c r="C161" s="1381"/>
      <c r="D161" s="536" t="e">
        <f>SUM(SUM(D150:D160))</f>
        <v>#REF!</v>
      </c>
      <c r="E161" s="536" t="e">
        <f>SUM(SUM(E150:E160))</f>
        <v>#REF!</v>
      </c>
      <c r="F161" s="526" t="e">
        <f>SUM(SUM(F150:F160))</f>
        <v>#REF!</v>
      </c>
    </row>
    <row r="162" spans="2:9" ht="21" x14ac:dyDescent="0.5">
      <c r="B162" s="515"/>
      <c r="C162" s="515"/>
      <c r="D162" s="536"/>
      <c r="E162" s="536"/>
      <c r="F162" s="526"/>
    </row>
    <row r="163" spans="2:9" ht="21" x14ac:dyDescent="0.45">
      <c r="B163" s="506"/>
      <c r="C163" s="627" t="s">
        <v>242</v>
      </c>
      <c r="D163" s="1377" t="e">
        <f>(AssetByAsset.Summary!E50+AssetByAsset.Summary!E51+AssetByAsset.Summary!E52)*Assumptions!$C$4/1000000</f>
        <v>#REF!</v>
      </c>
      <c r="E163" s="1377" t="e">
        <f>(AssetByAsset.Summary!E50+AssetByAsset.Summary!E51+AssetByAsset.Summary!E52)/1000000</f>
        <v>#REF!</v>
      </c>
      <c r="F163" s="1380" t="e">
        <f>(AssetByAsset.Summary!F50+AssetByAsset.Summary!F51+AssetByAsset.Summary!F52)</f>
        <v>#REF!</v>
      </c>
    </row>
    <row r="164" spans="2:9" ht="37" x14ac:dyDescent="0.45">
      <c r="B164" s="506"/>
      <c r="C164" s="626" t="s">
        <v>243</v>
      </c>
      <c r="D164" s="1377"/>
      <c r="E164" s="1377"/>
      <c r="F164" s="1380"/>
    </row>
    <row r="165" spans="2:9" ht="21" x14ac:dyDescent="0.5">
      <c r="B165" s="505"/>
      <c r="C165" s="505"/>
      <c r="D165" s="545"/>
      <c r="E165" s="545"/>
      <c r="F165" s="531"/>
    </row>
    <row r="166" spans="2:9" ht="21.5" thickBot="1" x14ac:dyDescent="0.55000000000000004">
      <c r="B166" s="1382" t="s">
        <v>244</v>
      </c>
      <c r="C166" s="1382"/>
      <c r="D166" s="537" t="e">
        <f>D161+D163</f>
        <v>#REF!</v>
      </c>
      <c r="E166" s="537" t="e">
        <f>E161+E163</f>
        <v>#REF!</v>
      </c>
      <c r="F166" s="533" t="e">
        <f>F163+F161</f>
        <v>#REF!</v>
      </c>
    </row>
    <row r="167" spans="2:9" ht="15" thickTop="1" x14ac:dyDescent="0.35">
      <c r="C167" s="67"/>
      <c r="D167" s="67"/>
      <c r="E167" s="67"/>
      <c r="F167" s="67"/>
    </row>
    <row r="168" spans="2:9" x14ac:dyDescent="0.35">
      <c r="C168" s="67"/>
      <c r="D168" s="67"/>
      <c r="E168" s="67"/>
      <c r="F168" s="67"/>
    </row>
    <row r="169" spans="2:9" ht="23.5" x14ac:dyDescent="0.55000000000000004">
      <c r="B169" s="1417" t="s">
        <v>175</v>
      </c>
      <c r="C169" s="1418"/>
      <c r="D169" s="1418"/>
      <c r="E169" s="1418"/>
      <c r="F169" s="1418"/>
      <c r="G169" s="1419"/>
      <c r="I169" s="549" t="s">
        <v>245</v>
      </c>
    </row>
    <row r="170" spans="2:9" ht="15.5" x14ac:dyDescent="0.35">
      <c r="B170" s="454"/>
      <c r="C170" s="2"/>
      <c r="D170" s="2"/>
      <c r="E170" s="2"/>
      <c r="F170" s="2"/>
    </row>
    <row r="171" spans="2:9" ht="21" x14ac:dyDescent="0.5">
      <c r="B171" s="530" t="s">
        <v>183</v>
      </c>
      <c r="C171" s="531"/>
      <c r="D171" s="532" t="s">
        <v>184</v>
      </c>
      <c r="E171" s="532" t="s">
        <v>221</v>
      </c>
      <c r="F171" s="532" t="s">
        <v>108</v>
      </c>
      <c r="G171" s="532" t="s">
        <v>157</v>
      </c>
    </row>
    <row r="172" spans="2:9" ht="18.5" x14ac:dyDescent="0.45">
      <c r="B172" s="514"/>
      <c r="C172" s="506"/>
      <c r="D172" s="507"/>
      <c r="E172" s="507"/>
      <c r="F172" s="507"/>
      <c r="G172" s="507"/>
    </row>
    <row r="173" spans="2:9" ht="21" x14ac:dyDescent="0.45">
      <c r="B173" s="506"/>
      <c r="C173" s="627" t="s">
        <v>324</v>
      </c>
      <c r="D173" s="1377" t="e">
        <f>AssetByAsset.Summary!D83*1.1/1000000</f>
        <v>#REF!</v>
      </c>
      <c r="E173" s="1377" t="e">
        <f>AssetByAsset.Summary!E83*1.1/1000000</f>
        <v>#REF!</v>
      </c>
      <c r="F173" s="1380" t="e">
        <f>AssetByAsset.Summary!F83*1.1</f>
        <v>#REF!</v>
      </c>
      <c r="G173" s="1380"/>
    </row>
    <row r="174" spans="2:9" ht="74" x14ac:dyDescent="0.45">
      <c r="B174" s="506"/>
      <c r="C174" s="626" t="s">
        <v>247</v>
      </c>
      <c r="D174" s="1377"/>
      <c r="E174" s="1377"/>
      <c r="F174" s="1380"/>
      <c r="G174" s="1380"/>
    </row>
    <row r="175" spans="2:9" ht="21" x14ac:dyDescent="0.5">
      <c r="B175" s="508"/>
      <c r="C175" s="509"/>
      <c r="D175" s="540"/>
      <c r="E175" s="543"/>
      <c r="F175" s="519"/>
      <c r="G175" s="519"/>
    </row>
    <row r="176" spans="2:9" ht="21" x14ac:dyDescent="0.5">
      <c r="B176" s="506"/>
      <c r="C176" s="506"/>
      <c r="D176" s="541"/>
      <c r="E176" s="536"/>
      <c r="F176" s="535"/>
      <c r="G176" s="535"/>
    </row>
    <row r="177" spans="2:13" ht="21" x14ac:dyDescent="0.45">
      <c r="B177" s="506"/>
      <c r="C177" s="627" t="s">
        <v>248</v>
      </c>
      <c r="D177" s="1377" t="e">
        <f>(AssetByAsset.Summary!D84+AssetByAsset.Summary!D85+AssetByAsset.Summary!D86+AssetByAsset.Summary!D87+AssetByAsset.Summary!D88)*1.1/1000000</f>
        <v>#REF!</v>
      </c>
      <c r="E177" s="1377" t="e">
        <f>(AssetByAsset.Summary!E84+AssetByAsset.Summary!E85+AssetByAsset.Summary!E86+AssetByAsset.Summary!E87+AssetByAsset.Summary!E88+AssetByAsset.Summary!E95)*1.1/1000000</f>
        <v>#REF!</v>
      </c>
      <c r="F177" s="1380" t="e">
        <f>(AssetByAsset.Summary!F84+AssetByAsset.Summary!F85+AssetByAsset.Summary!F86+AssetByAsset.Summary!F87+AssetByAsset.Summary!F88+AssetByAsset.Summary!F95)*1.1</f>
        <v>#REF!</v>
      </c>
      <c r="G177" s="1380"/>
    </row>
    <row r="178" spans="2:13" ht="37" x14ac:dyDescent="0.45">
      <c r="B178" s="506"/>
      <c r="C178" s="626" t="s">
        <v>250</v>
      </c>
      <c r="D178" s="1377"/>
      <c r="E178" s="1377"/>
      <c r="F178" s="1380"/>
      <c r="G178" s="1380"/>
      <c r="M178" s="67" t="s">
        <v>251</v>
      </c>
    </row>
    <row r="179" spans="2:13" ht="21" x14ac:dyDescent="0.5">
      <c r="B179" s="508"/>
      <c r="C179" s="509"/>
      <c r="D179" s="540"/>
      <c r="E179" s="543"/>
      <c r="F179" s="519"/>
      <c r="G179" s="519"/>
    </row>
    <row r="180" spans="2:13" ht="21" x14ac:dyDescent="0.5">
      <c r="B180" s="506"/>
      <c r="C180" s="626"/>
      <c r="D180" s="542"/>
      <c r="E180" s="541"/>
      <c r="F180" s="522"/>
      <c r="G180" s="522"/>
    </row>
    <row r="181" spans="2:13" ht="21" x14ac:dyDescent="0.45">
      <c r="B181" s="506"/>
      <c r="C181" s="627" t="s">
        <v>252</v>
      </c>
      <c r="D181" s="1377" t="e">
        <f>AssetByAsset.Summary!D89*1.1/1000000</f>
        <v>#REF!</v>
      </c>
      <c r="E181" s="1377" t="e">
        <f>AssetByAsset.Summary!E89*1.1/1000000</f>
        <v>#REF!</v>
      </c>
      <c r="F181" s="1380" t="e">
        <f>AssetByAsset.Summary!F89*1.1</f>
        <v>#REF!</v>
      </c>
      <c r="G181" s="1380"/>
    </row>
    <row r="182" spans="2:13" ht="37" x14ac:dyDescent="0.45">
      <c r="B182" s="506"/>
      <c r="C182" s="626" t="s">
        <v>253</v>
      </c>
      <c r="D182" s="1377"/>
      <c r="E182" s="1377"/>
      <c r="F182" s="1380"/>
      <c r="G182" s="1380"/>
    </row>
    <row r="183" spans="2:13" ht="21" x14ac:dyDescent="0.5">
      <c r="B183" s="508"/>
      <c r="C183" s="508"/>
      <c r="D183" s="518"/>
      <c r="E183" s="518"/>
      <c r="F183" s="519"/>
      <c r="G183" s="519"/>
    </row>
    <row r="184" spans="2:13" ht="21" x14ac:dyDescent="0.5">
      <c r="B184" s="506"/>
      <c r="C184" s="626"/>
      <c r="D184" s="520"/>
      <c r="E184" s="521"/>
      <c r="F184" s="522"/>
      <c r="G184" s="522"/>
    </row>
    <row r="185" spans="2:13" ht="21" x14ac:dyDescent="0.45">
      <c r="B185" s="506"/>
      <c r="C185" s="627" t="s">
        <v>254</v>
      </c>
      <c r="D185" s="1377" t="e">
        <f>(AssetByAsset.Summary!D91+AssetByAsset.Summary!D93+AssetByAsset.Summary!D94+AssetByAsset.Summary!D96+AssetByAsset.Summary!D95)*1.1/1000000</f>
        <v>#REF!</v>
      </c>
      <c r="E185" s="1377" t="e">
        <f>(AssetByAsset.Summary!E91+AssetByAsset.Summary!E93+AssetByAsset.Summary!E94+AssetByAsset.Summary!E96)*1.1/1000000</f>
        <v>#REF!</v>
      </c>
      <c r="F185" s="1380" t="e">
        <f>(AssetByAsset.Summary!F91+AssetByAsset.Summary!F93+AssetByAsset.Summary!F94+AssetByAsset.Summary!F96)*1.1</f>
        <v>#REF!</v>
      </c>
      <c r="G185" s="1380"/>
    </row>
    <row r="186" spans="2:13" ht="55.5" x14ac:dyDescent="0.45">
      <c r="B186" s="506"/>
      <c r="C186" s="626" t="s">
        <v>256</v>
      </c>
      <c r="D186" s="1377"/>
      <c r="E186" s="1377"/>
      <c r="F186" s="1380"/>
      <c r="G186" s="1380"/>
    </row>
    <row r="187" spans="2:13" ht="21" x14ac:dyDescent="0.5">
      <c r="B187" s="508"/>
      <c r="C187" s="509"/>
      <c r="D187" s="540"/>
      <c r="E187" s="543"/>
      <c r="F187" s="518"/>
      <c r="G187" s="518"/>
    </row>
    <row r="188" spans="2:13" ht="21" x14ac:dyDescent="0.5">
      <c r="B188" s="506"/>
      <c r="C188" s="626"/>
      <c r="D188" s="542"/>
      <c r="E188" s="541"/>
      <c r="F188" s="521"/>
      <c r="G188" s="521"/>
    </row>
    <row r="189" spans="2:13" ht="21" x14ac:dyDescent="0.45">
      <c r="B189" s="506"/>
      <c r="C189" s="627" t="s">
        <v>258</v>
      </c>
      <c r="D189" s="1377" t="e">
        <f>AssetByAsset.Summary!D90*1.1/1000000</f>
        <v>#REF!</v>
      </c>
      <c r="E189" s="1377" t="e">
        <f>AssetByAsset.Summary!E90*1.1/1000000</f>
        <v>#REF!</v>
      </c>
      <c r="F189" s="1380" t="e">
        <f>AssetByAsset.Summary!F90*1.1/1000000000</f>
        <v>#REF!</v>
      </c>
      <c r="G189" s="1380"/>
    </row>
    <row r="190" spans="2:13" ht="37" x14ac:dyDescent="0.45">
      <c r="B190" s="506"/>
      <c r="C190" s="539" t="s">
        <v>259</v>
      </c>
      <c r="D190" s="1377"/>
      <c r="E190" s="1377"/>
      <c r="F190" s="1380"/>
      <c r="G190" s="1380"/>
    </row>
    <row r="191" spans="2:13" s="67" customFormat="1" ht="21" x14ac:dyDescent="0.45">
      <c r="B191" s="505"/>
      <c r="C191" s="516"/>
      <c r="D191" s="523"/>
      <c r="E191" s="523"/>
      <c r="F191" s="524"/>
      <c r="G191" s="524"/>
    </row>
    <row r="192" spans="2:13" ht="21" x14ac:dyDescent="0.5">
      <c r="B192" s="1381" t="s">
        <v>260</v>
      </c>
      <c r="C192" s="1381"/>
      <c r="D192" s="536" t="e">
        <f>SUM(SUM(D173:D191))</f>
        <v>#REF!</v>
      </c>
      <c r="E192" s="536" t="e">
        <f>SUM(SUM(E173:E191))</f>
        <v>#REF!</v>
      </c>
      <c r="F192" s="526" t="e">
        <f>SUM(SUM(F173:F191))</f>
        <v>#REF!</v>
      </c>
      <c r="G192" s="823"/>
    </row>
    <row r="193" spans="2:9" ht="21" x14ac:dyDescent="0.5">
      <c r="B193" s="515"/>
      <c r="C193" s="515"/>
      <c r="D193" s="536"/>
      <c r="E193" s="536"/>
      <c r="F193" s="526"/>
      <c r="G193" s="526"/>
    </row>
    <row r="194" spans="2:9" ht="21" x14ac:dyDescent="0.45">
      <c r="B194" s="506"/>
      <c r="C194" s="627" t="s">
        <v>261</v>
      </c>
      <c r="D194" s="1377" t="e">
        <f>AssetByAsset.Summary!E104/1000000*Assumptions!C4</f>
        <v>#REF!</v>
      </c>
      <c r="E194" s="1377" t="e">
        <f>$D$194/Assumptions!C4</f>
        <v>#REF!</v>
      </c>
      <c r="F194" s="1380" t="e">
        <f>AssetByAsset.Summary!F104</f>
        <v>#REF!</v>
      </c>
      <c r="G194" s="1380"/>
    </row>
    <row r="195" spans="2:9" ht="18.5" x14ac:dyDescent="0.45">
      <c r="B195" s="506"/>
      <c r="C195" s="626" t="s">
        <v>262</v>
      </c>
      <c r="D195" s="1377"/>
      <c r="E195" s="1377"/>
      <c r="F195" s="1380"/>
      <c r="G195" s="1380"/>
    </row>
    <row r="196" spans="2:9" ht="21" x14ac:dyDescent="0.5">
      <c r="B196" s="505"/>
      <c r="C196" s="505"/>
      <c r="D196" s="545"/>
      <c r="E196" s="545"/>
      <c r="F196" s="531"/>
      <c r="G196" s="1380"/>
    </row>
    <row r="197" spans="2:9" ht="21.5" thickBot="1" x14ac:dyDescent="0.55000000000000004">
      <c r="B197" s="1403" t="s">
        <v>263</v>
      </c>
      <c r="C197" s="1403"/>
      <c r="D197" s="537" t="e">
        <f>D192+D194</f>
        <v>#REF!</v>
      </c>
      <c r="E197" s="537" t="e">
        <f>E192+E194</f>
        <v>#REF!</v>
      </c>
      <c r="F197" s="533" t="e">
        <f>F194+F192</f>
        <v>#REF!</v>
      </c>
      <c r="G197" s="1380"/>
    </row>
    <row r="198" spans="2:9" ht="15" thickTop="1" x14ac:dyDescent="0.35">
      <c r="C198" s="67"/>
      <c r="D198" s="67"/>
      <c r="E198" s="67"/>
      <c r="F198" s="67"/>
    </row>
    <row r="199" spans="2:9" x14ac:dyDescent="0.35">
      <c r="C199" s="67"/>
      <c r="D199" s="67"/>
      <c r="E199" s="67"/>
      <c r="F199" s="67"/>
    </row>
    <row r="200" spans="2:9" ht="21" x14ac:dyDescent="0.5">
      <c r="B200" s="1423" t="s">
        <v>178</v>
      </c>
      <c r="C200" s="1424"/>
      <c r="D200" s="1424"/>
      <c r="E200" s="1424"/>
      <c r="F200" s="1424"/>
      <c r="G200" s="1425"/>
    </row>
    <row r="201" spans="2:9" ht="21" x14ac:dyDescent="0.5">
      <c r="B201" s="521"/>
      <c r="C201" s="521"/>
      <c r="D201" s="521"/>
      <c r="E201" s="521"/>
      <c r="F201" s="521"/>
    </row>
    <row r="202" spans="2:9" ht="21" x14ac:dyDescent="0.5">
      <c r="B202" s="530" t="s">
        <v>183</v>
      </c>
      <c r="C202" s="531"/>
      <c r="D202" s="532" t="s">
        <v>184</v>
      </c>
      <c r="E202" s="532" t="s">
        <v>185</v>
      </c>
      <c r="F202" s="532" t="s">
        <v>108</v>
      </c>
      <c r="G202" s="532" t="s">
        <v>157</v>
      </c>
    </row>
    <row r="203" spans="2:9" ht="18.5" x14ac:dyDescent="0.45">
      <c r="B203" s="514"/>
      <c r="C203" s="506"/>
      <c r="D203" s="507"/>
      <c r="E203" s="507"/>
      <c r="F203" s="507"/>
      <c r="G203" s="507"/>
    </row>
    <row r="204" spans="2:9" ht="21" x14ac:dyDescent="0.45">
      <c r="B204" s="506"/>
      <c r="C204" s="627" t="s">
        <v>267</v>
      </c>
      <c r="D204" s="1377" t="e">
        <f>AssetByAsset.Summary!D112*1.1/1000000</f>
        <v>#REF!</v>
      </c>
      <c r="E204" s="1377" t="e">
        <f>AssetByAsset.Summary!E112*1.1/1000000</f>
        <v>#REF!</v>
      </c>
      <c r="F204" s="1380" t="e">
        <f>AssetByAsset.Summary!F112*1.1</f>
        <v>#REF!</v>
      </c>
      <c r="G204" s="1380"/>
    </row>
    <row r="205" spans="2:9" ht="55.5" x14ac:dyDescent="0.45">
      <c r="B205" s="506"/>
      <c r="C205" s="539" t="s">
        <v>268</v>
      </c>
      <c r="D205" s="1377"/>
      <c r="E205" s="1377"/>
      <c r="F205" s="1380"/>
      <c r="G205" s="1380"/>
    </row>
    <row r="206" spans="2:9" ht="21" x14ac:dyDescent="0.5">
      <c r="B206" s="508"/>
      <c r="C206" s="509"/>
      <c r="D206" s="540"/>
      <c r="E206" s="543"/>
      <c r="F206" s="519"/>
      <c r="G206" s="519"/>
    </row>
    <row r="207" spans="2:9" ht="21" x14ac:dyDescent="0.5">
      <c r="B207" s="506"/>
      <c r="C207" s="506"/>
      <c r="D207" s="541"/>
      <c r="E207" s="536"/>
      <c r="F207" s="535"/>
      <c r="G207" s="535"/>
      <c r="I207" s="67" t="s">
        <v>265</v>
      </c>
    </row>
    <row r="208" spans="2:9" ht="21" x14ac:dyDescent="0.45">
      <c r="B208" s="506"/>
      <c r="C208" s="627" t="s">
        <v>269</v>
      </c>
      <c r="D208" s="1377" t="e">
        <f>AssetByAsset.Summary!D114*1.1/1000000</f>
        <v>#REF!</v>
      </c>
      <c r="E208" s="1377" t="e">
        <f>AssetByAsset.Summary!E114*1.1/1000000</f>
        <v>#REF!</v>
      </c>
      <c r="F208" s="1380" t="e">
        <f>AssetByAsset.Summary!F114*1.1</f>
        <v>#REF!</v>
      </c>
      <c r="G208" s="1380"/>
      <c r="I208" s="67" t="s">
        <v>266</v>
      </c>
    </row>
    <row r="209" spans="2:7" ht="37" x14ac:dyDescent="0.45">
      <c r="B209" s="506"/>
      <c r="C209" s="626" t="s">
        <v>270</v>
      </c>
      <c r="D209" s="1377"/>
      <c r="E209" s="1377"/>
      <c r="F209" s="1380"/>
      <c r="G209" s="1380"/>
    </row>
    <row r="210" spans="2:7" ht="21" x14ac:dyDescent="0.5">
      <c r="B210" s="508"/>
      <c r="C210" s="509"/>
      <c r="D210" s="540"/>
      <c r="E210" s="543"/>
      <c r="F210" s="519"/>
      <c r="G210" s="519"/>
    </row>
    <row r="211" spans="2:7" ht="21" x14ac:dyDescent="0.5">
      <c r="B211" s="506"/>
      <c r="C211" s="626"/>
      <c r="D211" s="542"/>
      <c r="E211" s="541"/>
      <c r="F211" s="522"/>
      <c r="G211" s="522"/>
    </row>
    <row r="212" spans="2:7" ht="21" x14ac:dyDescent="0.45">
      <c r="B212" s="506"/>
      <c r="C212" s="627" t="s">
        <v>271</v>
      </c>
      <c r="D212" s="1377" t="e">
        <f>AssetByAsset.Summary!D111/1.1/1000000</f>
        <v>#REF!</v>
      </c>
      <c r="E212" s="1377" t="e">
        <f>AssetByAsset.Summary!E111/1.1/1000000</f>
        <v>#REF!</v>
      </c>
      <c r="F212" s="1380" t="e">
        <f>AssetByAsset.Summary!F111/1.1</f>
        <v>#REF!</v>
      </c>
      <c r="G212" s="1380"/>
    </row>
    <row r="213" spans="2:7" ht="55.5" x14ac:dyDescent="0.45">
      <c r="B213" s="506"/>
      <c r="C213" s="626" t="s">
        <v>272</v>
      </c>
      <c r="D213" s="1377"/>
      <c r="E213" s="1377"/>
      <c r="F213" s="1380"/>
      <c r="G213" s="1380"/>
    </row>
    <row r="214" spans="2:7" ht="21" x14ac:dyDescent="0.5">
      <c r="B214" s="508"/>
      <c r="C214" s="508"/>
      <c r="D214" s="543"/>
      <c r="E214" s="543"/>
      <c r="F214" s="519"/>
      <c r="G214" s="519"/>
    </row>
    <row r="215" spans="2:7" ht="21" x14ac:dyDescent="0.5">
      <c r="B215" s="506"/>
      <c r="C215" s="626"/>
      <c r="D215" s="542"/>
      <c r="E215" s="541"/>
      <c r="F215" s="522"/>
      <c r="G215" s="522"/>
    </row>
    <row r="216" spans="2:7" ht="21" x14ac:dyDescent="0.45">
      <c r="B216" s="506"/>
      <c r="C216" s="627" t="s">
        <v>273</v>
      </c>
      <c r="D216" s="1377" t="e">
        <f>AssetByAsset.Summary!D110*1.1/1000000</f>
        <v>#REF!</v>
      </c>
      <c r="E216" s="1377" t="e">
        <f>AssetByAsset.Summary!E110*1.1/1000000</f>
        <v>#REF!</v>
      </c>
      <c r="F216" s="1380" t="e">
        <f>AssetByAsset.Summary!F110*1.1</f>
        <v>#REF!</v>
      </c>
      <c r="G216" s="1380"/>
    </row>
    <row r="217" spans="2:7" ht="55.5" x14ac:dyDescent="0.45">
      <c r="B217" s="506"/>
      <c r="C217" s="539" t="s">
        <v>274</v>
      </c>
      <c r="D217" s="1377"/>
      <c r="E217" s="1377"/>
      <c r="F217" s="1380"/>
      <c r="G217" s="1380"/>
    </row>
    <row r="218" spans="2:7" ht="21" x14ac:dyDescent="0.5">
      <c r="B218" s="508"/>
      <c r="C218" s="509"/>
      <c r="D218" s="540"/>
      <c r="E218" s="543"/>
      <c r="F218" s="518"/>
      <c r="G218" s="518"/>
    </row>
    <row r="219" spans="2:7" ht="21" x14ac:dyDescent="0.5">
      <c r="B219" s="506"/>
      <c r="C219" s="626"/>
      <c r="D219" s="542"/>
      <c r="E219" s="541"/>
      <c r="F219" s="521"/>
      <c r="G219" s="521"/>
    </row>
    <row r="220" spans="2:7" ht="21" x14ac:dyDescent="0.45">
      <c r="B220" s="506"/>
      <c r="C220" s="627" t="s">
        <v>275</v>
      </c>
      <c r="D220" s="1377" t="e">
        <f>AssetByAsset.Summary!D113*1.1/1000000</f>
        <v>#REF!</v>
      </c>
      <c r="E220" s="1377" t="e">
        <f>AssetByAsset.Summary!E113*1.1/1000000</f>
        <v>#REF!</v>
      </c>
      <c r="F220" s="1380" t="e">
        <f>AssetByAsset.Summary!F113*1.1</f>
        <v>#REF!</v>
      </c>
      <c r="G220" s="1380"/>
    </row>
    <row r="221" spans="2:7" ht="37" x14ac:dyDescent="0.45">
      <c r="B221" s="506"/>
      <c r="C221" s="626" t="s">
        <v>276</v>
      </c>
      <c r="D221" s="1377"/>
      <c r="E221" s="1377"/>
      <c r="F221" s="1380"/>
      <c r="G221" s="1380"/>
    </row>
    <row r="222" spans="2:7" ht="21" x14ac:dyDescent="0.45">
      <c r="B222" s="505"/>
      <c r="C222" s="516"/>
      <c r="D222" s="544"/>
      <c r="E222" s="544"/>
      <c r="F222" s="524"/>
      <c r="G222" s="524"/>
    </row>
    <row r="223" spans="2:7" ht="21" x14ac:dyDescent="0.5">
      <c r="B223" s="1381" t="s">
        <v>277</v>
      </c>
      <c r="C223" s="1381"/>
      <c r="D223" s="536" t="e">
        <f>SUM(SUM(D204:D222))</f>
        <v>#REF!</v>
      </c>
      <c r="E223" s="536" t="e">
        <f>SUM(SUM(E204:E222))</f>
        <v>#REF!</v>
      </c>
      <c r="F223" s="526" t="e">
        <f>SUM(SUM(F204:F222))</f>
        <v>#REF!</v>
      </c>
    </row>
    <row r="224" spans="2:7" ht="21" x14ac:dyDescent="0.5">
      <c r="B224" s="515"/>
      <c r="C224" s="515"/>
      <c r="D224" s="525"/>
      <c r="E224" s="525"/>
      <c r="F224" s="526"/>
    </row>
    <row r="225" spans="2:6" ht="21" x14ac:dyDescent="0.45">
      <c r="B225" s="506"/>
      <c r="C225" s="627" t="s">
        <v>278</v>
      </c>
      <c r="D225" s="1377" t="e">
        <f>AssetByAsset.Summary!E121/1000000*Assumptions!C4</f>
        <v>#REF!</v>
      </c>
      <c r="E225" s="1377" t="e">
        <f>AssetByAsset.Summary!E121/1000000</f>
        <v>#REF!</v>
      </c>
      <c r="F225" s="1380">
        <f>AssetByAsset.Summary!G121</f>
        <v>0</v>
      </c>
    </row>
    <row r="226" spans="2:6" ht="18.5" x14ac:dyDescent="0.45">
      <c r="B226" s="506"/>
      <c r="C226" s="626" t="s">
        <v>325</v>
      </c>
      <c r="D226" s="1377"/>
      <c r="E226" s="1377"/>
      <c r="F226" s="1380"/>
    </row>
    <row r="227" spans="2:6" ht="21" x14ac:dyDescent="0.5">
      <c r="B227" s="505"/>
      <c r="C227" s="505"/>
      <c r="D227" s="545"/>
      <c r="E227" s="545"/>
      <c r="F227" s="531"/>
    </row>
    <row r="228" spans="2:6" ht="21.5" thickBot="1" x14ac:dyDescent="0.55000000000000004">
      <c r="B228" s="1382" t="s">
        <v>281</v>
      </c>
      <c r="C228" s="1382"/>
      <c r="D228" s="537" t="e">
        <f>D223+D225</f>
        <v>#REF!</v>
      </c>
      <c r="E228" s="537" t="e">
        <f>E223+E225</f>
        <v>#REF!</v>
      </c>
      <c r="F228" s="533" t="e">
        <f>F225+F223</f>
        <v>#REF!</v>
      </c>
    </row>
    <row r="229" spans="2:6" s="67" customFormat="1" ht="15" thickTop="1" x14ac:dyDescent="0.35"/>
    <row r="230" spans="2:6" s="67" customFormat="1" x14ac:dyDescent="0.35"/>
    <row r="231" spans="2:6" s="67" customFormat="1" ht="21" x14ac:dyDescent="0.5">
      <c r="D231" s="529"/>
      <c r="E231" s="529"/>
      <c r="F231" s="529"/>
    </row>
    <row r="232" spans="2:6" s="67" customFormat="1" x14ac:dyDescent="0.35"/>
    <row r="233" spans="2:6" s="67" customFormat="1" x14ac:dyDescent="0.35"/>
    <row r="234" spans="2:6" s="67" customFormat="1" x14ac:dyDescent="0.35"/>
    <row r="235" spans="2:6" s="67" customFormat="1" x14ac:dyDescent="0.35"/>
  </sheetData>
  <mergeCells count="189">
    <mergeCell ref="D220:D221"/>
    <mergeCell ref="E220:E221"/>
    <mergeCell ref="G84:G85"/>
    <mergeCell ref="E49:E50"/>
    <mergeCell ref="F49:F50"/>
    <mergeCell ref="E53:E54"/>
    <mergeCell ref="F53:F54"/>
    <mergeCell ref="E57:E58"/>
    <mergeCell ref="F57:F58"/>
    <mergeCell ref="F220:F221"/>
    <mergeCell ref="G220:G221"/>
    <mergeCell ref="E109:E110"/>
    <mergeCell ref="F109:F110"/>
    <mergeCell ref="D100:D101"/>
    <mergeCell ref="E100:E101"/>
    <mergeCell ref="F100:F101"/>
    <mergeCell ref="D104:D105"/>
    <mergeCell ref="E104:E105"/>
    <mergeCell ref="F104:F105"/>
    <mergeCell ref="D119:D120"/>
    <mergeCell ref="D154:D155"/>
    <mergeCell ref="E154:E155"/>
    <mergeCell ref="F154:F155"/>
    <mergeCell ref="D158:D159"/>
    <mergeCell ref="B2:F2"/>
    <mergeCell ref="D49:D50"/>
    <mergeCell ref="D53:D54"/>
    <mergeCell ref="B200:G200"/>
    <mergeCell ref="G204:G205"/>
    <mergeCell ref="G208:G209"/>
    <mergeCell ref="G212:G213"/>
    <mergeCell ref="G216:G217"/>
    <mergeCell ref="G194:G195"/>
    <mergeCell ref="G196:G197"/>
    <mergeCell ref="E212:E213"/>
    <mergeCell ref="F212:F213"/>
    <mergeCell ref="D216:D217"/>
    <mergeCell ref="E216:E217"/>
    <mergeCell ref="F216:F217"/>
    <mergeCell ref="D123:D124"/>
    <mergeCell ref="E123:E124"/>
    <mergeCell ref="B112:C112"/>
    <mergeCell ref="D96:D97"/>
    <mergeCell ref="E96:E97"/>
    <mergeCell ref="F96:F97"/>
    <mergeCell ref="B107:C107"/>
    <mergeCell ref="D109:D110"/>
    <mergeCell ref="E158:E159"/>
    <mergeCell ref="B223:C223"/>
    <mergeCell ref="D225:D226"/>
    <mergeCell ref="E225:E226"/>
    <mergeCell ref="F225:F226"/>
    <mergeCell ref="B228:C228"/>
    <mergeCell ref="D212:D213"/>
    <mergeCell ref="D150:D151"/>
    <mergeCell ref="E150:E151"/>
    <mergeCell ref="F150:F151"/>
    <mergeCell ref="B166:C166"/>
    <mergeCell ref="E173:E174"/>
    <mergeCell ref="F173:F174"/>
    <mergeCell ref="D177:D178"/>
    <mergeCell ref="E177:E178"/>
    <mergeCell ref="F177:F178"/>
    <mergeCell ref="B169:G169"/>
    <mergeCell ref="G173:G174"/>
    <mergeCell ref="G177:G178"/>
    <mergeCell ref="G181:G182"/>
    <mergeCell ref="G185:G186"/>
    <mergeCell ref="G189:G190"/>
    <mergeCell ref="G150:G151"/>
    <mergeCell ref="G154:G155"/>
    <mergeCell ref="G158:G159"/>
    <mergeCell ref="F158:F159"/>
    <mergeCell ref="D173:D174"/>
    <mergeCell ref="G131:G132"/>
    <mergeCell ref="G135:G136"/>
    <mergeCell ref="B146:G146"/>
    <mergeCell ref="D204:D205"/>
    <mergeCell ref="E204:E205"/>
    <mergeCell ref="F204:F205"/>
    <mergeCell ref="E189:E190"/>
    <mergeCell ref="F189:F190"/>
    <mergeCell ref="B143:C143"/>
    <mergeCell ref="D135:D136"/>
    <mergeCell ref="E135:E136"/>
    <mergeCell ref="F135:F136"/>
    <mergeCell ref="B161:C161"/>
    <mergeCell ref="D208:D209"/>
    <mergeCell ref="E208:E209"/>
    <mergeCell ref="F208:F209"/>
    <mergeCell ref="D163:D164"/>
    <mergeCell ref="E163:E164"/>
    <mergeCell ref="F163:F164"/>
    <mergeCell ref="E131:E132"/>
    <mergeCell ref="F131:F132"/>
    <mergeCell ref="B138:C138"/>
    <mergeCell ref="D140:D141"/>
    <mergeCell ref="E140:E141"/>
    <mergeCell ref="F140:F141"/>
    <mergeCell ref="B192:C192"/>
    <mergeCell ref="D194:D195"/>
    <mergeCell ref="E194:E195"/>
    <mergeCell ref="F194:F195"/>
    <mergeCell ref="B197:C197"/>
    <mergeCell ref="D181:D182"/>
    <mergeCell ref="E181:E182"/>
    <mergeCell ref="F181:F182"/>
    <mergeCell ref="D185:D186"/>
    <mergeCell ref="E185:E186"/>
    <mergeCell ref="F185:F186"/>
    <mergeCell ref="D189:D190"/>
    <mergeCell ref="B45:G45"/>
    <mergeCell ref="G49:G50"/>
    <mergeCell ref="G53:G54"/>
    <mergeCell ref="G57:G58"/>
    <mergeCell ref="G61:G62"/>
    <mergeCell ref="G65:G66"/>
    <mergeCell ref="B76:G76"/>
    <mergeCell ref="G80:G81"/>
    <mergeCell ref="E119:E120"/>
    <mergeCell ref="F119:F120"/>
    <mergeCell ref="F80:F81"/>
    <mergeCell ref="D61:D62"/>
    <mergeCell ref="D65:D66"/>
    <mergeCell ref="D70:D71"/>
    <mergeCell ref="B68:C68"/>
    <mergeCell ref="F65:F66"/>
    <mergeCell ref="E70:E71"/>
    <mergeCell ref="F70:F71"/>
    <mergeCell ref="G88:G89"/>
    <mergeCell ref="G92:G93"/>
    <mergeCell ref="F123:F124"/>
    <mergeCell ref="G96:G97"/>
    <mergeCell ref="G100:G101"/>
    <mergeCell ref="G104:G105"/>
    <mergeCell ref="B115:G115"/>
    <mergeCell ref="G119:G120"/>
    <mergeCell ref="G123:G124"/>
    <mergeCell ref="G127:G128"/>
    <mergeCell ref="D57:D58"/>
    <mergeCell ref="B73:C73"/>
    <mergeCell ref="D92:D93"/>
    <mergeCell ref="E92:E93"/>
    <mergeCell ref="F92:F93"/>
    <mergeCell ref="D84:D85"/>
    <mergeCell ref="E84:E85"/>
    <mergeCell ref="F84:F85"/>
    <mergeCell ref="D88:D89"/>
    <mergeCell ref="E88:E89"/>
    <mergeCell ref="F88:F89"/>
    <mergeCell ref="D80:D81"/>
    <mergeCell ref="E61:E62"/>
    <mergeCell ref="F61:F62"/>
    <mergeCell ref="E65:E66"/>
    <mergeCell ref="E80:E81"/>
    <mergeCell ref="D127:D128"/>
    <mergeCell ref="E127:E128"/>
    <mergeCell ref="F127:F128"/>
    <mergeCell ref="D131:D132"/>
    <mergeCell ref="D36:D37"/>
    <mergeCell ref="E36:E37"/>
    <mergeCell ref="F36:F37"/>
    <mergeCell ref="B39:C39"/>
    <mergeCell ref="D6:D7"/>
    <mergeCell ref="D10:D11"/>
    <mergeCell ref="D19:D20"/>
    <mergeCell ref="D23:D24"/>
    <mergeCell ref="D27:D28"/>
    <mergeCell ref="D31:D32"/>
    <mergeCell ref="E31:E32"/>
    <mergeCell ref="F31:F32"/>
    <mergeCell ref="B34:C34"/>
    <mergeCell ref="E6:E7"/>
    <mergeCell ref="F6:F7"/>
    <mergeCell ref="E27:E28"/>
    <mergeCell ref="F27:F28"/>
    <mergeCell ref="E23:E24"/>
    <mergeCell ref="F23:F24"/>
    <mergeCell ref="E10:E11"/>
    <mergeCell ref="G31:G32"/>
    <mergeCell ref="G36:G37"/>
    <mergeCell ref="F10:F11"/>
    <mergeCell ref="E19:E20"/>
    <mergeCell ref="F19:F20"/>
    <mergeCell ref="G6:G7"/>
    <mergeCell ref="G10:G11"/>
    <mergeCell ref="G19:G20"/>
    <mergeCell ref="G23:G24"/>
    <mergeCell ref="G27:G28"/>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V136"/>
  <sheetViews>
    <sheetView zoomScaleNormal="100" zoomScaleSheetLayoutView="85" workbookViewId="0">
      <selection activeCell="G17" sqref="G17"/>
    </sheetView>
  </sheetViews>
  <sheetFormatPr defaultColWidth="9" defaultRowHeight="14.5" outlineLevelRow="1" x14ac:dyDescent="0.35"/>
  <cols>
    <col min="1" max="1" width="4.81640625" style="2" customWidth="1"/>
    <col min="2" max="2" width="98.1796875" style="33" customWidth="1"/>
    <col min="3" max="3" width="25.54296875" style="254" customWidth="1"/>
    <col min="4" max="4" width="24.453125" style="33" customWidth="1"/>
    <col min="5" max="5" width="20.54296875" style="33" customWidth="1"/>
    <col min="6" max="6" width="10.81640625" style="33" customWidth="1"/>
    <col min="7" max="7" width="19.54296875" style="33" customWidth="1"/>
    <col min="8" max="8" width="12.81640625" style="33" hidden="1" customWidth="1"/>
    <col min="9" max="9" width="24.81640625" style="33" customWidth="1"/>
    <col min="10" max="10" width="23.81640625" style="33" customWidth="1"/>
    <col min="11" max="11" width="8" style="33" customWidth="1"/>
    <col min="12" max="16" width="9" style="33"/>
    <col min="17" max="17" width="62.54296875" style="33" customWidth="1"/>
    <col min="18" max="16384" width="9" style="33"/>
  </cols>
  <sheetData>
    <row r="1" spans="1:22" s="2" customFormat="1" x14ac:dyDescent="0.35"/>
    <row r="2" spans="1:22" s="2" customFormat="1" ht="59.25" customHeight="1" x14ac:dyDescent="0.35">
      <c r="B2" s="277" t="s">
        <v>326</v>
      </c>
    </row>
    <row r="3" spans="1:22" s="2" customFormat="1" ht="15" thickBot="1" x14ac:dyDescent="0.4">
      <c r="B3" s="67"/>
    </row>
    <row r="4" spans="1:22" s="24" customFormat="1" ht="15" thickBot="1" x14ac:dyDescent="0.4">
      <c r="B4" s="279" t="s">
        <v>327</v>
      </c>
      <c r="C4" s="280"/>
      <c r="D4" s="281" t="s">
        <v>328</v>
      </c>
      <c r="E4" s="282" t="s">
        <v>108</v>
      </c>
      <c r="R4" s="1434"/>
      <c r="S4" s="1434"/>
      <c r="T4" s="1434"/>
      <c r="U4" s="1434"/>
      <c r="V4" s="1435"/>
    </row>
    <row r="5" spans="1:22" s="115" customFormat="1" ht="15" outlineLevel="1" thickBot="1" x14ac:dyDescent="0.4">
      <c r="A5" s="24"/>
      <c r="B5" s="45" t="s">
        <v>329</v>
      </c>
      <c r="C5" s="278"/>
      <c r="D5" s="43"/>
      <c r="E5" s="44"/>
      <c r="F5" s="24"/>
      <c r="G5" s="24"/>
      <c r="H5" s="24"/>
      <c r="I5" s="24"/>
      <c r="J5" s="24"/>
      <c r="K5" s="24"/>
      <c r="L5" s="24"/>
      <c r="M5" s="24"/>
      <c r="N5" s="24"/>
      <c r="O5" s="24"/>
      <c r="P5" s="24"/>
      <c r="Q5" s="24"/>
      <c r="R5" s="25"/>
      <c r="S5" s="25"/>
      <c r="T5" s="25"/>
      <c r="U5" s="25"/>
      <c r="V5" s="25"/>
    </row>
    <row r="6" spans="1:22" ht="29.5" outlineLevel="1" thickBot="1" x14ac:dyDescent="0.4">
      <c r="B6" s="836" t="s">
        <v>330</v>
      </c>
      <c r="C6" s="256" t="s">
        <v>331</v>
      </c>
      <c r="D6" s="26" t="s">
        <v>332</v>
      </c>
      <c r="E6" s="129" t="s">
        <v>108</v>
      </c>
      <c r="F6" s="2"/>
      <c r="G6" s="2"/>
      <c r="H6" s="2"/>
      <c r="I6" s="2"/>
      <c r="J6" s="2"/>
      <c r="K6" s="2"/>
      <c r="L6" s="2"/>
      <c r="M6" s="2"/>
      <c r="N6" s="2"/>
      <c r="O6" s="2"/>
      <c r="P6" s="2"/>
      <c r="Q6" s="2"/>
      <c r="R6" s="2"/>
      <c r="S6" s="2"/>
      <c r="T6" s="2"/>
      <c r="U6" s="2"/>
      <c r="V6" s="2"/>
    </row>
    <row r="7" spans="1:22" outlineLevel="1" x14ac:dyDescent="0.35">
      <c r="B7" s="271" t="s">
        <v>333</v>
      </c>
      <c r="C7" s="316" t="e">
        <f>((I57+I58+I59)*1.1)/1000000000</f>
        <v>#REF!</v>
      </c>
      <c r="D7" s="317" t="e">
        <f>C7/Assumptions!$C$4</f>
        <v>#REF!</v>
      </c>
      <c r="E7" s="130" t="e">
        <f>D7/Assumptions!$C$3</f>
        <v>#REF!</v>
      </c>
      <c r="F7" s="2"/>
      <c r="G7" s="2"/>
      <c r="H7" s="2"/>
      <c r="I7" s="2"/>
      <c r="J7" s="2"/>
      <c r="K7" s="2"/>
      <c r="L7" s="2"/>
      <c r="M7" s="2"/>
      <c r="N7" s="2"/>
      <c r="O7" s="2"/>
      <c r="P7" s="2"/>
      <c r="Q7" s="2"/>
      <c r="R7" s="2"/>
      <c r="S7" s="2"/>
      <c r="T7" s="2"/>
      <c r="U7" s="2"/>
      <c r="V7" s="2"/>
    </row>
    <row r="8" spans="1:22" ht="14.25" customHeight="1" outlineLevel="1" x14ac:dyDescent="0.35">
      <c r="B8" s="271" t="s">
        <v>334</v>
      </c>
      <c r="C8" s="316" t="e">
        <f>((I60+I61+I62+I63)*1.1)/1000000000</f>
        <v>#REF!</v>
      </c>
      <c r="D8" s="317" t="e">
        <f>C8/Assumptions!$C$4</f>
        <v>#REF!</v>
      </c>
      <c r="E8" s="130" t="e">
        <f>D8/Assumptions!$C$3</f>
        <v>#REF!</v>
      </c>
      <c r="F8" s="2"/>
      <c r="G8" s="2"/>
      <c r="H8" s="2"/>
      <c r="I8" s="2"/>
      <c r="J8" s="2"/>
      <c r="K8" s="2"/>
      <c r="L8" s="2"/>
      <c r="M8" s="2"/>
      <c r="N8" s="2"/>
      <c r="O8" s="2"/>
      <c r="P8" s="2"/>
      <c r="Q8" s="2"/>
      <c r="R8" s="2"/>
      <c r="S8" s="2"/>
      <c r="T8" s="2"/>
      <c r="U8" s="2"/>
      <c r="V8" s="2"/>
    </row>
    <row r="9" spans="1:22" outlineLevel="1" x14ac:dyDescent="0.35">
      <c r="B9" s="272" t="s">
        <v>335</v>
      </c>
      <c r="C9" s="257">
        <f>I47/1000000000</f>
        <v>67.078019167059992</v>
      </c>
      <c r="D9" s="318">
        <f>C9/Assumptions!$C$4</f>
        <v>2.2359339722353329</v>
      </c>
      <c r="E9" s="131">
        <f>D9/Assumptions!$C$3</f>
        <v>9.2900696868677618E-13</v>
      </c>
      <c r="F9" s="2"/>
      <c r="G9" s="2"/>
      <c r="H9" s="2"/>
      <c r="I9" s="2"/>
      <c r="J9" s="2"/>
      <c r="K9" s="2"/>
      <c r="L9" s="2"/>
      <c r="M9" s="2"/>
      <c r="N9" s="2"/>
      <c r="O9" s="2"/>
      <c r="P9" s="2"/>
      <c r="Q9" s="2"/>
      <c r="R9" s="2"/>
      <c r="S9" s="2"/>
      <c r="T9" s="2"/>
      <c r="U9" s="2"/>
      <c r="V9" s="2"/>
    </row>
    <row r="10" spans="1:22" outlineLevel="1" x14ac:dyDescent="0.35">
      <c r="B10" s="270" t="s">
        <v>336</v>
      </c>
      <c r="C10" s="258">
        <v>0</v>
      </c>
      <c r="D10" s="29">
        <f>C10/Assumptions!$C$4</f>
        <v>0</v>
      </c>
      <c r="E10" s="130">
        <f>D10/Assumptions!$C$3</f>
        <v>0</v>
      </c>
      <c r="F10" s="2"/>
      <c r="G10" s="2"/>
      <c r="H10" s="2"/>
      <c r="I10" s="2"/>
      <c r="J10" s="2"/>
      <c r="K10" s="2"/>
      <c r="L10" s="2"/>
      <c r="M10" s="2"/>
      <c r="N10" s="2"/>
      <c r="O10" s="2"/>
      <c r="P10" s="2"/>
      <c r="Q10" s="2"/>
      <c r="R10" s="2"/>
      <c r="S10" s="2"/>
      <c r="T10" s="2"/>
      <c r="U10" s="2"/>
      <c r="V10" s="2"/>
    </row>
    <row r="11" spans="1:22" outlineLevel="1" x14ac:dyDescent="0.35">
      <c r="B11" s="270" t="s">
        <v>337</v>
      </c>
      <c r="C11" s="258">
        <v>0</v>
      </c>
      <c r="D11" s="29">
        <f>C11/Assumptions!$C$4</f>
        <v>0</v>
      </c>
      <c r="E11" s="130">
        <f>D11/Assumptions!$C$3</f>
        <v>0</v>
      </c>
      <c r="F11" s="2"/>
      <c r="G11" s="2"/>
      <c r="H11" s="2"/>
      <c r="I11" s="2"/>
      <c r="J11" s="2"/>
      <c r="K11" s="2"/>
      <c r="L11" s="2"/>
      <c r="M11" s="2"/>
      <c r="N11" s="2"/>
      <c r="O11" s="2"/>
      <c r="P11" s="2"/>
      <c r="Q11" s="2"/>
      <c r="R11" s="2"/>
      <c r="S11" s="2"/>
      <c r="T11" s="2"/>
      <c r="U11" s="2"/>
      <c r="V11" s="2"/>
    </row>
    <row r="12" spans="1:22" outlineLevel="1" x14ac:dyDescent="0.35">
      <c r="B12" s="270" t="s">
        <v>338</v>
      </c>
      <c r="C12" s="258">
        <v>0</v>
      </c>
      <c r="D12" s="29">
        <f>C12/Assumptions!$C$4</f>
        <v>0</v>
      </c>
      <c r="E12" s="130">
        <f>D12/Assumptions!$C$3</f>
        <v>0</v>
      </c>
      <c r="F12" s="2"/>
      <c r="G12" s="2"/>
      <c r="H12" s="2"/>
      <c r="I12" s="2"/>
      <c r="J12" s="2"/>
      <c r="K12" s="2"/>
      <c r="L12" s="2"/>
      <c r="M12" s="2"/>
      <c r="N12" s="2"/>
      <c r="O12" s="2"/>
      <c r="P12" s="2"/>
      <c r="Q12" s="2"/>
      <c r="R12" s="2"/>
      <c r="S12" s="2"/>
      <c r="T12" s="2"/>
      <c r="U12" s="2"/>
      <c r="V12" s="2"/>
    </row>
    <row r="13" spans="1:22" ht="15" outlineLevel="1" thickBot="1" x14ac:dyDescent="0.4">
      <c r="B13" s="270" t="s">
        <v>339</v>
      </c>
      <c r="C13" s="258">
        <f>I89/1000000000</f>
        <v>13.162190928517454</v>
      </c>
      <c r="D13" s="317">
        <f>C13/Assumptions!$C$4</f>
        <v>0.43873969761724846</v>
      </c>
      <c r="E13" s="130">
        <f>D13/Assumptions!$C$3</f>
        <v>1.8229171415042732E-13</v>
      </c>
      <c r="F13" s="2"/>
      <c r="G13" s="2"/>
      <c r="H13" s="2"/>
      <c r="I13" s="2"/>
      <c r="J13" s="2"/>
      <c r="K13" s="2"/>
      <c r="L13" s="2"/>
      <c r="M13" s="2"/>
      <c r="N13" s="2"/>
      <c r="O13" s="2"/>
      <c r="P13" s="2"/>
      <c r="Q13" s="2"/>
      <c r="R13" s="2"/>
      <c r="S13" s="2"/>
      <c r="T13" s="2"/>
      <c r="U13" s="2"/>
      <c r="V13" s="2"/>
    </row>
    <row r="14" spans="1:22" ht="15" outlineLevel="1" thickBot="1" x14ac:dyDescent="0.4">
      <c r="B14" s="834" t="s">
        <v>0</v>
      </c>
      <c r="C14" s="274" t="e">
        <f>SUM(C7:C13)</f>
        <v>#REF!</v>
      </c>
      <c r="D14" s="275" t="e">
        <f>SUM(D7:D13)</f>
        <v>#REF!</v>
      </c>
      <c r="E14" s="276" t="e">
        <f>SUM(E7:E13)</f>
        <v>#REF!</v>
      </c>
      <c r="F14" s="2"/>
      <c r="G14" s="2"/>
      <c r="H14" s="2"/>
      <c r="I14" s="2"/>
      <c r="J14" s="2"/>
      <c r="K14" s="2"/>
      <c r="L14" s="2"/>
      <c r="M14" s="2"/>
      <c r="N14" s="2"/>
      <c r="O14" s="2"/>
      <c r="P14" s="2"/>
      <c r="Q14" s="2"/>
      <c r="R14" s="2"/>
      <c r="S14" s="2"/>
      <c r="T14" s="2"/>
      <c r="U14" s="2"/>
      <c r="V14" s="2"/>
    </row>
    <row r="15" spans="1:22" ht="15" outlineLevel="1" thickBot="1" x14ac:dyDescent="0.4">
      <c r="B15" s="45" t="s">
        <v>340</v>
      </c>
      <c r="C15" s="255"/>
      <c r="D15" s="43"/>
      <c r="E15" s="44"/>
      <c r="F15" s="2"/>
      <c r="G15" s="2"/>
      <c r="H15" s="2"/>
      <c r="I15" s="2"/>
      <c r="J15" s="2"/>
      <c r="K15" s="2"/>
      <c r="L15" s="2"/>
      <c r="M15" s="2"/>
      <c r="N15" s="2"/>
      <c r="O15" s="2"/>
      <c r="P15" s="2"/>
      <c r="Q15" s="2"/>
      <c r="R15" s="2"/>
      <c r="S15" s="2"/>
      <c r="T15" s="2"/>
      <c r="U15" s="2"/>
      <c r="V15" s="2"/>
    </row>
    <row r="16" spans="1:22" ht="15" outlineLevel="1" thickBot="1" x14ac:dyDescent="0.4">
      <c r="B16" s="1436" t="s">
        <v>330</v>
      </c>
      <c r="C16" s="1437"/>
      <c r="D16" s="26" t="s">
        <v>332</v>
      </c>
      <c r="E16" s="27" t="s">
        <v>108</v>
      </c>
      <c r="F16" s="2"/>
      <c r="G16" s="2"/>
      <c r="H16" s="2"/>
      <c r="I16" s="2"/>
      <c r="J16" s="2"/>
      <c r="K16" s="2"/>
      <c r="L16" s="2"/>
      <c r="M16" s="2"/>
      <c r="N16" s="2"/>
      <c r="O16" s="2"/>
      <c r="P16" s="2"/>
      <c r="Q16" s="2"/>
      <c r="R16" s="2"/>
      <c r="S16" s="2"/>
      <c r="T16" s="2"/>
      <c r="U16" s="2"/>
      <c r="V16" s="2"/>
    </row>
    <row r="17" spans="1:22" ht="15" outlineLevel="1" thickBot="1" x14ac:dyDescent="0.4">
      <c r="B17" s="319" t="s">
        <v>333</v>
      </c>
      <c r="C17" s="322" t="e">
        <f>D7</f>
        <v>#REF!</v>
      </c>
      <c r="D17" s="317">
        <f>(J69+J70+J71+J72+J73)/1000000000</f>
        <v>0</v>
      </c>
      <c r="E17" s="268">
        <f>D17/Assumptions!$C$3</f>
        <v>0</v>
      </c>
      <c r="F17" s="2"/>
      <c r="G17" s="2"/>
      <c r="H17" s="2"/>
      <c r="I17" s="2"/>
      <c r="J17" s="2"/>
      <c r="K17" s="2"/>
      <c r="L17" s="2"/>
      <c r="M17" s="2"/>
      <c r="N17" s="2"/>
      <c r="O17" s="2"/>
      <c r="P17" s="2"/>
      <c r="Q17" s="2"/>
      <c r="R17" s="2"/>
      <c r="S17" s="2"/>
      <c r="T17" s="2"/>
      <c r="U17" s="2"/>
      <c r="V17" s="2"/>
    </row>
    <row r="18" spans="1:22" ht="15" outlineLevel="1" thickBot="1" x14ac:dyDescent="0.4">
      <c r="B18" s="320" t="s">
        <v>341</v>
      </c>
      <c r="C18" s="322" t="e">
        <f t="shared" ref="C18:C23" si="0">D8</f>
        <v>#REF!</v>
      </c>
      <c r="D18" s="317">
        <f>(J68+J69)/1000000000</f>
        <v>7.3190749239999998E-3</v>
      </c>
      <c r="E18" s="268">
        <f>D18/Assumptions!$C$3</f>
        <v>3.040998389562905E-15</v>
      </c>
      <c r="F18" s="2"/>
      <c r="G18" s="2"/>
      <c r="H18" s="2"/>
      <c r="I18" s="2"/>
      <c r="J18" s="2"/>
      <c r="K18" s="2"/>
      <c r="L18" s="2"/>
      <c r="M18" s="2"/>
      <c r="N18" s="2"/>
      <c r="O18" s="2"/>
      <c r="P18" s="2"/>
      <c r="Q18" s="2"/>
      <c r="R18" s="2"/>
      <c r="S18" s="2"/>
      <c r="T18" s="2"/>
      <c r="U18" s="2"/>
      <c r="V18" s="2"/>
    </row>
    <row r="19" spans="1:22" ht="15" outlineLevel="1" thickBot="1" x14ac:dyDescent="0.4">
      <c r="B19" s="320" t="s">
        <v>342</v>
      </c>
      <c r="C19" s="322">
        <f t="shared" si="0"/>
        <v>2.2359339722353329</v>
      </c>
      <c r="D19" s="317">
        <f>J52/1000000000</f>
        <v>0.88139537484999986</v>
      </c>
      <c r="E19" s="268">
        <f>D19/Assumptions!$C$3</f>
        <v>3.6621047650407172E-13</v>
      </c>
      <c r="F19" s="2"/>
      <c r="G19" s="2"/>
      <c r="H19" s="2"/>
      <c r="I19" s="2"/>
      <c r="J19" s="2"/>
      <c r="K19" s="2"/>
      <c r="L19" s="2"/>
      <c r="M19" s="2"/>
      <c r="N19" s="2"/>
      <c r="O19" s="2"/>
      <c r="P19" s="2"/>
      <c r="Q19" s="2"/>
      <c r="R19" s="2"/>
      <c r="S19" s="2"/>
      <c r="T19" s="2"/>
      <c r="U19" s="2"/>
      <c r="V19" s="2"/>
    </row>
    <row r="20" spans="1:22" ht="15" outlineLevel="1" thickBot="1" x14ac:dyDescent="0.4">
      <c r="B20" s="320" t="s">
        <v>336</v>
      </c>
      <c r="C20" s="322">
        <f t="shared" si="0"/>
        <v>0</v>
      </c>
      <c r="D20" s="29">
        <f>C20/Assumptions!$C$4</f>
        <v>0</v>
      </c>
      <c r="E20" s="268">
        <f>D20/Assumptions!$C$3</f>
        <v>0</v>
      </c>
      <c r="F20" s="2"/>
      <c r="G20" s="2"/>
      <c r="H20" s="2"/>
      <c r="I20" s="2"/>
      <c r="J20" s="2"/>
      <c r="K20" s="2"/>
      <c r="L20" s="2"/>
      <c r="M20" s="2"/>
      <c r="N20" s="2"/>
      <c r="O20" s="2"/>
      <c r="P20" s="2"/>
      <c r="Q20" s="2"/>
      <c r="R20" s="2"/>
      <c r="S20" s="2"/>
      <c r="T20" s="2"/>
      <c r="U20" s="2"/>
      <c r="V20" s="2"/>
    </row>
    <row r="21" spans="1:22" ht="15" outlineLevel="1" thickBot="1" x14ac:dyDescent="0.4">
      <c r="B21" s="320" t="s">
        <v>337</v>
      </c>
      <c r="C21" s="322">
        <f t="shared" si="0"/>
        <v>0</v>
      </c>
      <c r="D21" s="29">
        <f>C21/Assumptions!$C$4</f>
        <v>0</v>
      </c>
      <c r="E21" s="268">
        <f>D21/Assumptions!$C$3</f>
        <v>0</v>
      </c>
      <c r="F21" s="2"/>
      <c r="G21" s="2"/>
      <c r="H21" s="2"/>
      <c r="I21" s="2"/>
      <c r="J21" s="2"/>
      <c r="K21" s="2"/>
      <c r="L21" s="2"/>
      <c r="M21" s="2"/>
      <c r="N21" s="2"/>
      <c r="O21" s="2"/>
      <c r="P21" s="2"/>
      <c r="Q21" s="2"/>
      <c r="R21" s="2"/>
      <c r="S21" s="2"/>
      <c r="T21" s="2"/>
      <c r="U21" s="2"/>
      <c r="V21" s="2"/>
    </row>
    <row r="22" spans="1:22" ht="15" outlineLevel="1" thickBot="1" x14ac:dyDescent="0.4">
      <c r="B22" s="270" t="s">
        <v>338</v>
      </c>
      <c r="C22" s="322">
        <f t="shared" si="0"/>
        <v>0</v>
      </c>
      <c r="D22" s="29">
        <v>0</v>
      </c>
      <c r="E22" s="268">
        <f>D22/Assumptions!$C$3</f>
        <v>0</v>
      </c>
      <c r="F22" s="2"/>
      <c r="G22" s="2"/>
      <c r="H22" s="2"/>
      <c r="I22" s="2"/>
      <c r="J22" s="2"/>
      <c r="K22" s="2"/>
      <c r="L22" s="2"/>
      <c r="M22" s="2"/>
      <c r="N22" s="2"/>
      <c r="O22" s="2"/>
      <c r="P22" s="2"/>
      <c r="Q22" s="2"/>
      <c r="R22" s="2"/>
      <c r="S22" s="2"/>
      <c r="T22" s="2"/>
      <c r="U22" s="2"/>
      <c r="V22" s="2"/>
    </row>
    <row r="23" spans="1:22" ht="15" outlineLevel="1" thickBot="1" x14ac:dyDescent="0.4">
      <c r="B23" s="321" t="s">
        <v>339</v>
      </c>
      <c r="C23" s="322">
        <f t="shared" si="0"/>
        <v>0.43873969761724846</v>
      </c>
      <c r="D23" s="317">
        <f>J97/1000000000</f>
        <v>0.73069300000000004</v>
      </c>
      <c r="E23" s="268">
        <f>D23/Assumptions!$C$3</f>
        <v>3.0359523018115341E-13</v>
      </c>
      <c r="F23" s="2"/>
      <c r="G23" s="2"/>
      <c r="H23" s="2"/>
      <c r="I23" s="2"/>
      <c r="J23" s="2"/>
      <c r="K23" s="2"/>
      <c r="L23" s="2"/>
      <c r="M23" s="2"/>
      <c r="N23" s="2"/>
      <c r="O23" s="2"/>
      <c r="P23" s="2"/>
      <c r="Q23" s="2"/>
      <c r="R23" s="2"/>
      <c r="S23" s="2"/>
      <c r="T23" s="2"/>
      <c r="U23" s="2"/>
      <c r="V23" s="2"/>
    </row>
    <row r="24" spans="1:22" ht="15" outlineLevel="1" thickBot="1" x14ac:dyDescent="0.4">
      <c r="B24" s="1426" t="s">
        <v>0</v>
      </c>
      <c r="C24" s="1427"/>
      <c r="D24" s="275">
        <f>SUM(SUM(D17:D23))</f>
        <v>1.6194074497739999</v>
      </c>
      <c r="E24" s="276">
        <f>SUM(SUM(E17:E23))</f>
        <v>6.7284670507478801E-13</v>
      </c>
      <c r="F24" s="2"/>
      <c r="G24" s="2"/>
      <c r="H24" s="2"/>
      <c r="I24" s="2"/>
      <c r="J24" s="2"/>
      <c r="K24" s="2"/>
      <c r="L24" s="2"/>
      <c r="M24" s="2"/>
      <c r="N24" s="2"/>
      <c r="O24" s="2"/>
      <c r="P24" s="2"/>
      <c r="Q24" s="2"/>
      <c r="R24" s="2"/>
      <c r="S24" s="2"/>
      <c r="T24" s="2"/>
      <c r="U24" s="2"/>
      <c r="V24" s="2"/>
    </row>
    <row r="25" spans="1:22" ht="15" thickBot="1" x14ac:dyDescent="0.4">
      <c r="B25" s="269" t="s">
        <v>343</v>
      </c>
      <c r="C25" s="273"/>
      <c r="D25" s="284" t="e">
        <f>D14+D24</f>
        <v>#REF!</v>
      </c>
      <c r="E25" s="283" t="e">
        <f>E14+E24</f>
        <v>#REF!</v>
      </c>
      <c r="F25" s="2"/>
      <c r="G25" s="2"/>
      <c r="H25" s="2"/>
      <c r="I25" s="2"/>
      <c r="J25" s="2"/>
      <c r="K25" s="2"/>
      <c r="L25" s="2"/>
      <c r="M25" s="2"/>
      <c r="N25" s="2"/>
      <c r="O25" s="2"/>
      <c r="P25" s="2"/>
      <c r="Q25" s="2"/>
      <c r="R25" s="2"/>
      <c r="S25" s="2"/>
      <c r="T25" s="2"/>
      <c r="U25" s="2"/>
      <c r="V25" s="2"/>
    </row>
    <row r="26" spans="1:22" ht="15" thickBot="1" x14ac:dyDescent="0.4">
      <c r="B26" s="30"/>
      <c r="C26" s="259"/>
      <c r="D26" s="31"/>
      <c r="E26" s="32"/>
      <c r="F26" s="2"/>
      <c r="G26" s="2"/>
      <c r="H26" s="2"/>
      <c r="I26" s="2"/>
      <c r="J26" s="2"/>
      <c r="K26" s="2"/>
      <c r="L26" s="2"/>
      <c r="M26" s="2"/>
      <c r="N26" s="2"/>
      <c r="O26" s="2"/>
      <c r="P26" s="2"/>
      <c r="Q26" s="2"/>
      <c r="R26" s="2"/>
      <c r="S26" s="2"/>
      <c r="T26" s="2"/>
      <c r="U26" s="2"/>
      <c r="V26" s="2"/>
    </row>
    <row r="27" spans="1:22" s="116" customFormat="1" ht="15" collapsed="1" thickBot="1" x14ac:dyDescent="0.4">
      <c r="A27" s="314"/>
      <c r="B27" s="111" t="s">
        <v>136</v>
      </c>
      <c r="C27" s="260"/>
      <c r="D27" s="112"/>
      <c r="E27" s="112"/>
      <c r="F27" s="112"/>
      <c r="G27" s="112"/>
      <c r="H27" s="112"/>
      <c r="I27" s="112"/>
      <c r="J27" s="112"/>
      <c r="K27" s="112"/>
      <c r="L27" s="112"/>
      <c r="M27" s="112"/>
      <c r="N27" s="112"/>
      <c r="O27" s="112"/>
      <c r="P27" s="112"/>
      <c r="Q27" s="112"/>
      <c r="R27" s="1428"/>
      <c r="S27" s="1428"/>
      <c r="T27" s="1428"/>
      <c r="U27" s="1428"/>
      <c r="V27" s="1429"/>
    </row>
    <row r="28" spans="1:22" ht="15" customHeight="1" outlineLevel="1" x14ac:dyDescent="0.35">
      <c r="B28" s="244"/>
      <c r="C28" s="835" t="s">
        <v>137</v>
      </c>
      <c r="D28" s="835" t="s">
        <v>123</v>
      </c>
      <c r="E28" s="835" t="s">
        <v>124</v>
      </c>
      <c r="F28" s="835" t="s">
        <v>125</v>
      </c>
      <c r="G28" s="835" t="s">
        <v>126</v>
      </c>
      <c r="H28" s="835" t="s">
        <v>127</v>
      </c>
      <c r="I28" s="835" t="s">
        <v>344</v>
      </c>
      <c r="J28" s="835" t="s">
        <v>345</v>
      </c>
      <c r="K28" s="835" t="s">
        <v>108</v>
      </c>
      <c r="L28" s="1430" t="s">
        <v>346</v>
      </c>
      <c r="M28" s="1430"/>
      <c r="N28" s="1430"/>
      <c r="O28" s="1430"/>
      <c r="P28" s="1430"/>
      <c r="Q28" s="1430"/>
      <c r="R28" s="835" t="s">
        <v>347</v>
      </c>
      <c r="S28" s="835" t="s">
        <v>348</v>
      </c>
      <c r="T28" s="835" t="s">
        <v>349</v>
      </c>
      <c r="U28" s="835" t="s">
        <v>350</v>
      </c>
      <c r="V28" s="62" t="s">
        <v>351</v>
      </c>
    </row>
    <row r="29" spans="1:22" outlineLevel="1" x14ac:dyDescent="0.35">
      <c r="B29" s="1431" t="s">
        <v>352</v>
      </c>
      <c r="C29" s="1432"/>
      <c r="D29" s="1432"/>
      <c r="E29" s="1432"/>
      <c r="F29" s="1432"/>
      <c r="G29" s="1432"/>
      <c r="H29" s="1432"/>
      <c r="I29" s="1432"/>
      <c r="J29" s="1432"/>
      <c r="K29" s="1432"/>
      <c r="L29" s="1432"/>
      <c r="M29" s="1432"/>
      <c r="N29" s="1432"/>
      <c r="O29" s="1432"/>
      <c r="P29" s="1432"/>
      <c r="Q29" s="1432"/>
      <c r="R29" s="1432"/>
      <c r="S29" s="1432"/>
      <c r="T29" s="1432"/>
      <c r="U29" s="1432"/>
      <c r="V29" s="1433"/>
    </row>
    <row r="30" spans="1:22" s="2" customFormat="1" ht="15" customHeight="1" outlineLevel="1" x14ac:dyDescent="0.35">
      <c r="B30" s="66" t="s">
        <v>353</v>
      </c>
      <c r="C30" s="46">
        <v>1</v>
      </c>
      <c r="D30" s="48" t="s">
        <v>131</v>
      </c>
      <c r="E30" s="50">
        <v>85905601.567398801</v>
      </c>
      <c r="F30" s="96">
        <v>2014</v>
      </c>
      <c r="G30" s="51">
        <f>C30*E30</f>
        <v>85905601.567398801</v>
      </c>
      <c r="H30" s="121" t="s">
        <v>138</v>
      </c>
      <c r="I30" s="51">
        <v>88314927</v>
      </c>
      <c r="J30" s="55">
        <f>I30/Assumptions!$C$4</f>
        <v>2943830.9</v>
      </c>
      <c r="K30" s="164">
        <f>J30/Assumptions!$C$3</f>
        <v>1.2231306714309456E-6</v>
      </c>
      <c r="L30" s="1438" t="s">
        <v>354</v>
      </c>
      <c r="M30" s="1439"/>
      <c r="N30" s="1439"/>
      <c r="O30" s="1439"/>
      <c r="P30" s="1439"/>
      <c r="Q30" s="1440"/>
      <c r="R30" s="122"/>
      <c r="S30" s="122"/>
      <c r="T30" s="122"/>
      <c r="U30" s="122"/>
      <c r="V30" s="123"/>
    </row>
    <row r="31" spans="1:22" ht="15" customHeight="1" outlineLevel="1" x14ac:dyDescent="0.35">
      <c r="B31" s="66" t="s">
        <v>355</v>
      </c>
      <c r="C31" s="200">
        <v>1</v>
      </c>
      <c r="D31" s="48" t="s">
        <v>131</v>
      </c>
      <c r="E31" s="50">
        <v>673991685.14615273</v>
      </c>
      <c r="F31" s="53">
        <v>2014</v>
      </c>
      <c r="G31" s="51">
        <f>C31*E31</f>
        <v>673991685.14615273</v>
      </c>
      <c r="H31" s="121" t="s">
        <v>138</v>
      </c>
      <c r="I31" s="51">
        <v>692894586.37</v>
      </c>
      <c r="J31" s="55">
        <f>I31/Assumptions!$C$4</f>
        <v>23096486.212333333</v>
      </c>
      <c r="K31" s="164">
        <f>J31/Assumptions!$C$3</f>
        <v>9.5963462740291386E-6</v>
      </c>
      <c r="L31" s="1438" t="s">
        <v>356</v>
      </c>
      <c r="M31" s="1439"/>
      <c r="N31" s="1439"/>
      <c r="O31" s="1439"/>
      <c r="P31" s="1439"/>
      <c r="Q31" s="1440"/>
      <c r="R31" s="35"/>
      <c r="S31" s="35"/>
      <c r="T31" s="35"/>
      <c r="U31" s="35"/>
      <c r="V31" s="64"/>
    </row>
    <row r="32" spans="1:22" ht="14.25" customHeight="1" outlineLevel="1" x14ac:dyDescent="0.35">
      <c r="B32" s="66" t="s">
        <v>357</v>
      </c>
      <c r="C32" s="200">
        <v>1</v>
      </c>
      <c r="D32" s="48" t="s">
        <v>131</v>
      </c>
      <c r="E32" s="50">
        <v>8725194919.4957409</v>
      </c>
      <c r="F32" s="53">
        <v>2015</v>
      </c>
      <c r="G32" s="51">
        <f>C32*E32</f>
        <v>8725194919.4957409</v>
      </c>
      <c r="H32" s="121">
        <v>15</v>
      </c>
      <c r="I32" s="51">
        <v>8836614868.0499992</v>
      </c>
      <c r="J32" s="55">
        <f>I32/Assumptions!$C$4</f>
        <v>294553828.935</v>
      </c>
      <c r="K32" s="164">
        <f>J32/Assumptions!$C$3</f>
        <v>1.2238400736870535E-4</v>
      </c>
      <c r="L32" s="1438" t="s">
        <v>358</v>
      </c>
      <c r="M32" s="1439"/>
      <c r="N32" s="1439"/>
      <c r="O32" s="1439"/>
      <c r="P32" s="1439"/>
      <c r="Q32" s="1440"/>
      <c r="R32" s="34"/>
      <c r="S32" s="36"/>
      <c r="T32" s="36"/>
      <c r="U32" s="36"/>
      <c r="V32" s="63"/>
    </row>
    <row r="33" spans="1:22" ht="15" customHeight="1" outlineLevel="1" x14ac:dyDescent="0.35">
      <c r="B33" s="66" t="s">
        <v>359</v>
      </c>
      <c r="C33" s="200">
        <f>C32</f>
        <v>1</v>
      </c>
      <c r="D33" s="48" t="s">
        <v>131</v>
      </c>
      <c r="E33" s="50">
        <v>1300926235.839684</v>
      </c>
      <c r="F33" s="53">
        <v>2015</v>
      </c>
      <c r="G33" s="51">
        <f>C33*E33</f>
        <v>1300926235.839684</v>
      </c>
      <c r="H33" s="121" t="s">
        <v>138</v>
      </c>
      <c r="I33" s="51">
        <v>1317538946.23</v>
      </c>
      <c r="J33" s="55">
        <f>I33/Assumptions!$C$4</f>
        <v>43917964.874333337</v>
      </c>
      <c r="K33" s="164">
        <f>J33/Assumptions!$C$3</f>
        <v>1.8247450920032131E-5</v>
      </c>
      <c r="L33" s="1438" t="s">
        <v>360</v>
      </c>
      <c r="M33" s="1439"/>
      <c r="N33" s="1439"/>
      <c r="O33" s="1439"/>
      <c r="P33" s="1439"/>
      <c r="Q33" s="1440"/>
      <c r="R33" s="35"/>
      <c r="S33" s="35"/>
      <c r="T33" s="35"/>
      <c r="U33" s="35"/>
      <c r="V33" s="64"/>
    </row>
    <row r="34" spans="1:22" ht="15" customHeight="1" outlineLevel="1" x14ac:dyDescent="0.35">
      <c r="B34" s="245" t="s">
        <v>361</v>
      </c>
      <c r="C34" s="200">
        <v>1</v>
      </c>
      <c r="D34" s="48" t="s">
        <v>131</v>
      </c>
      <c r="E34" s="50">
        <v>4683334449.0228624</v>
      </c>
      <c r="F34" s="53">
        <v>2015</v>
      </c>
      <c r="G34" s="51">
        <f>C34*E34</f>
        <v>4683334449.0228624</v>
      </c>
      <c r="H34" s="121"/>
      <c r="I34" s="51">
        <v>4743140205.8400002</v>
      </c>
      <c r="J34" s="55">
        <f>I34/Assumptions!$C$4</f>
        <v>158104673.528</v>
      </c>
      <c r="K34" s="164">
        <f>J34/Assumptions!$C$3</f>
        <v>6.5690823303972079E-5</v>
      </c>
      <c r="L34" s="1438" t="s">
        <v>360</v>
      </c>
      <c r="M34" s="1439"/>
      <c r="N34" s="1439"/>
      <c r="O34" s="1439"/>
      <c r="P34" s="1439"/>
      <c r="Q34" s="1440"/>
      <c r="R34" s="35"/>
      <c r="S34" s="35"/>
      <c r="T34" s="35"/>
      <c r="U34" s="35"/>
      <c r="V34" s="64"/>
    </row>
    <row r="35" spans="1:22" ht="15" customHeight="1" outlineLevel="1" x14ac:dyDescent="0.35">
      <c r="B35" s="66" t="s">
        <v>362</v>
      </c>
      <c r="C35" s="46">
        <v>13891.599999999999</v>
      </c>
      <c r="D35" s="48" t="s">
        <v>140</v>
      </c>
      <c r="E35" s="51">
        <v>100000</v>
      </c>
      <c r="F35" s="53">
        <v>2000</v>
      </c>
      <c r="G35" s="51">
        <f t="shared" ref="G35:I40" si="1">C35*E35</f>
        <v>1389159999.9999998</v>
      </c>
      <c r="H35" s="121">
        <v>30</v>
      </c>
      <c r="I35" s="51">
        <v>2119452927.5999999</v>
      </c>
      <c r="J35" s="55">
        <f>I35/Assumptions!$C$4</f>
        <v>70648430.920000002</v>
      </c>
      <c r="K35" s="164">
        <f>J35/Assumptions!$C$3</f>
        <v>2.935367746385242E-5</v>
      </c>
      <c r="L35" s="1438" t="s">
        <v>363</v>
      </c>
      <c r="M35" s="1439"/>
      <c r="N35" s="1439"/>
      <c r="O35" s="1439"/>
      <c r="P35" s="1439"/>
      <c r="Q35" s="1440"/>
      <c r="R35" s="35"/>
      <c r="S35" s="34"/>
      <c r="T35" s="34"/>
      <c r="U35" s="36"/>
      <c r="V35" s="64"/>
    </row>
    <row r="36" spans="1:22" ht="15" customHeight="1" outlineLevel="1" x14ac:dyDescent="0.35">
      <c r="B36" s="66" t="s">
        <v>364</v>
      </c>
      <c r="C36" s="46">
        <v>50000000</v>
      </c>
      <c r="D36" s="48" t="s">
        <v>131</v>
      </c>
      <c r="E36" s="51">
        <v>1</v>
      </c>
      <c r="F36" s="53">
        <v>2016</v>
      </c>
      <c r="G36" s="51">
        <f t="shared" si="1"/>
        <v>50000000</v>
      </c>
      <c r="H36" s="121" t="s">
        <v>138</v>
      </c>
      <c r="I36" s="51">
        <f>G36</f>
        <v>50000000</v>
      </c>
      <c r="J36" s="55">
        <f>I36/Assumptions!$C$4</f>
        <v>1666666.6666666667</v>
      </c>
      <c r="K36" s="164">
        <f>J36/Assumptions!$C$3</f>
        <v>6.9248241094676194E-7</v>
      </c>
      <c r="L36" s="1438" t="s">
        <v>365</v>
      </c>
      <c r="M36" s="1439"/>
      <c r="N36" s="1439"/>
      <c r="O36" s="1439"/>
      <c r="P36" s="1439"/>
      <c r="Q36" s="1440"/>
      <c r="R36" s="35"/>
      <c r="S36" s="34"/>
      <c r="T36" s="34"/>
      <c r="U36" s="36"/>
      <c r="V36" s="64"/>
    </row>
    <row r="37" spans="1:22" outlineLevel="1" x14ac:dyDescent="0.35">
      <c r="B37" s="66" t="s">
        <v>366</v>
      </c>
      <c r="C37" s="46">
        <f>564*0.15</f>
        <v>84.6</v>
      </c>
      <c r="D37" s="48" t="s">
        <v>367</v>
      </c>
      <c r="E37" s="51">
        <v>1700000</v>
      </c>
      <c r="F37" s="53">
        <v>2005</v>
      </c>
      <c r="G37" s="51">
        <f t="shared" si="1"/>
        <v>143820000</v>
      </c>
      <c r="H37" s="57"/>
      <c r="I37" s="51">
        <v>189015619.16</v>
      </c>
      <c r="J37" s="55">
        <f>I37/Assumptions!$C$4</f>
        <v>6300520.6386666661</v>
      </c>
      <c r="K37" s="164">
        <f>J37/Assumptions!$C$3</f>
        <v>2.617799833250235E-6</v>
      </c>
      <c r="L37" s="1438" t="s">
        <v>368</v>
      </c>
      <c r="M37" s="1439"/>
      <c r="N37" s="1439"/>
      <c r="O37" s="1439"/>
      <c r="P37" s="1439"/>
      <c r="Q37" s="1440"/>
      <c r="R37" s="36"/>
      <c r="S37" s="34"/>
      <c r="T37" s="36"/>
      <c r="U37" s="35"/>
      <c r="V37" s="64"/>
    </row>
    <row r="38" spans="1:22" outlineLevel="1" x14ac:dyDescent="0.35">
      <c r="B38" s="66" t="s">
        <v>369</v>
      </c>
      <c r="C38" s="46">
        <f>4500+(10000*0.5)+(1500*0.5)+(2000*0.5)+(1000*0.5)+(1000*0.5)</f>
        <v>12250</v>
      </c>
      <c r="D38" s="48" t="s">
        <v>367</v>
      </c>
      <c r="E38" s="50">
        <v>100000</v>
      </c>
      <c r="F38" s="53">
        <v>2016</v>
      </c>
      <c r="G38" s="51">
        <f t="shared" si="1"/>
        <v>1225000000</v>
      </c>
      <c r="H38" s="57"/>
      <c r="I38" s="51">
        <f>G38</f>
        <v>1225000000</v>
      </c>
      <c r="J38" s="55">
        <f>I38/Assumptions!$C$4</f>
        <v>40833333.333333336</v>
      </c>
      <c r="K38" s="164">
        <f>J38/Assumptions!$C$3</f>
        <v>1.6965819068195668E-5</v>
      </c>
      <c r="L38" s="1438" t="s">
        <v>365</v>
      </c>
      <c r="M38" s="1439"/>
      <c r="N38" s="1439"/>
      <c r="O38" s="1439"/>
      <c r="P38" s="1439"/>
      <c r="Q38" s="1440"/>
      <c r="R38" s="35"/>
      <c r="S38" s="34"/>
      <c r="T38" s="35"/>
      <c r="U38" s="35"/>
      <c r="V38" s="64"/>
    </row>
    <row r="39" spans="1:22" s="117" customFormat="1" ht="14.25" customHeight="1" outlineLevel="1" x14ac:dyDescent="0.35">
      <c r="A39" s="12"/>
      <c r="B39" s="245" t="s">
        <v>370</v>
      </c>
      <c r="C39" s="47">
        <v>1200000</v>
      </c>
      <c r="D39" s="49" t="s">
        <v>139</v>
      </c>
      <c r="E39" s="52">
        <v>4500</v>
      </c>
      <c r="F39" s="53">
        <v>2016</v>
      </c>
      <c r="G39" s="54">
        <f t="shared" si="1"/>
        <v>5400000000</v>
      </c>
      <c r="H39" s="121" t="s">
        <v>138</v>
      </c>
      <c r="I39" s="51">
        <f>G39</f>
        <v>5400000000</v>
      </c>
      <c r="J39" s="55">
        <f>I39/Assumptions!$C$4</f>
        <v>180000000</v>
      </c>
      <c r="K39" s="164">
        <f>J39/Assumptions!$C$3</f>
        <v>7.4788100382250285E-5</v>
      </c>
      <c r="L39" s="1438" t="s">
        <v>371</v>
      </c>
      <c r="M39" s="1439"/>
      <c r="N39" s="1439"/>
      <c r="O39" s="1439"/>
      <c r="P39" s="1439"/>
      <c r="Q39" s="1440"/>
      <c r="R39" s="122"/>
      <c r="S39" s="122"/>
      <c r="T39" s="122"/>
      <c r="U39" s="122"/>
      <c r="V39" s="123"/>
    </row>
    <row r="40" spans="1:22" s="117" customFormat="1" ht="15" customHeight="1" outlineLevel="1" x14ac:dyDescent="0.35">
      <c r="A40" s="12"/>
      <c r="B40" s="245" t="s">
        <v>372</v>
      </c>
      <c r="C40" s="47">
        <v>50000000</v>
      </c>
      <c r="D40" s="49" t="s">
        <v>131</v>
      </c>
      <c r="E40" s="52">
        <v>1</v>
      </c>
      <c r="F40" s="53">
        <v>2016</v>
      </c>
      <c r="G40" s="54">
        <f t="shared" si="1"/>
        <v>50000000</v>
      </c>
      <c r="H40" s="121" t="s">
        <v>138</v>
      </c>
      <c r="I40" s="54">
        <f t="shared" si="1"/>
        <v>50000000</v>
      </c>
      <c r="J40" s="55">
        <f>I40/Assumptions!$C$4</f>
        <v>1666666.6666666667</v>
      </c>
      <c r="K40" s="164">
        <f>J40/Assumptions!$C$3</f>
        <v>6.9248241094676194E-7</v>
      </c>
      <c r="L40" s="1438" t="s">
        <v>365</v>
      </c>
      <c r="M40" s="1439"/>
      <c r="N40" s="1439"/>
      <c r="O40" s="1439"/>
      <c r="P40" s="1439"/>
      <c r="Q40" s="1440"/>
      <c r="R40" s="34"/>
      <c r="S40" s="34"/>
      <c r="T40" s="34"/>
      <c r="U40" s="36"/>
      <c r="V40" s="65"/>
    </row>
    <row r="41" spans="1:22" s="117" customFormat="1" ht="14.25" customHeight="1" outlineLevel="1" x14ac:dyDescent="0.35">
      <c r="A41" s="12"/>
      <c r="B41" s="66" t="s">
        <v>373</v>
      </c>
      <c r="C41" s="46">
        <v>350</v>
      </c>
      <c r="D41" s="49" t="s">
        <v>367</v>
      </c>
      <c r="E41" s="52">
        <v>245000</v>
      </c>
      <c r="F41" s="53">
        <v>2003</v>
      </c>
      <c r="G41" s="54">
        <f>C41*E41-15000000</f>
        <v>70750000</v>
      </c>
      <c r="H41" s="121" t="s">
        <v>138</v>
      </c>
      <c r="I41" s="124">
        <v>97723717.540000007</v>
      </c>
      <c r="J41" s="55">
        <f>I41/Assumptions!$C$4</f>
        <v>3257457.2513333336</v>
      </c>
      <c r="K41" s="164">
        <f>J41/Assumptions!$C$3</f>
        <v>1.3534391105755915E-6</v>
      </c>
      <c r="L41" s="1438" t="s">
        <v>374</v>
      </c>
      <c r="M41" s="1439"/>
      <c r="N41" s="1439"/>
      <c r="O41" s="1439"/>
      <c r="P41" s="1439"/>
      <c r="Q41" s="1440"/>
      <c r="R41" s="37"/>
      <c r="S41" s="37"/>
      <c r="T41" s="37"/>
      <c r="U41" s="37"/>
      <c r="V41" s="61"/>
    </row>
    <row r="42" spans="1:22" s="117" customFormat="1" ht="15" customHeight="1" outlineLevel="1" x14ac:dyDescent="0.35">
      <c r="A42" s="12"/>
      <c r="B42" s="66" t="s">
        <v>375</v>
      </c>
      <c r="C42" s="46">
        <f>2*5000*0.9</f>
        <v>9000</v>
      </c>
      <c r="D42" s="49" t="s">
        <v>130</v>
      </c>
      <c r="E42" s="52">
        <v>6000</v>
      </c>
      <c r="F42" s="53">
        <v>2003</v>
      </c>
      <c r="G42" s="54">
        <f>C42*E42</f>
        <v>54000000</v>
      </c>
      <c r="H42" s="121" t="s">
        <v>138</v>
      </c>
      <c r="I42" s="124">
        <v>74587713.739999995</v>
      </c>
      <c r="J42" s="55">
        <f>I42/Assumptions!$C$4</f>
        <v>2486257.1246666666</v>
      </c>
      <c r="K42" s="164">
        <f>J42/Assumptions!$C$3</f>
        <v>1.0330135967536424E-6</v>
      </c>
      <c r="L42" s="1438" t="s">
        <v>374</v>
      </c>
      <c r="M42" s="1439"/>
      <c r="N42" s="1439"/>
      <c r="O42" s="1439"/>
      <c r="P42" s="1439"/>
      <c r="Q42" s="1440"/>
      <c r="R42" s="37"/>
      <c r="S42" s="37"/>
      <c r="T42" s="37"/>
      <c r="U42" s="37"/>
      <c r="V42" s="61"/>
    </row>
    <row r="43" spans="1:22" s="117" customFormat="1" ht="15" customHeight="1" outlineLevel="1" x14ac:dyDescent="0.35">
      <c r="A43" s="12"/>
      <c r="B43" s="245" t="s">
        <v>376</v>
      </c>
      <c r="C43" s="221">
        <v>6636852</v>
      </c>
      <c r="D43" s="49" t="s">
        <v>377</v>
      </c>
      <c r="E43" s="50">
        <v>4800</v>
      </c>
      <c r="F43" s="53">
        <v>2012</v>
      </c>
      <c r="G43" s="54">
        <f>C43*E43</f>
        <v>31856889600</v>
      </c>
      <c r="H43" s="121"/>
      <c r="I43" s="51">
        <v>34387466576.389999</v>
      </c>
      <c r="J43" s="55">
        <f>I43/Assumptions!$C$4</f>
        <v>1146248885.8796666</v>
      </c>
      <c r="K43" s="164">
        <f>J43/Assumptions!$C$3</f>
        <v>4.7625431522339476E-4</v>
      </c>
      <c r="L43" s="832" t="s">
        <v>378</v>
      </c>
      <c r="M43" s="831"/>
      <c r="N43" s="831"/>
      <c r="O43" s="831"/>
      <c r="P43" s="831"/>
      <c r="Q43" s="833"/>
      <c r="R43" s="37"/>
      <c r="S43" s="37"/>
      <c r="T43" s="37"/>
      <c r="U43" s="37"/>
      <c r="V43" s="61"/>
    </row>
    <row r="44" spans="1:22" s="117" customFormat="1" outlineLevel="1" x14ac:dyDescent="0.35">
      <c r="A44" s="12"/>
      <c r="B44" s="66" t="s">
        <v>379</v>
      </c>
      <c r="C44" s="201">
        <f>845000+4650000+631000</f>
        <v>6126000</v>
      </c>
      <c r="D44" s="49" t="s">
        <v>129</v>
      </c>
      <c r="E44" s="52">
        <v>200</v>
      </c>
      <c r="F44" s="202">
        <v>2001</v>
      </c>
      <c r="G44" s="54">
        <f>C44*E44</f>
        <v>1225200000</v>
      </c>
      <c r="H44" s="203"/>
      <c r="I44" s="54">
        <v>1708267336.6800001</v>
      </c>
      <c r="J44" s="52">
        <f>I44/Assumptions!$C$4</f>
        <v>56942244.556000002</v>
      </c>
      <c r="K44" s="204">
        <f>J44/Assumptions!$C$3</f>
        <v>2.3658901676915407E-5</v>
      </c>
      <c r="L44" s="1441" t="s">
        <v>380</v>
      </c>
      <c r="M44" s="1442"/>
      <c r="N44" s="1442"/>
      <c r="O44" s="1442"/>
      <c r="P44" s="1442"/>
      <c r="Q44" s="1443"/>
      <c r="R44" s="37"/>
      <c r="S44" s="37"/>
      <c r="T44" s="37"/>
      <c r="U44" s="37"/>
      <c r="V44" s="61"/>
    </row>
    <row r="45" spans="1:22" outlineLevel="1" x14ac:dyDescent="0.35">
      <c r="B45" s="1444" t="s">
        <v>381</v>
      </c>
      <c r="C45" s="1445"/>
      <c r="D45" s="1445"/>
      <c r="E45" s="1445"/>
      <c r="F45" s="1445"/>
      <c r="G45" s="1445"/>
      <c r="H45" s="1446"/>
      <c r="I45" s="289">
        <f>SUM(SUM(I30:I44))</f>
        <v>60980017424.599998</v>
      </c>
      <c r="J45" s="289">
        <f>SUM(SUM(J30:J44))</f>
        <v>2032667247.4866664</v>
      </c>
      <c r="K45" s="290">
        <f>SUM(SUM(K30:K44))</f>
        <v>8.4455178971525112E-4</v>
      </c>
      <c r="L45" s="1447"/>
      <c r="M45" s="1447"/>
      <c r="N45" s="1447"/>
      <c r="O45" s="1447"/>
      <c r="P45" s="1447"/>
      <c r="Q45" s="1448"/>
      <c r="R45" s="1453"/>
      <c r="S45" s="1454"/>
      <c r="T45" s="1454"/>
      <c r="U45" s="1454"/>
      <c r="V45" s="1455"/>
    </row>
    <row r="46" spans="1:22" ht="16.5" customHeight="1" outlineLevel="1" x14ac:dyDescent="0.35">
      <c r="B46" s="1461" t="s">
        <v>141</v>
      </c>
      <c r="C46" s="1462"/>
      <c r="D46" s="1462"/>
      <c r="E46" s="1462"/>
      <c r="F46" s="1462"/>
      <c r="G46" s="1462"/>
      <c r="H46" s="1462"/>
      <c r="I46" s="56">
        <f>I45*Assumptions!$C$7</f>
        <v>6098001742.46</v>
      </c>
      <c r="J46" s="28">
        <f>I46/Assumptions!$C$4</f>
        <v>203266724.74866667</v>
      </c>
      <c r="K46" s="166">
        <f>J46/Assumptions!$C$3</f>
        <v>8.4455178971525131E-5</v>
      </c>
      <c r="L46" s="1449"/>
      <c r="M46" s="1449"/>
      <c r="N46" s="1449"/>
      <c r="O46" s="1449"/>
      <c r="P46" s="1449"/>
      <c r="Q46" s="1450"/>
      <c r="R46" s="1456"/>
      <c r="S46" s="1457"/>
      <c r="T46" s="1457"/>
      <c r="U46" s="1457"/>
      <c r="V46" s="1458"/>
    </row>
    <row r="47" spans="1:22" outlineLevel="1" x14ac:dyDescent="0.35">
      <c r="B47" s="1463" t="s">
        <v>382</v>
      </c>
      <c r="C47" s="1464"/>
      <c r="D47" s="1464"/>
      <c r="E47" s="1464"/>
      <c r="F47" s="1464"/>
      <c r="G47" s="1464"/>
      <c r="H47" s="1465"/>
      <c r="I47" s="285">
        <f>I45+I46</f>
        <v>67078019167.059998</v>
      </c>
      <c r="J47" s="285">
        <f>J45+J46</f>
        <v>2235933972.235333</v>
      </c>
      <c r="K47" s="286">
        <f>K46+K45</f>
        <v>9.2900696868677621E-4</v>
      </c>
      <c r="L47" s="1451"/>
      <c r="M47" s="1451"/>
      <c r="N47" s="1451"/>
      <c r="O47" s="1451"/>
      <c r="P47" s="1451"/>
      <c r="Q47" s="1452"/>
      <c r="R47" s="1456"/>
      <c r="S47" s="1457"/>
      <c r="T47" s="1457"/>
      <c r="U47" s="1457"/>
      <c r="V47" s="1458"/>
    </row>
    <row r="48" spans="1:22" ht="15" outlineLevel="1" thickBot="1" x14ac:dyDescent="0.4">
      <c r="B48" s="1466" t="s">
        <v>383</v>
      </c>
      <c r="C48" s="1467"/>
      <c r="D48" s="1467"/>
      <c r="E48" s="1467"/>
      <c r="F48" s="1467"/>
      <c r="G48" s="1467"/>
      <c r="H48" s="1467"/>
      <c r="I48" s="1467"/>
      <c r="J48" s="1467"/>
      <c r="K48" s="1467"/>
      <c r="L48" s="1467"/>
      <c r="M48" s="1467"/>
      <c r="N48" s="1467"/>
      <c r="O48" s="1467"/>
      <c r="P48" s="1467"/>
      <c r="Q48" s="1468"/>
      <c r="R48" s="1456"/>
      <c r="S48" s="1457"/>
      <c r="T48" s="1457"/>
      <c r="U48" s="1457"/>
      <c r="V48" s="1458"/>
    </row>
    <row r="49" spans="1:22" ht="15" customHeight="1" outlineLevel="1" x14ac:dyDescent="0.35">
      <c r="B49" s="210" t="s">
        <v>384</v>
      </c>
      <c r="C49" s="211">
        <v>625462.00139754417</v>
      </c>
      <c r="D49" s="212" t="s">
        <v>130</v>
      </c>
      <c r="E49" s="213">
        <v>500</v>
      </c>
      <c r="F49" s="214">
        <v>2015</v>
      </c>
      <c r="G49" s="215">
        <f>C49*E49</f>
        <v>312731000.69877207</v>
      </c>
      <c r="H49" s="1469"/>
      <c r="I49" s="1470"/>
      <c r="J49" s="216">
        <v>316724547.56</v>
      </c>
      <c r="K49" s="217">
        <f>J49/Assumptions!$C$3</f>
        <v>1.3159570698022271E-4</v>
      </c>
      <c r="L49" s="1474" t="s">
        <v>385</v>
      </c>
      <c r="M49" s="1475"/>
      <c r="N49" s="1475"/>
      <c r="O49" s="1475"/>
      <c r="P49" s="1475"/>
      <c r="Q49" s="1476"/>
      <c r="R49" s="1457"/>
      <c r="S49" s="1457"/>
      <c r="T49" s="1457"/>
      <c r="U49" s="1457"/>
      <c r="V49" s="1458"/>
    </row>
    <row r="50" spans="1:22" ht="15" customHeight="1" outlineLevel="1" x14ac:dyDescent="0.35">
      <c r="B50" s="245" t="s">
        <v>386</v>
      </c>
      <c r="C50" s="46">
        <v>106706</v>
      </c>
      <c r="D50" s="49" t="s">
        <v>387</v>
      </c>
      <c r="E50" s="50">
        <v>4800</v>
      </c>
      <c r="F50" s="222">
        <v>2012</v>
      </c>
      <c r="G50" s="51">
        <f>C50*E50</f>
        <v>512188800</v>
      </c>
      <c r="H50" s="1471"/>
      <c r="I50" s="1471"/>
      <c r="J50" s="219">
        <v>552874918.49000001</v>
      </c>
      <c r="K50" s="220">
        <f>J50/Assumptions!$C$3</f>
        <v>2.2971369390476981E-4</v>
      </c>
      <c r="L50" s="1490" t="s">
        <v>378</v>
      </c>
      <c r="M50" s="1439"/>
      <c r="N50" s="1439"/>
      <c r="O50" s="1439"/>
      <c r="P50" s="1439"/>
      <c r="Q50" s="1491"/>
      <c r="R50" s="1457"/>
      <c r="S50" s="1457"/>
      <c r="T50" s="1457"/>
      <c r="U50" s="1457"/>
      <c r="V50" s="1458"/>
    </row>
    <row r="51" spans="1:22" ht="15" customHeight="1" outlineLevel="1" thickBot="1" x14ac:dyDescent="0.4">
      <c r="B51" s="66" t="s">
        <v>388</v>
      </c>
      <c r="C51" s="46">
        <f>C41</f>
        <v>350</v>
      </c>
      <c r="D51" s="49" t="s">
        <v>137</v>
      </c>
      <c r="E51" s="50">
        <f>7000+6400+11000</f>
        <v>24400</v>
      </c>
      <c r="F51" s="53">
        <v>2003</v>
      </c>
      <c r="G51" s="51">
        <f>C51*E51</f>
        <v>8540000</v>
      </c>
      <c r="H51" s="1472"/>
      <c r="I51" s="1473"/>
      <c r="J51" s="59">
        <v>11795908.800000001</v>
      </c>
      <c r="K51" s="209">
        <f>J51/Assumptions!$C$3</f>
        <v>4.9010756190792757E-6</v>
      </c>
      <c r="L51" s="1492" t="s">
        <v>374</v>
      </c>
      <c r="M51" s="1493"/>
      <c r="N51" s="1493"/>
      <c r="O51" s="1493"/>
      <c r="P51" s="1493"/>
      <c r="Q51" s="1494"/>
      <c r="R51" s="1457"/>
      <c r="S51" s="1457"/>
      <c r="T51" s="1457"/>
      <c r="U51" s="1457"/>
      <c r="V51" s="1458"/>
    </row>
    <row r="52" spans="1:22" ht="15" outlineLevel="1" thickBot="1" x14ac:dyDescent="0.4">
      <c r="B52" s="1495" t="s">
        <v>389</v>
      </c>
      <c r="C52" s="1496"/>
      <c r="D52" s="1496"/>
      <c r="E52" s="1496"/>
      <c r="F52" s="1496"/>
      <c r="G52" s="1496"/>
      <c r="H52" s="1496"/>
      <c r="I52" s="1497"/>
      <c r="J52" s="287">
        <f>SUM(J49:J51)</f>
        <v>881395374.8499999</v>
      </c>
      <c r="K52" s="288">
        <f>SUM(K49:K51)</f>
        <v>3.6621047650407177E-4</v>
      </c>
      <c r="L52" s="1498"/>
      <c r="M52" s="1459"/>
      <c r="N52" s="1459"/>
      <c r="O52" s="1459"/>
      <c r="P52" s="1459"/>
      <c r="Q52" s="1460"/>
      <c r="R52" s="1459"/>
      <c r="S52" s="1459"/>
      <c r="T52" s="1459"/>
      <c r="U52" s="1459"/>
      <c r="V52" s="1460"/>
    </row>
    <row r="53" spans="1:22" ht="15" thickBot="1" x14ac:dyDescent="0.4">
      <c r="B53" s="38"/>
      <c r="C53" s="261"/>
      <c r="D53" s="14"/>
      <c r="E53" s="39"/>
      <c r="F53" s="14"/>
      <c r="G53" s="40"/>
      <c r="H53" s="39"/>
      <c r="I53" s="218"/>
      <c r="J53" s="41"/>
      <c r="K53" s="42"/>
      <c r="L53" s="14"/>
      <c r="M53" s="14"/>
      <c r="N53" s="14"/>
      <c r="O53" s="14"/>
      <c r="P53" s="14"/>
      <c r="Q53" s="14"/>
      <c r="R53" s="2"/>
      <c r="S53" s="2"/>
      <c r="T53" s="2"/>
      <c r="U53" s="2"/>
      <c r="V53" s="2"/>
    </row>
    <row r="54" spans="1:22" s="118" customFormat="1" ht="15" collapsed="1" thickBot="1" x14ac:dyDescent="0.4">
      <c r="A54" s="315"/>
      <c r="B54" s="113" t="s">
        <v>390</v>
      </c>
      <c r="C54" s="262"/>
      <c r="D54" s="114"/>
      <c r="E54" s="114"/>
      <c r="F54" s="114"/>
      <c r="G54" s="114"/>
      <c r="H54" s="114"/>
      <c r="I54" s="114"/>
      <c r="J54" s="114"/>
      <c r="K54" s="114"/>
      <c r="L54" s="114"/>
      <c r="M54" s="114"/>
      <c r="N54" s="114"/>
      <c r="O54" s="114"/>
      <c r="P54" s="114"/>
      <c r="Q54" s="114"/>
      <c r="R54" s="1499"/>
      <c r="S54" s="1499"/>
      <c r="T54" s="1499"/>
      <c r="U54" s="1499"/>
      <c r="V54" s="1500"/>
    </row>
    <row r="55" spans="1:22" ht="15.75" customHeight="1" outlineLevel="1" thickBot="1" x14ac:dyDescent="0.4">
      <c r="B55" s="104"/>
      <c r="C55" s="263"/>
      <c r="D55" s="826" t="s">
        <v>123</v>
      </c>
      <c r="E55" s="826" t="s">
        <v>124</v>
      </c>
      <c r="F55" s="826" t="s">
        <v>125</v>
      </c>
      <c r="G55" s="826" t="s">
        <v>126</v>
      </c>
      <c r="H55" s="826" t="s">
        <v>127</v>
      </c>
      <c r="I55" s="826" t="s">
        <v>344</v>
      </c>
      <c r="J55" s="826" t="s">
        <v>345</v>
      </c>
      <c r="K55" s="826" t="s">
        <v>108</v>
      </c>
      <c r="L55" s="1501" t="s">
        <v>346</v>
      </c>
      <c r="M55" s="1501"/>
      <c r="N55" s="1501"/>
      <c r="O55" s="1501"/>
      <c r="P55" s="1501"/>
      <c r="Q55" s="1501"/>
      <c r="R55" s="105" t="s">
        <v>347</v>
      </c>
      <c r="S55" s="826" t="s">
        <v>348</v>
      </c>
      <c r="T55" s="826" t="s">
        <v>349</v>
      </c>
      <c r="U55" s="826" t="s">
        <v>350</v>
      </c>
      <c r="V55" s="106" t="s">
        <v>351</v>
      </c>
    </row>
    <row r="56" spans="1:22" ht="15" outlineLevel="1" thickBot="1" x14ac:dyDescent="0.4">
      <c r="B56" s="1477" t="s">
        <v>352</v>
      </c>
      <c r="C56" s="1478"/>
      <c r="D56" s="1478"/>
      <c r="E56" s="1478"/>
      <c r="F56" s="1478"/>
      <c r="G56" s="1478"/>
      <c r="H56" s="1478"/>
      <c r="I56" s="1478"/>
      <c r="J56" s="1478"/>
      <c r="K56" s="1478"/>
      <c r="L56" s="1478"/>
      <c r="M56" s="1478"/>
      <c r="N56" s="1478"/>
      <c r="O56" s="1478"/>
      <c r="P56" s="1478"/>
      <c r="Q56" s="1478"/>
      <c r="R56" s="1479"/>
      <c r="S56" s="1479"/>
      <c r="T56" s="1479"/>
      <c r="U56" s="1479"/>
      <c r="V56" s="1480"/>
    </row>
    <row r="57" spans="1:22" outlineLevel="1" x14ac:dyDescent="0.35">
      <c r="B57" s="246" t="s">
        <v>391</v>
      </c>
      <c r="C57" s="132">
        <v>14744930321.8547</v>
      </c>
      <c r="D57" s="133" t="s">
        <v>131</v>
      </c>
      <c r="E57" s="134">
        <v>1</v>
      </c>
      <c r="F57" s="135">
        <v>2013</v>
      </c>
      <c r="G57" s="136">
        <v>14744930321.8547</v>
      </c>
      <c r="H57" s="134">
        <v>34</v>
      </c>
      <c r="I57" s="137" t="e">
        <f>15339713742*Assumptions!#REF!</f>
        <v>#REF!</v>
      </c>
      <c r="J57" s="157" t="e">
        <f>I57/Assumptions!$C$4</f>
        <v>#REF!</v>
      </c>
      <c r="K57" s="160" t="e">
        <f>J57/Assumptions!$C$3</f>
        <v>#REF!</v>
      </c>
      <c r="L57" s="1481"/>
      <c r="M57" s="1482"/>
      <c r="N57" s="1482"/>
      <c r="O57" s="1482"/>
      <c r="P57" s="1482"/>
      <c r="Q57" s="1483"/>
      <c r="R57" s="99"/>
      <c r="S57" s="100"/>
      <c r="T57" s="100"/>
      <c r="U57" s="100"/>
      <c r="V57" s="101"/>
    </row>
    <row r="58" spans="1:22" outlineLevel="1" x14ac:dyDescent="0.35">
      <c r="B58" s="247" t="s">
        <v>392</v>
      </c>
      <c r="C58" s="187"/>
      <c r="D58" s="188"/>
      <c r="E58" s="58"/>
      <c r="F58" s="189"/>
      <c r="G58" s="190"/>
      <c r="H58" s="58"/>
      <c r="I58" s="143">
        <v>0</v>
      </c>
      <c r="J58" s="181"/>
      <c r="K58" s="161">
        <f>J58/Assumptions!$C$3</f>
        <v>0</v>
      </c>
      <c r="L58" s="1484"/>
      <c r="M58" s="1485"/>
      <c r="N58" s="1485"/>
      <c r="O58" s="1485"/>
      <c r="P58" s="1485"/>
      <c r="Q58" s="1486"/>
      <c r="R58" s="185"/>
      <c r="S58" s="3"/>
      <c r="T58" s="3"/>
      <c r="U58" s="3"/>
      <c r="V58" s="186"/>
    </row>
    <row r="59" spans="1:22" s="117" customFormat="1" outlineLevel="1" x14ac:dyDescent="0.35">
      <c r="A59" s="12"/>
      <c r="B59" s="248" t="s">
        <v>393</v>
      </c>
      <c r="C59" s="174"/>
      <c r="D59" s="141" t="s">
        <v>131</v>
      </c>
      <c r="E59" s="58">
        <v>1</v>
      </c>
      <c r="F59" s="142">
        <v>2014</v>
      </c>
      <c r="G59" s="143">
        <f>C59*E59</f>
        <v>0</v>
      </c>
      <c r="H59" s="144">
        <v>34</v>
      </c>
      <c r="I59" s="143">
        <f>E59*G59</f>
        <v>0</v>
      </c>
      <c r="J59" s="175">
        <f>I59/Assumptions!$C$4</f>
        <v>0</v>
      </c>
      <c r="K59" s="161">
        <f>J59/Assumptions!$C$3</f>
        <v>0</v>
      </c>
      <c r="L59" s="1484"/>
      <c r="M59" s="1485"/>
      <c r="N59" s="1485"/>
      <c r="O59" s="1485"/>
      <c r="P59" s="1485"/>
      <c r="Q59" s="1486"/>
      <c r="R59" s="21"/>
      <c r="S59" s="22"/>
      <c r="T59" s="22"/>
      <c r="U59" s="22"/>
      <c r="V59" s="102"/>
    </row>
    <row r="60" spans="1:22" s="117" customFormat="1" outlineLevel="1" x14ac:dyDescent="0.35">
      <c r="A60" s="12"/>
      <c r="B60" s="248" t="s">
        <v>394</v>
      </c>
      <c r="C60" s="159"/>
      <c r="D60" s="141" t="s">
        <v>131</v>
      </c>
      <c r="E60" s="58">
        <v>1</v>
      </c>
      <c r="F60" s="142">
        <v>2014</v>
      </c>
      <c r="G60" s="143">
        <f>C60*E60</f>
        <v>0</v>
      </c>
      <c r="H60" s="144">
        <v>34</v>
      </c>
      <c r="I60" s="143">
        <v>0</v>
      </c>
      <c r="J60" s="143"/>
      <c r="K60" s="161">
        <f>J60/Assumptions!$C$3</f>
        <v>0</v>
      </c>
      <c r="L60" s="1484"/>
      <c r="M60" s="1485"/>
      <c r="N60" s="1485"/>
      <c r="O60" s="1485"/>
      <c r="P60" s="1485"/>
      <c r="Q60" s="1486"/>
      <c r="R60" s="21"/>
      <c r="S60" s="22"/>
      <c r="T60" s="22"/>
      <c r="U60" s="22"/>
      <c r="V60" s="102"/>
    </row>
    <row r="61" spans="1:22" outlineLevel="1" x14ac:dyDescent="0.35">
      <c r="B61" s="248" t="s">
        <v>395</v>
      </c>
      <c r="C61" s="145"/>
      <c r="D61" s="141" t="s">
        <v>131</v>
      </c>
      <c r="E61" s="58">
        <v>1</v>
      </c>
      <c r="F61" s="146"/>
      <c r="G61" s="143">
        <f t="shared" ref="G61:G63" si="2">C61*E61</f>
        <v>0</v>
      </c>
      <c r="H61" s="147"/>
      <c r="I61" s="148">
        <v>0</v>
      </c>
      <c r="J61" s="148">
        <v>0</v>
      </c>
      <c r="K61" s="161">
        <f>J61/Assumptions!$C$3</f>
        <v>0</v>
      </c>
      <c r="L61" s="1487"/>
      <c r="M61" s="1488"/>
      <c r="N61" s="1488"/>
      <c r="O61" s="1488"/>
      <c r="P61" s="1488"/>
      <c r="Q61" s="1489"/>
      <c r="R61" s="7"/>
      <c r="S61" s="3"/>
      <c r="T61" s="3"/>
      <c r="U61" s="8"/>
      <c r="V61" s="103"/>
    </row>
    <row r="62" spans="1:22" outlineLevel="1" x14ac:dyDescent="0.35">
      <c r="B62" s="249" t="s">
        <v>396</v>
      </c>
      <c r="C62" s="191"/>
      <c r="D62" s="192"/>
      <c r="E62" s="147"/>
      <c r="F62" s="173"/>
      <c r="G62" s="193"/>
      <c r="H62" s="194"/>
      <c r="I62" s="195"/>
      <c r="J62" s="148"/>
      <c r="K62" s="161">
        <f>J62/Assumptions!$C$3</f>
        <v>0</v>
      </c>
      <c r="L62" s="1487"/>
      <c r="M62" s="1488"/>
      <c r="N62" s="1488"/>
      <c r="O62" s="1488"/>
      <c r="P62" s="1488"/>
      <c r="Q62" s="1489"/>
      <c r="R62" s="7"/>
      <c r="S62" s="3"/>
      <c r="T62" s="3"/>
      <c r="U62" s="8"/>
      <c r="V62" s="103"/>
    </row>
    <row r="63" spans="1:22" ht="15" outlineLevel="1" thickBot="1" x14ac:dyDescent="0.4">
      <c r="B63" s="249" t="s">
        <v>397</v>
      </c>
      <c r="C63" s="93" t="e">
        <f>#REF!</f>
        <v>#REF!</v>
      </c>
      <c r="D63" s="94" t="s">
        <v>131</v>
      </c>
      <c r="E63" s="121">
        <v>1</v>
      </c>
      <c r="F63" s="96">
        <v>2013</v>
      </c>
      <c r="G63" s="97" t="e">
        <f t="shared" si="2"/>
        <v>#REF!</v>
      </c>
      <c r="H63" s="98">
        <v>34</v>
      </c>
      <c r="I63" s="95" t="e">
        <f>299596584.54*Assumptions!#REF!</f>
        <v>#REF!</v>
      </c>
      <c r="J63" s="158" t="e">
        <f>I63/Assumptions!$C$4</f>
        <v>#REF!</v>
      </c>
      <c r="K63" s="162" t="e">
        <f>J63/Assumptions!$C$3</f>
        <v>#REF!</v>
      </c>
      <c r="L63" s="1502" t="s">
        <v>398</v>
      </c>
      <c r="M63" s="1503"/>
      <c r="N63" s="1503"/>
      <c r="O63" s="1503"/>
      <c r="P63" s="1503"/>
      <c r="Q63" s="1504"/>
      <c r="R63" s="177"/>
      <c r="S63" s="178"/>
      <c r="T63" s="178"/>
      <c r="U63" s="179"/>
      <c r="V63" s="180"/>
    </row>
    <row r="64" spans="1:22" outlineLevel="1" x14ac:dyDescent="0.35">
      <c r="B64" s="293" t="s">
        <v>381</v>
      </c>
      <c r="C64" s="294"/>
      <c r="D64" s="295"/>
      <c r="E64" s="296"/>
      <c r="F64" s="295"/>
      <c r="G64" s="297"/>
      <c r="H64" s="296"/>
      <c r="I64" s="289" t="e">
        <f>SUM(SUM(I57:I63))</f>
        <v>#REF!</v>
      </c>
      <c r="J64" s="289" t="e">
        <f>SUM(SUM(J57:J63))</f>
        <v>#REF!</v>
      </c>
      <c r="K64" s="298" t="e">
        <f>SUM(SUM(K57:K63))</f>
        <v>#REF!</v>
      </c>
      <c r="L64" s="13"/>
      <c r="M64" s="13"/>
      <c r="N64" s="13"/>
      <c r="O64" s="13"/>
      <c r="P64" s="13"/>
      <c r="Q64" s="13"/>
      <c r="R64" s="2"/>
      <c r="S64" s="2"/>
      <c r="T64" s="2"/>
      <c r="U64" s="2"/>
      <c r="V64" s="2"/>
    </row>
    <row r="65" spans="1:22" ht="16.5" customHeight="1" outlineLevel="1" x14ac:dyDescent="0.35">
      <c r="B65" s="1461" t="s">
        <v>113</v>
      </c>
      <c r="C65" s="1462"/>
      <c r="D65" s="1462"/>
      <c r="E65" s="1462"/>
      <c r="F65" s="1462"/>
      <c r="G65" s="1462"/>
      <c r="H65" s="1462"/>
      <c r="I65" s="56" t="e">
        <f>I64*Assumptions!$C$7</f>
        <v>#REF!</v>
      </c>
      <c r="J65" s="28" t="e">
        <f>J64*Assumptions!$C$7</f>
        <v>#REF!</v>
      </c>
      <c r="K65" s="140">
        <v>3.0637636457932064E-5</v>
      </c>
      <c r="L65" s="14"/>
      <c r="M65" s="14"/>
      <c r="N65" s="14"/>
      <c r="O65" s="14"/>
      <c r="P65" s="14"/>
      <c r="Q65" s="14"/>
      <c r="R65" s="2"/>
      <c r="S65" s="2"/>
      <c r="T65" s="2"/>
      <c r="U65" s="2"/>
      <c r="V65" s="2"/>
    </row>
    <row r="66" spans="1:22" ht="15" outlineLevel="1" thickBot="1" x14ac:dyDescent="0.4">
      <c r="B66" s="1495" t="s">
        <v>382</v>
      </c>
      <c r="C66" s="1496"/>
      <c r="D66" s="1496"/>
      <c r="E66" s="1496"/>
      <c r="F66" s="1496"/>
      <c r="G66" s="1496"/>
      <c r="H66" s="1497"/>
      <c r="I66" s="291" t="e">
        <f>I65+I64</f>
        <v>#REF!</v>
      </c>
      <c r="J66" s="291" t="e">
        <f>J65+J64</f>
        <v>#REF!</v>
      </c>
      <c r="K66" s="292" t="e">
        <f>K65+K64</f>
        <v>#REF!</v>
      </c>
      <c r="L66" s="15"/>
      <c r="M66" s="15"/>
      <c r="N66" s="15"/>
      <c r="O66" s="15"/>
      <c r="P66" s="15"/>
      <c r="Q66" s="15"/>
      <c r="R66" s="2"/>
      <c r="S66" s="2"/>
      <c r="T66" s="2"/>
      <c r="U66" s="2"/>
      <c r="V66" s="2"/>
    </row>
    <row r="67" spans="1:22" ht="15" outlineLevel="1" thickBot="1" x14ac:dyDescent="0.4">
      <c r="B67" s="1505" t="s">
        <v>383</v>
      </c>
      <c r="C67" s="1506"/>
      <c r="D67" s="1506"/>
      <c r="E67" s="1506"/>
      <c r="F67" s="1506"/>
      <c r="G67" s="1506"/>
      <c r="H67" s="1506"/>
      <c r="I67" s="1506"/>
      <c r="J67" s="1506"/>
      <c r="K67" s="1506"/>
      <c r="L67" s="1506"/>
      <c r="M67" s="1506"/>
      <c r="N67" s="1506"/>
      <c r="O67" s="1506"/>
      <c r="P67" s="1506"/>
      <c r="Q67" s="1507"/>
      <c r="R67" s="60"/>
      <c r="S67" s="2"/>
      <c r="T67" s="2"/>
      <c r="U67" s="2"/>
      <c r="V67" s="2"/>
    </row>
    <row r="68" spans="1:22" outlineLevel="1" x14ac:dyDescent="0.35">
      <c r="B68" s="247" t="s">
        <v>399</v>
      </c>
      <c r="C68" s="16">
        <v>6945000</v>
      </c>
      <c r="D68" s="825" t="s">
        <v>131</v>
      </c>
      <c r="E68" s="91">
        <v>1</v>
      </c>
      <c r="F68" s="108">
        <v>2013</v>
      </c>
      <c r="G68" s="110">
        <f>C68*E68</f>
        <v>6945000</v>
      </c>
      <c r="H68" s="1508"/>
      <c r="I68" s="1509"/>
      <c r="J68" s="109">
        <f>7225148*1.013</f>
        <v>7319074.9239999996</v>
      </c>
      <c r="K68" s="92">
        <f>J68/Assumptions!$C$3</f>
        <v>3.0409983895629048E-6</v>
      </c>
      <c r="L68" s="1514" t="s">
        <v>398</v>
      </c>
      <c r="M68" s="1515"/>
      <c r="N68" s="1515"/>
      <c r="O68" s="1515"/>
      <c r="P68" s="1515"/>
      <c r="Q68" s="1516"/>
      <c r="R68" s="2"/>
      <c r="S68" s="2"/>
      <c r="T68" s="2"/>
      <c r="U68" s="2"/>
      <c r="V68" s="2"/>
    </row>
    <row r="69" spans="1:22" s="184" customFormat="1" outlineLevel="1" x14ac:dyDescent="0.35">
      <c r="A69" s="2"/>
      <c r="B69" s="247" t="s">
        <v>400</v>
      </c>
      <c r="C69" s="128"/>
      <c r="D69" s="120"/>
      <c r="E69" s="149"/>
      <c r="F69" s="150"/>
      <c r="G69" s="181">
        <f t="shared" ref="G69:G74" si="3">C69*E69</f>
        <v>0</v>
      </c>
      <c r="H69" s="1510"/>
      <c r="I69" s="1511"/>
      <c r="J69" s="182">
        <f>G69</f>
        <v>0</v>
      </c>
      <c r="K69" s="183">
        <f>J69/Assumptions!$C$3</f>
        <v>0</v>
      </c>
      <c r="L69" s="1517"/>
      <c r="M69" s="1518"/>
      <c r="N69" s="1518"/>
      <c r="O69" s="1518"/>
      <c r="P69" s="1518"/>
      <c r="Q69" s="1519"/>
    </row>
    <row r="70" spans="1:22" s="184" customFormat="1" outlineLevel="1" x14ac:dyDescent="0.35">
      <c r="A70" s="2"/>
      <c r="B70" s="247" t="s">
        <v>401</v>
      </c>
      <c r="C70" s="128"/>
      <c r="D70" s="120"/>
      <c r="E70" s="149"/>
      <c r="F70" s="150"/>
      <c r="G70" s="181">
        <f t="shared" si="3"/>
        <v>0</v>
      </c>
      <c r="H70" s="1510"/>
      <c r="I70" s="1511"/>
      <c r="J70" s="182">
        <f t="shared" ref="J70:J73" si="4">G70</f>
        <v>0</v>
      </c>
      <c r="K70" s="183">
        <f>J70/Assumptions!$C$3</f>
        <v>0</v>
      </c>
      <c r="L70" s="1517"/>
      <c r="M70" s="1518"/>
      <c r="N70" s="1518"/>
      <c r="O70" s="1518"/>
      <c r="P70" s="1518"/>
      <c r="Q70" s="1519"/>
    </row>
    <row r="71" spans="1:22" s="184" customFormat="1" outlineLevel="1" x14ac:dyDescent="0.35">
      <c r="A71" s="2"/>
      <c r="B71" s="247" t="s">
        <v>402</v>
      </c>
      <c r="C71" s="128"/>
      <c r="D71" s="120"/>
      <c r="E71" s="149"/>
      <c r="F71" s="150"/>
      <c r="G71" s="181"/>
      <c r="H71" s="1510"/>
      <c r="I71" s="1511"/>
      <c r="J71" s="182"/>
      <c r="K71" s="183"/>
      <c r="L71" s="1517"/>
      <c r="M71" s="1518"/>
      <c r="N71" s="1518"/>
      <c r="O71" s="1518"/>
      <c r="P71" s="1518"/>
      <c r="Q71" s="1519"/>
    </row>
    <row r="72" spans="1:22" s="184" customFormat="1" outlineLevel="1" x14ac:dyDescent="0.35">
      <c r="A72" s="2"/>
      <c r="B72" s="247" t="s">
        <v>403</v>
      </c>
      <c r="C72" s="128"/>
      <c r="D72" s="120"/>
      <c r="E72" s="149"/>
      <c r="F72" s="150"/>
      <c r="G72" s="181"/>
      <c r="H72" s="1510"/>
      <c r="I72" s="1511"/>
      <c r="J72" s="182"/>
      <c r="K72" s="183"/>
      <c r="L72" s="828"/>
      <c r="M72" s="829"/>
      <c r="N72" s="829"/>
      <c r="O72" s="829"/>
      <c r="P72" s="829"/>
      <c r="Q72" s="830"/>
    </row>
    <row r="73" spans="1:22" s="184" customFormat="1" outlineLevel="1" x14ac:dyDescent="0.35">
      <c r="A73" s="2"/>
      <c r="B73" s="248" t="s">
        <v>404</v>
      </c>
      <c r="C73" s="128"/>
      <c r="D73" s="120"/>
      <c r="E73" s="149"/>
      <c r="F73" s="150"/>
      <c r="G73" s="181">
        <f t="shared" si="3"/>
        <v>0</v>
      </c>
      <c r="H73" s="1510"/>
      <c r="I73" s="1511"/>
      <c r="J73" s="182">
        <f t="shared" si="4"/>
        <v>0</v>
      </c>
      <c r="K73" s="183">
        <f>J73/Assumptions!$C$3</f>
        <v>0</v>
      </c>
      <c r="L73" s="1517"/>
      <c r="M73" s="1518"/>
      <c r="N73" s="1518"/>
      <c r="O73" s="1518"/>
      <c r="P73" s="1518"/>
      <c r="Q73" s="1519"/>
    </row>
    <row r="74" spans="1:22" ht="15" outlineLevel="1" thickBot="1" x14ac:dyDescent="0.4">
      <c r="B74" s="249" t="s">
        <v>405</v>
      </c>
      <c r="C74" s="5">
        <f>260000000*0.25</f>
        <v>65000000</v>
      </c>
      <c r="D74" s="825" t="s">
        <v>131</v>
      </c>
      <c r="E74" s="91">
        <v>1</v>
      </c>
      <c r="F74" s="108">
        <v>2008</v>
      </c>
      <c r="G74" s="110">
        <f t="shared" si="3"/>
        <v>65000000</v>
      </c>
      <c r="H74" s="1512"/>
      <c r="I74" s="1513"/>
      <c r="J74" s="109">
        <f>266744722*1.013*0.25</f>
        <v>67553100.846499994</v>
      </c>
      <c r="K74" s="92">
        <f>J74/Assumptions!$C$3</f>
        <v>2.8067600484668436E-5</v>
      </c>
      <c r="L74" s="1502" t="s">
        <v>406</v>
      </c>
      <c r="M74" s="1503"/>
      <c r="N74" s="1503"/>
      <c r="O74" s="1503"/>
      <c r="P74" s="1503"/>
      <c r="Q74" s="1529"/>
      <c r="R74" s="2"/>
      <c r="S74" s="2"/>
      <c r="T74" s="2"/>
      <c r="U74" s="2"/>
      <c r="V74" s="2"/>
    </row>
    <row r="75" spans="1:22" ht="15" outlineLevel="1" thickBot="1" x14ac:dyDescent="0.4">
      <c r="B75" s="300" t="s">
        <v>407</v>
      </c>
      <c r="C75" s="301"/>
      <c r="D75" s="302"/>
      <c r="E75" s="303"/>
      <c r="F75" s="302"/>
      <c r="G75" s="304"/>
      <c r="H75" s="303"/>
      <c r="I75" s="305"/>
      <c r="J75" s="306">
        <f>SUM(SUM(J68:J74))</f>
        <v>74872175.770499989</v>
      </c>
      <c r="K75" s="307">
        <f>SUM(SUM(K68:K74))</f>
        <v>3.1108598874231341E-5</v>
      </c>
      <c r="L75" s="15"/>
      <c r="M75" s="15"/>
      <c r="N75" s="15"/>
      <c r="O75" s="15"/>
      <c r="P75" s="15"/>
      <c r="Q75" s="176"/>
      <c r="R75" s="2"/>
      <c r="S75" s="2"/>
      <c r="T75" s="2"/>
      <c r="U75" s="2"/>
      <c r="V75" s="2"/>
    </row>
    <row r="76" spans="1:22" ht="15" thickBot="1" x14ac:dyDescent="0.4">
      <c r="B76" s="2"/>
      <c r="C76" s="197"/>
      <c r="D76" s="2"/>
      <c r="E76" s="2"/>
      <c r="F76" s="2"/>
      <c r="G76" s="2"/>
      <c r="H76" s="2"/>
      <c r="I76" s="2"/>
      <c r="J76" s="2"/>
      <c r="K76" s="2"/>
      <c r="L76" s="2"/>
      <c r="M76" s="2"/>
      <c r="N76" s="2"/>
      <c r="O76" s="2"/>
      <c r="P76" s="2"/>
      <c r="Q76" s="2"/>
      <c r="R76" s="2"/>
      <c r="S76" s="2"/>
      <c r="T76" s="2"/>
      <c r="U76" s="2"/>
      <c r="V76" s="2"/>
    </row>
    <row r="77" spans="1:22" s="118" customFormat="1" ht="15" collapsed="1" thickBot="1" x14ac:dyDescent="0.4">
      <c r="A77" s="315"/>
      <c r="B77" s="151" t="s">
        <v>122</v>
      </c>
      <c r="C77" s="264"/>
      <c r="D77" s="152"/>
      <c r="E77" s="152"/>
      <c r="F77" s="152"/>
      <c r="G77" s="152"/>
      <c r="H77" s="152"/>
      <c r="I77" s="152"/>
      <c r="J77" s="152"/>
      <c r="K77" s="152"/>
      <c r="L77" s="152"/>
      <c r="M77" s="152"/>
      <c r="N77" s="152"/>
      <c r="O77" s="152"/>
      <c r="P77" s="152"/>
      <c r="Q77" s="152"/>
      <c r="R77" s="1530"/>
      <c r="S77" s="1530"/>
      <c r="T77" s="1530"/>
      <c r="U77" s="1530"/>
      <c r="V77" s="1531"/>
    </row>
    <row r="78" spans="1:22" ht="15" outlineLevel="1" thickBot="1" x14ac:dyDescent="0.4">
      <c r="B78" s="104"/>
      <c r="C78" s="263"/>
      <c r="D78" s="826" t="s">
        <v>123</v>
      </c>
      <c r="E78" s="826" t="s">
        <v>124</v>
      </c>
      <c r="F78" s="826" t="s">
        <v>125</v>
      </c>
      <c r="G78" s="826" t="s">
        <v>126</v>
      </c>
      <c r="H78" s="826" t="s">
        <v>127</v>
      </c>
      <c r="I78" s="826" t="s">
        <v>344</v>
      </c>
      <c r="J78" s="826" t="s">
        <v>345</v>
      </c>
      <c r="K78" s="826" t="s">
        <v>108</v>
      </c>
      <c r="L78" s="1501" t="s">
        <v>346</v>
      </c>
      <c r="M78" s="1501"/>
      <c r="N78" s="1501"/>
      <c r="O78" s="1501"/>
      <c r="P78" s="1501"/>
      <c r="Q78" s="1501"/>
      <c r="R78" s="105" t="s">
        <v>347</v>
      </c>
      <c r="S78" s="826" t="s">
        <v>348</v>
      </c>
      <c r="T78" s="826" t="s">
        <v>349</v>
      </c>
      <c r="U78" s="826" t="s">
        <v>350</v>
      </c>
      <c r="V78" s="106" t="s">
        <v>351</v>
      </c>
    </row>
    <row r="79" spans="1:22" ht="15" outlineLevel="1" thickBot="1" x14ac:dyDescent="0.4">
      <c r="B79" s="1532" t="s">
        <v>352</v>
      </c>
      <c r="C79" s="1479"/>
      <c r="D79" s="1479"/>
      <c r="E79" s="1479"/>
      <c r="F79" s="1479"/>
      <c r="G79" s="1479"/>
      <c r="H79" s="1479"/>
      <c r="I79" s="1479"/>
      <c r="J79" s="1479"/>
      <c r="K79" s="1479"/>
      <c r="L79" s="1478"/>
      <c r="M79" s="1478"/>
      <c r="N79" s="1478"/>
      <c r="O79" s="1478"/>
      <c r="P79" s="1478"/>
      <c r="Q79" s="1478"/>
      <c r="R79" s="1478"/>
      <c r="S79" s="1478"/>
      <c r="T79" s="1478"/>
      <c r="U79" s="1478"/>
      <c r="V79" s="1533"/>
    </row>
    <row r="80" spans="1:22" outlineLevel="1" x14ac:dyDescent="0.35">
      <c r="B80" s="250" t="s">
        <v>408</v>
      </c>
      <c r="C80" s="243">
        <f>355082951.9*0.9</f>
        <v>319574656.70999998</v>
      </c>
      <c r="D80" s="234" t="s">
        <v>129</v>
      </c>
      <c r="E80" s="224">
        <f>(((27)*1.1)+((5.54)*1.1)+((27)*1.1)+((5.5)*1.1)+((10)*1.1))/5</f>
        <v>16.508800000000001</v>
      </c>
      <c r="F80" s="235">
        <v>2016</v>
      </c>
      <c r="G80" s="225">
        <f>C80*E80</f>
        <v>5275794092.6940479</v>
      </c>
      <c r="H80" s="237"/>
      <c r="I80" s="225">
        <f>G80</f>
        <v>5275794092.6940479</v>
      </c>
      <c r="J80" s="226">
        <f>I80/Assumptions!$C$4</f>
        <v>175859803.08980161</v>
      </c>
      <c r="K80" s="227">
        <f>J80/Assumptions!$C$3</f>
        <v>7.306789225934918E-5</v>
      </c>
      <c r="L80" s="241"/>
      <c r="M80" s="241"/>
      <c r="N80" s="241"/>
      <c r="O80" s="241"/>
      <c r="P80" s="241"/>
      <c r="Q80" s="242"/>
    </row>
    <row r="81" spans="2:17" outlineLevel="1" x14ac:dyDescent="0.35">
      <c r="B81" s="250" t="s">
        <v>409</v>
      </c>
      <c r="C81" s="233"/>
      <c r="D81" s="234"/>
      <c r="E81" s="224"/>
      <c r="F81" s="235"/>
      <c r="G81" s="236"/>
      <c r="H81" s="237"/>
      <c r="I81" s="238"/>
      <c r="J81" s="239"/>
      <c r="K81" s="240"/>
      <c r="L81" s="241"/>
      <c r="M81" s="241"/>
      <c r="N81" s="241"/>
      <c r="O81" s="241"/>
      <c r="P81" s="241"/>
      <c r="Q81" s="242"/>
    </row>
    <row r="82" spans="2:17" outlineLevel="1" x14ac:dyDescent="0.35">
      <c r="B82" s="248" t="s">
        <v>410</v>
      </c>
      <c r="C82" s="18">
        <f>66000000+12000000</f>
        <v>78000000</v>
      </c>
      <c r="D82" s="10" t="s">
        <v>128</v>
      </c>
      <c r="E82" s="695">
        <v>40</v>
      </c>
      <c r="F82" s="19">
        <v>2000</v>
      </c>
      <c r="G82" s="11">
        <f>C82*E82</f>
        <v>3120000000</v>
      </c>
      <c r="H82" s="20"/>
      <c r="I82" s="11">
        <f>G82</f>
        <v>3120000000</v>
      </c>
      <c r="J82" s="172">
        <f>I82/Assumptions!$C$4</f>
        <v>104000000</v>
      </c>
      <c r="K82" s="223">
        <f>J82/Assumptions!$C$3</f>
        <v>4.3210902443077943E-5</v>
      </c>
      <c r="L82" s="1520" t="s">
        <v>411</v>
      </c>
      <c r="M82" s="1521"/>
      <c r="N82" s="1521"/>
      <c r="O82" s="1521"/>
      <c r="P82" s="1521"/>
      <c r="Q82" s="1522"/>
    </row>
    <row r="83" spans="2:17" outlineLevel="1" x14ac:dyDescent="0.35">
      <c r="B83" s="248" t="s">
        <v>412</v>
      </c>
      <c r="C83" s="206">
        <v>19049</v>
      </c>
      <c r="D83" s="10" t="s">
        <v>130</v>
      </c>
      <c r="E83" s="695">
        <v>80000</v>
      </c>
      <c r="F83" s="19">
        <v>2000</v>
      </c>
      <c r="G83" s="11">
        <f>C83*E83</f>
        <v>1523920000</v>
      </c>
      <c r="H83" s="20"/>
      <c r="I83" s="11">
        <v>2325057376.71</v>
      </c>
      <c r="J83" s="172">
        <f>I83/Assumptions!$C$4</f>
        <v>77501912.556999996</v>
      </c>
      <c r="K83" s="223">
        <f>J83/Assumptions!$C$3</f>
        <v>3.2201226756273886E-5</v>
      </c>
      <c r="L83" s="1520" t="s">
        <v>411</v>
      </c>
      <c r="M83" s="1521"/>
      <c r="N83" s="1521"/>
      <c r="O83" s="1521"/>
      <c r="P83" s="1521"/>
      <c r="Q83" s="1522"/>
    </row>
    <row r="84" spans="2:17" outlineLevel="1" x14ac:dyDescent="0.35">
      <c r="B84" s="249" t="s">
        <v>413</v>
      </c>
      <c r="C84" s="93">
        <v>250000</v>
      </c>
      <c r="D84" s="207" t="s">
        <v>129</v>
      </c>
      <c r="E84" s="695">
        <v>200</v>
      </c>
      <c r="F84" s="96">
        <v>2000</v>
      </c>
      <c r="G84" s="11">
        <f>C84*E84</f>
        <v>50000000</v>
      </c>
      <c r="H84" s="98"/>
      <c r="I84" s="95">
        <v>76285414.480000004</v>
      </c>
      <c r="J84" s="172">
        <f>I84/Assumptions!$C$4</f>
        <v>2542847.1493333336</v>
      </c>
      <c r="K84" s="223">
        <f>J84/Assumptions!$C$3</f>
        <v>1.0565261547836685E-6</v>
      </c>
      <c r="L84" s="1523" t="s">
        <v>414</v>
      </c>
      <c r="M84" s="1524"/>
      <c r="N84" s="1524"/>
      <c r="O84" s="1524"/>
      <c r="P84" s="1524"/>
      <c r="Q84" s="1525"/>
    </row>
    <row r="85" spans="2:17" outlineLevel="1" x14ac:dyDescent="0.35">
      <c r="B85" s="251" t="s">
        <v>415</v>
      </c>
      <c r="C85" s="228">
        <v>1950000</v>
      </c>
      <c r="D85" s="229" t="s">
        <v>129</v>
      </c>
      <c r="E85" s="224">
        <v>200</v>
      </c>
      <c r="F85" s="230">
        <v>2000</v>
      </c>
      <c r="G85" s="225">
        <f>C85*E85</f>
        <v>390000000</v>
      </c>
      <c r="H85" s="231"/>
      <c r="I85" s="232">
        <v>595026232.95000005</v>
      </c>
      <c r="J85" s="226">
        <f>I85/Assumptions!$C$4</f>
        <v>19834207.765000001</v>
      </c>
      <c r="K85" s="227">
        <f>J85/Assumptions!$C$3</f>
        <v>8.2409040073957126E-6</v>
      </c>
      <c r="L85" s="1526" t="s">
        <v>416</v>
      </c>
      <c r="M85" s="1527"/>
      <c r="N85" s="1527"/>
      <c r="O85" s="1527"/>
      <c r="P85" s="1527"/>
      <c r="Q85" s="1528"/>
    </row>
    <row r="86" spans="2:17" ht="15" outlineLevel="1" thickBot="1" x14ac:dyDescent="0.4">
      <c r="B86" s="249" t="s">
        <v>417</v>
      </c>
      <c r="C86" s="93">
        <f>135692-(38752/2)-747-301-575</f>
        <v>114693</v>
      </c>
      <c r="D86" s="207" t="s">
        <v>132</v>
      </c>
      <c r="E86" s="208">
        <v>5000</v>
      </c>
      <c r="F86" s="96">
        <v>2016</v>
      </c>
      <c r="G86" s="11">
        <f>C86*E86</f>
        <v>573465000</v>
      </c>
      <c r="H86" s="205"/>
      <c r="I86" s="95">
        <f>G86</f>
        <v>573465000</v>
      </c>
      <c r="J86" s="172">
        <f>I86/Assumptions!$C$4</f>
        <v>19115500</v>
      </c>
      <c r="K86" s="223">
        <f>J86/Assumptions!$C$3</f>
        <v>7.942288515871697E-6</v>
      </c>
      <c r="L86" s="14"/>
      <c r="M86" s="14"/>
      <c r="N86" s="14"/>
      <c r="O86" s="14"/>
      <c r="P86" s="14"/>
      <c r="Q86" s="14"/>
    </row>
    <row r="87" spans="2:17" ht="15" outlineLevel="1" thickBot="1" x14ac:dyDescent="0.4">
      <c r="B87" s="299" t="s">
        <v>381</v>
      </c>
      <c r="C87" s="308"/>
      <c r="D87" s="309"/>
      <c r="E87" s="310"/>
      <c r="F87" s="309"/>
      <c r="G87" s="311"/>
      <c r="H87" s="310"/>
      <c r="I87" s="312">
        <f>SUM(SUM(I80:I86))</f>
        <v>11965628116.834049</v>
      </c>
      <c r="J87" s="312">
        <f>SUM(SUM(J80:J86))</f>
        <v>398854270.56113493</v>
      </c>
      <c r="K87" s="313">
        <f>SUM(SUM(K80:K86))</f>
        <v>1.6571974013675209E-4</v>
      </c>
      <c r="L87" s="13"/>
      <c r="M87" s="13"/>
      <c r="N87" s="13"/>
      <c r="O87" s="13"/>
      <c r="P87" s="13"/>
      <c r="Q87" s="13"/>
    </row>
    <row r="88" spans="2:17" outlineLevel="1" x14ac:dyDescent="0.35">
      <c r="B88" s="1461" t="s">
        <v>113</v>
      </c>
      <c r="C88" s="1462"/>
      <c r="D88" s="1462"/>
      <c r="E88" s="1462"/>
      <c r="F88" s="1462"/>
      <c r="G88" s="1462"/>
      <c r="H88" s="1462"/>
      <c r="I88" s="56">
        <f>I87*Assumptions!$C$7</f>
        <v>1196562811.6834049</v>
      </c>
      <c r="J88" s="28">
        <f>J87*Assumptions!$C$7</f>
        <v>39885427.056113496</v>
      </c>
      <c r="K88" s="140">
        <v>2.3205765161528693E-5</v>
      </c>
      <c r="L88" s="14"/>
      <c r="M88" s="14"/>
      <c r="N88" s="14"/>
      <c r="O88" s="14"/>
      <c r="P88" s="14"/>
      <c r="Q88" s="14"/>
    </row>
    <row r="89" spans="2:17" ht="15" outlineLevel="1" thickBot="1" x14ac:dyDescent="0.4">
      <c r="B89" s="1495" t="s">
        <v>382</v>
      </c>
      <c r="C89" s="1496"/>
      <c r="D89" s="1496"/>
      <c r="E89" s="1496"/>
      <c r="F89" s="1496"/>
      <c r="G89" s="1496"/>
      <c r="H89" s="1497"/>
      <c r="I89" s="291">
        <f>I88+I87</f>
        <v>13162190928.517454</v>
      </c>
      <c r="J89" s="291">
        <f>J88+J87</f>
        <v>438739697.61724842</v>
      </c>
      <c r="K89" s="292">
        <f>K88+K87</f>
        <v>1.8892550529828078E-4</v>
      </c>
      <c r="L89" s="15"/>
      <c r="M89" s="15"/>
      <c r="N89" s="15"/>
      <c r="O89" s="15"/>
      <c r="P89" s="15"/>
      <c r="Q89" s="15"/>
    </row>
    <row r="90" spans="2:17" ht="15" outlineLevel="1" thickBot="1" x14ac:dyDescent="0.4">
      <c r="B90" s="1505" t="s">
        <v>383</v>
      </c>
      <c r="C90" s="1506"/>
      <c r="D90" s="1506"/>
      <c r="E90" s="1506"/>
      <c r="F90" s="1506"/>
      <c r="G90" s="1506"/>
      <c r="H90" s="1506"/>
      <c r="I90" s="1506"/>
      <c r="J90" s="1506"/>
      <c r="K90" s="1506"/>
      <c r="L90" s="1506"/>
      <c r="M90" s="1506"/>
      <c r="N90" s="1506"/>
      <c r="O90" s="1506"/>
      <c r="P90" s="1506"/>
      <c r="Q90" s="1507"/>
    </row>
    <row r="91" spans="2:17" outlineLevel="1" x14ac:dyDescent="0.35">
      <c r="B91" s="247" t="s">
        <v>418</v>
      </c>
      <c r="C91" s="16">
        <f>3100000+12300000</f>
        <v>15400000</v>
      </c>
      <c r="D91" s="825" t="s">
        <v>128</v>
      </c>
      <c r="E91" s="695">
        <v>40</v>
      </c>
      <c r="F91" s="19">
        <v>2000</v>
      </c>
      <c r="G91" s="11">
        <f>C91*E91</f>
        <v>616000000</v>
      </c>
      <c r="H91" s="1469"/>
      <c r="I91" s="1541"/>
      <c r="J91" s="90">
        <f>G91</f>
        <v>616000000</v>
      </c>
      <c r="K91" s="92">
        <f>J91/Assumptions!$C$3</f>
        <v>2.5594149908592323E-4</v>
      </c>
      <c r="L91" s="1514"/>
      <c r="M91" s="1515"/>
      <c r="N91" s="1515"/>
      <c r="O91" s="1515"/>
      <c r="P91" s="1515"/>
      <c r="Q91" s="1516"/>
    </row>
    <row r="92" spans="2:17" outlineLevel="1" x14ac:dyDescent="0.35">
      <c r="B92" s="247"/>
      <c r="C92" s="16"/>
      <c r="D92" s="825"/>
      <c r="E92" s="695"/>
      <c r="F92" s="108"/>
      <c r="G92" s="110"/>
      <c r="H92" s="1542"/>
      <c r="I92" s="1543"/>
      <c r="J92" s="5">
        <f>G92</f>
        <v>0</v>
      </c>
      <c r="K92" s="92">
        <f>J92/Assumptions!$C$3</f>
        <v>0</v>
      </c>
      <c r="L92" s="1546"/>
      <c r="M92" s="1547"/>
      <c r="N92" s="1547"/>
      <c r="O92" s="1547"/>
      <c r="P92" s="1547"/>
      <c r="Q92" s="1548"/>
    </row>
    <row r="93" spans="2:17" outlineLevel="1" x14ac:dyDescent="0.35">
      <c r="B93" s="247"/>
      <c r="C93" s="16"/>
      <c r="D93" s="825"/>
      <c r="E93" s="695"/>
      <c r="F93" s="108"/>
      <c r="G93" s="110"/>
      <c r="H93" s="1542"/>
      <c r="I93" s="1543"/>
      <c r="J93" s="5">
        <f>G93</f>
        <v>0</v>
      </c>
      <c r="K93" s="92">
        <f>J93/Assumptions!$C$3</f>
        <v>0</v>
      </c>
      <c r="L93" s="1546"/>
      <c r="M93" s="1547"/>
      <c r="N93" s="1547"/>
      <c r="O93" s="1547"/>
      <c r="P93" s="1547"/>
      <c r="Q93" s="1548"/>
    </row>
    <row r="94" spans="2:17" outlineLevel="1" x14ac:dyDescent="0.35">
      <c r="B94" s="247"/>
      <c r="C94" s="16"/>
      <c r="D94" s="825"/>
      <c r="E94" s="695"/>
      <c r="F94" s="108"/>
      <c r="G94" s="110"/>
      <c r="H94" s="1542"/>
      <c r="I94" s="1543"/>
      <c r="J94" s="5">
        <f>G94</f>
        <v>0</v>
      </c>
      <c r="K94" s="92">
        <f>J94/Assumptions!$C$3</f>
        <v>0</v>
      </c>
      <c r="L94" s="1514"/>
      <c r="M94" s="1515"/>
      <c r="N94" s="1515"/>
      <c r="O94" s="1515"/>
      <c r="P94" s="1515"/>
      <c r="Q94" s="1516"/>
    </row>
    <row r="95" spans="2:17" outlineLevel="1" x14ac:dyDescent="0.35">
      <c r="B95" s="247"/>
      <c r="C95" s="16"/>
      <c r="D95" s="825"/>
      <c r="E95" s="695"/>
      <c r="F95" s="108"/>
      <c r="G95" s="5"/>
      <c r="H95" s="1542"/>
      <c r="I95" s="1543"/>
      <c r="J95" s="5">
        <f t="shared" ref="J95:J96" si="5">G95</f>
        <v>0</v>
      </c>
      <c r="K95" s="92">
        <f>J95/Assumptions!$C$3</f>
        <v>0</v>
      </c>
      <c r="L95" s="1546"/>
      <c r="M95" s="1547"/>
      <c r="N95" s="1547"/>
      <c r="O95" s="1547"/>
      <c r="P95" s="1547"/>
      <c r="Q95" s="1548"/>
    </row>
    <row r="96" spans="2:17" ht="15" outlineLevel="1" thickBot="1" x14ac:dyDescent="0.4">
      <c r="B96" s="249" t="s">
        <v>419</v>
      </c>
      <c r="C96" s="16">
        <f>C86</f>
        <v>114693</v>
      </c>
      <c r="D96" s="825" t="s">
        <v>132</v>
      </c>
      <c r="E96" s="695">
        <v>1000</v>
      </c>
      <c r="F96" s="108">
        <v>2016</v>
      </c>
      <c r="G96" s="11">
        <f>C96*E96</f>
        <v>114693000</v>
      </c>
      <c r="H96" s="1544"/>
      <c r="I96" s="1545"/>
      <c r="J96" s="5">
        <f t="shared" si="5"/>
        <v>114693000</v>
      </c>
      <c r="K96" s="92">
        <f>J96/Assumptions!$C$3</f>
        <v>4.7653731095230178E-5</v>
      </c>
      <c r="L96" s="1546"/>
      <c r="M96" s="1547"/>
      <c r="N96" s="1547"/>
      <c r="O96" s="1547"/>
      <c r="P96" s="1547"/>
      <c r="Q96" s="1548"/>
    </row>
    <row r="97" spans="1:22" ht="15" outlineLevel="1" thickBot="1" x14ac:dyDescent="0.4">
      <c r="B97" s="300" t="s">
        <v>407</v>
      </c>
      <c r="C97" s="301"/>
      <c r="D97" s="302"/>
      <c r="E97" s="303"/>
      <c r="F97" s="302"/>
      <c r="G97" s="304"/>
      <c r="H97" s="303"/>
      <c r="I97" s="305"/>
      <c r="J97" s="306">
        <f>SUM(SUM(J91:J96))</f>
        <v>730693000</v>
      </c>
      <c r="K97" s="307">
        <f>SUM(SUM(K91:K96))</f>
        <v>3.0359523018115342E-4</v>
      </c>
      <c r="L97" s="17"/>
      <c r="M97" s="17"/>
      <c r="N97" s="17"/>
      <c r="O97" s="17"/>
      <c r="P97" s="17"/>
      <c r="Q97" s="107"/>
    </row>
    <row r="98" spans="1:22" ht="15" thickBot="1" x14ac:dyDescent="0.4">
      <c r="B98" s="2"/>
      <c r="C98" s="197"/>
      <c r="D98" s="2"/>
      <c r="E98" s="2"/>
      <c r="F98" s="2"/>
      <c r="G98" s="2"/>
      <c r="H98" s="2"/>
      <c r="I98" s="2"/>
      <c r="J98" s="2"/>
      <c r="K98" s="2"/>
      <c r="L98" s="2"/>
      <c r="M98" s="2"/>
      <c r="N98" s="2"/>
      <c r="O98" s="2"/>
      <c r="P98" s="2"/>
      <c r="Q98" s="2"/>
      <c r="R98" s="2"/>
      <c r="S98" s="2"/>
      <c r="T98" s="2"/>
      <c r="U98" s="2"/>
      <c r="V98" s="2"/>
    </row>
    <row r="99" spans="1:22" s="118" customFormat="1" ht="15" collapsed="1" thickBot="1" x14ac:dyDescent="0.4">
      <c r="A99" s="315"/>
      <c r="B99" s="153" t="s">
        <v>420</v>
      </c>
      <c r="C99" s="265"/>
      <c r="D99" s="154"/>
      <c r="E99" s="154"/>
      <c r="F99" s="154"/>
      <c r="G99" s="154"/>
      <c r="H99" s="154"/>
      <c r="I99" s="154"/>
      <c r="J99" s="154"/>
      <c r="K99" s="154"/>
      <c r="L99" s="154"/>
      <c r="M99" s="154"/>
      <c r="N99" s="154"/>
      <c r="O99" s="154"/>
      <c r="P99" s="154"/>
      <c r="Q99" s="154"/>
      <c r="R99" s="1534"/>
      <c r="S99" s="1534"/>
      <c r="T99" s="1534"/>
      <c r="U99" s="1534"/>
      <c r="V99" s="1535"/>
    </row>
    <row r="100" spans="1:22" ht="15" outlineLevel="1" thickBot="1" x14ac:dyDescent="0.4">
      <c r="B100" s="104"/>
      <c r="C100" s="263"/>
      <c r="D100" s="826" t="s">
        <v>123</v>
      </c>
      <c r="E100" s="826" t="s">
        <v>124</v>
      </c>
      <c r="F100" s="826" t="s">
        <v>125</v>
      </c>
      <c r="G100" s="826" t="s">
        <v>126</v>
      </c>
      <c r="H100" s="826" t="s">
        <v>127</v>
      </c>
      <c r="I100" s="826" t="s">
        <v>344</v>
      </c>
      <c r="J100" s="826" t="s">
        <v>345</v>
      </c>
      <c r="K100" s="826" t="s">
        <v>108</v>
      </c>
      <c r="L100" s="1501" t="s">
        <v>346</v>
      </c>
      <c r="M100" s="1501"/>
      <c r="N100" s="1501"/>
      <c r="O100" s="1501"/>
      <c r="P100" s="1501"/>
      <c r="Q100" s="1501"/>
      <c r="R100" s="105" t="s">
        <v>347</v>
      </c>
      <c r="S100" s="826" t="s">
        <v>348</v>
      </c>
      <c r="T100" s="826" t="s">
        <v>349</v>
      </c>
      <c r="U100" s="826" t="s">
        <v>350</v>
      </c>
      <c r="V100" s="106" t="s">
        <v>351</v>
      </c>
    </row>
    <row r="101" spans="1:22" ht="15" outlineLevel="1" thickBot="1" x14ac:dyDescent="0.4">
      <c r="B101" s="1532" t="s">
        <v>421</v>
      </c>
      <c r="C101" s="1479"/>
      <c r="D101" s="1479"/>
      <c r="E101" s="1479"/>
      <c r="F101" s="1479"/>
      <c r="G101" s="1479"/>
      <c r="H101" s="1479"/>
      <c r="I101" s="1479"/>
      <c r="J101" s="1479"/>
      <c r="K101" s="1479"/>
      <c r="L101" s="1479"/>
      <c r="M101" s="1479"/>
      <c r="N101" s="1479"/>
      <c r="O101" s="1479"/>
      <c r="P101" s="1479"/>
      <c r="Q101" s="1479"/>
      <c r="R101" s="1478"/>
      <c r="S101" s="1478"/>
      <c r="T101" s="1478"/>
      <c r="U101" s="1478"/>
      <c r="V101" s="1533"/>
    </row>
    <row r="102" spans="1:22" outlineLevel="1" x14ac:dyDescent="0.35">
      <c r="B102" s="252" t="s">
        <v>422</v>
      </c>
      <c r="C102" s="9">
        <f>(126*0.8)+46+173+(144*0.08)+1000+161+162+(1293*0.2)</f>
        <v>1912.92</v>
      </c>
      <c r="D102" s="827" t="s">
        <v>137</v>
      </c>
      <c r="E102" s="5">
        <v>75000</v>
      </c>
      <c r="F102" s="4">
        <v>2015</v>
      </c>
      <c r="G102" s="5">
        <f t="shared" ref="G102" si="6">C102*E102</f>
        <v>143469000</v>
      </c>
      <c r="H102" s="6" t="s">
        <v>138</v>
      </c>
      <c r="I102" s="5">
        <f>144879151*1.013</f>
        <v>146762579.963</v>
      </c>
      <c r="J102" s="172">
        <f>I102/Assumptions!$C$4</f>
        <v>4892085.9987666663</v>
      </c>
      <c r="K102" s="165">
        <f>J102/Assumptions!$C$3</f>
        <v>2.0326101041909035E-6</v>
      </c>
      <c r="L102" s="1536" t="s">
        <v>423</v>
      </c>
      <c r="M102" s="1537"/>
      <c r="N102" s="1537"/>
      <c r="O102" s="1537"/>
      <c r="P102" s="1537"/>
      <c r="Q102" s="1523"/>
      <c r="R102" s="35"/>
      <c r="S102" s="34"/>
      <c r="T102" s="34"/>
      <c r="U102" s="36"/>
      <c r="V102" s="64"/>
    </row>
    <row r="103" spans="1:22" outlineLevel="1" x14ac:dyDescent="0.35">
      <c r="B103" s="247" t="s">
        <v>424</v>
      </c>
      <c r="C103" s="167"/>
      <c r="D103" s="168"/>
      <c r="E103" s="91"/>
      <c r="F103" s="169"/>
      <c r="G103" s="170"/>
      <c r="H103" s="171"/>
      <c r="I103" s="170"/>
      <c r="J103" s="170"/>
      <c r="K103" s="92"/>
      <c r="L103" s="1538"/>
      <c r="M103" s="1539"/>
      <c r="N103" s="1539"/>
      <c r="O103" s="1539"/>
      <c r="P103" s="1539"/>
      <c r="Q103" s="1540"/>
    </row>
    <row r="104" spans="1:22" outlineLevel="1" x14ac:dyDescent="0.35">
      <c r="B104" s="248"/>
      <c r="C104" s="266"/>
      <c r="D104" s="10"/>
      <c r="E104" s="91"/>
      <c r="F104" s="19"/>
      <c r="G104" s="11"/>
      <c r="H104" s="20"/>
      <c r="I104" s="11"/>
      <c r="J104" s="11"/>
      <c r="K104" s="92"/>
      <c r="L104" s="1526"/>
      <c r="M104" s="1527"/>
      <c r="N104" s="1527"/>
      <c r="O104" s="1527"/>
      <c r="P104" s="1527"/>
      <c r="Q104" s="1528"/>
    </row>
    <row r="105" spans="1:22" outlineLevel="1" x14ac:dyDescent="0.35">
      <c r="B105" s="248"/>
      <c r="C105" s="9"/>
      <c r="D105" s="10"/>
      <c r="E105" s="91"/>
      <c r="F105" s="4"/>
      <c r="G105" s="11"/>
      <c r="H105" s="6"/>
      <c r="I105" s="5"/>
      <c r="J105" s="5"/>
      <c r="K105" s="92"/>
      <c r="L105" s="1523"/>
      <c r="M105" s="1524"/>
      <c r="N105" s="1524"/>
      <c r="O105" s="1524"/>
      <c r="P105" s="1524"/>
      <c r="Q105" s="1525"/>
    </row>
    <row r="106" spans="1:22" ht="15" outlineLevel="1" thickBot="1" x14ac:dyDescent="0.4">
      <c r="B106" s="253"/>
      <c r="C106" s="93"/>
      <c r="D106" s="94"/>
      <c r="E106" s="121"/>
      <c r="F106" s="96"/>
      <c r="G106" s="97"/>
      <c r="H106" s="98"/>
      <c r="I106" s="95"/>
      <c r="J106" s="95"/>
      <c r="K106" s="139"/>
      <c r="L106" s="1551"/>
      <c r="M106" s="1503"/>
      <c r="N106" s="1503"/>
      <c r="O106" s="1503"/>
      <c r="P106" s="1503"/>
      <c r="Q106" s="1529"/>
    </row>
    <row r="107" spans="1:22" outlineLevel="1" x14ac:dyDescent="0.35">
      <c r="B107" s="293" t="s">
        <v>381</v>
      </c>
      <c r="C107" s="294"/>
      <c r="D107" s="295"/>
      <c r="E107" s="296"/>
      <c r="F107" s="295"/>
      <c r="G107" s="297"/>
      <c r="H107" s="296"/>
      <c r="I107" s="289">
        <f>SUM(SUM(I102:I106))</f>
        <v>146762579.963</v>
      </c>
      <c r="J107" s="289">
        <f>SUM(SUM(J102:J106))</f>
        <v>4892085.9987666663</v>
      </c>
      <c r="K107" s="298">
        <f>SUM(SUM(K102:K106))</f>
        <v>2.0326101041909035E-6</v>
      </c>
      <c r="L107" s="13"/>
      <c r="M107" s="13"/>
      <c r="N107" s="13"/>
      <c r="O107" s="13"/>
      <c r="P107" s="13"/>
      <c r="Q107" s="13"/>
    </row>
    <row r="108" spans="1:22" outlineLevel="1" x14ac:dyDescent="0.35">
      <c r="B108" s="1461" t="s">
        <v>113</v>
      </c>
      <c r="C108" s="1462"/>
      <c r="D108" s="1462"/>
      <c r="E108" s="1462"/>
      <c r="F108" s="1462"/>
      <c r="G108" s="1462"/>
      <c r="H108" s="1462"/>
      <c r="I108" s="56">
        <f>I107*Assumptions!$C$7</f>
        <v>14676257.996300001</v>
      </c>
      <c r="J108" s="28">
        <f>J107*Assumptions!$C$7</f>
        <v>489208.59987666667</v>
      </c>
      <c r="K108" s="140">
        <v>2.846267602391916E-7</v>
      </c>
      <c r="L108" s="14"/>
      <c r="M108" s="14"/>
      <c r="N108" s="14"/>
      <c r="O108" s="14"/>
      <c r="P108" s="14"/>
      <c r="Q108" s="14"/>
    </row>
    <row r="109" spans="1:22" ht="15" outlineLevel="1" thickBot="1" x14ac:dyDescent="0.4">
      <c r="B109" s="1495" t="s">
        <v>382</v>
      </c>
      <c r="C109" s="1496"/>
      <c r="D109" s="1496"/>
      <c r="E109" s="1496"/>
      <c r="F109" s="1496"/>
      <c r="G109" s="1496"/>
      <c r="H109" s="1497"/>
      <c r="I109" s="291">
        <f>I108+I107</f>
        <v>161438837.95930001</v>
      </c>
      <c r="J109" s="291">
        <f>J108+J107</f>
        <v>5381294.5986433327</v>
      </c>
      <c r="K109" s="292">
        <f>K108+K107</f>
        <v>2.3172368644300949E-6</v>
      </c>
      <c r="L109" s="15"/>
      <c r="M109" s="15"/>
      <c r="N109" s="15"/>
      <c r="O109" s="15"/>
      <c r="P109" s="15"/>
      <c r="Q109" s="15"/>
    </row>
    <row r="110" spans="1:22" ht="15" outlineLevel="1" thickBot="1" x14ac:dyDescent="0.4">
      <c r="B110" s="1505" t="s">
        <v>383</v>
      </c>
      <c r="C110" s="1506"/>
      <c r="D110" s="1506"/>
      <c r="E110" s="1506"/>
      <c r="F110" s="1506"/>
      <c r="G110" s="1506"/>
      <c r="H110" s="1506"/>
      <c r="I110" s="1506"/>
      <c r="J110" s="1506"/>
      <c r="K110" s="1506"/>
      <c r="L110" s="1506"/>
      <c r="M110" s="1506"/>
      <c r="N110" s="1506"/>
      <c r="O110" s="1506"/>
      <c r="P110" s="1506"/>
      <c r="Q110" s="1507"/>
    </row>
    <row r="111" spans="1:22" outlineLevel="1" x14ac:dyDescent="0.35">
      <c r="B111" s="247"/>
      <c r="C111" s="16"/>
      <c r="D111" s="825"/>
      <c r="E111" s="91"/>
      <c r="F111" s="108"/>
      <c r="G111" s="110"/>
      <c r="H111" s="1469"/>
      <c r="I111" s="1541"/>
      <c r="J111" s="90"/>
      <c r="K111" s="92">
        <f>J111/Assumptions!$C$3</f>
        <v>0</v>
      </c>
      <c r="L111" s="1514"/>
      <c r="M111" s="1515"/>
      <c r="N111" s="1515"/>
      <c r="O111" s="1515"/>
      <c r="P111" s="1515"/>
      <c r="Q111" s="1516"/>
    </row>
    <row r="112" spans="1:22" outlineLevel="1" x14ac:dyDescent="0.35">
      <c r="B112" s="247"/>
      <c r="C112" s="16"/>
      <c r="D112" s="825"/>
      <c r="E112" s="695"/>
      <c r="F112" s="108"/>
      <c r="G112" s="110"/>
      <c r="H112" s="1542"/>
      <c r="I112" s="1543"/>
      <c r="J112" s="5">
        <f>G112</f>
        <v>0</v>
      </c>
      <c r="K112" s="92">
        <f>J112/Assumptions!$C$3</f>
        <v>0</v>
      </c>
      <c r="L112" s="1546"/>
      <c r="M112" s="1547"/>
      <c r="N112" s="1547"/>
      <c r="O112" s="1547"/>
      <c r="P112" s="1547"/>
      <c r="Q112" s="1548"/>
    </row>
    <row r="113" spans="1:22" outlineLevel="1" x14ac:dyDescent="0.35">
      <c r="B113" s="247"/>
      <c r="C113" s="16"/>
      <c r="D113" s="825"/>
      <c r="E113" s="695"/>
      <c r="F113" s="108"/>
      <c r="G113" s="110"/>
      <c r="H113" s="1542"/>
      <c r="I113" s="1543"/>
      <c r="J113" s="5">
        <f>G113</f>
        <v>0</v>
      </c>
      <c r="K113" s="92">
        <f>J113/Assumptions!$C$3</f>
        <v>0</v>
      </c>
      <c r="L113" s="1546"/>
      <c r="M113" s="1547"/>
      <c r="N113" s="1547"/>
      <c r="O113" s="1547"/>
      <c r="P113" s="1547"/>
      <c r="Q113" s="1548"/>
    </row>
    <row r="114" spans="1:22" outlineLevel="1" x14ac:dyDescent="0.35">
      <c r="B114" s="247"/>
      <c r="C114" s="16"/>
      <c r="D114" s="825"/>
      <c r="E114" s="695"/>
      <c r="F114" s="108"/>
      <c r="G114" s="110"/>
      <c r="H114" s="1542"/>
      <c r="I114" s="1543"/>
      <c r="J114" s="5">
        <f>G114</f>
        <v>0</v>
      </c>
      <c r="K114" s="92">
        <f>J114/Assumptions!$C$3</f>
        <v>0</v>
      </c>
      <c r="L114" s="1514"/>
      <c r="M114" s="1515"/>
      <c r="N114" s="1515"/>
      <c r="O114" s="1515"/>
      <c r="P114" s="1515"/>
      <c r="Q114" s="1516"/>
    </row>
    <row r="115" spans="1:22" outlineLevel="1" x14ac:dyDescent="0.35">
      <c r="B115" s="247"/>
      <c r="C115" s="16"/>
      <c r="D115" s="825"/>
      <c r="E115" s="695"/>
      <c r="F115" s="108"/>
      <c r="G115" s="5"/>
      <c r="H115" s="1542"/>
      <c r="I115" s="1543"/>
      <c r="J115" s="5">
        <f t="shared" ref="J115:J116" si="7">G115</f>
        <v>0</v>
      </c>
      <c r="K115" s="92">
        <f>J115/Assumptions!$C$3</f>
        <v>0</v>
      </c>
      <c r="L115" s="1546"/>
      <c r="M115" s="1547"/>
      <c r="N115" s="1547"/>
      <c r="O115" s="1547"/>
      <c r="P115" s="1547"/>
      <c r="Q115" s="1548"/>
    </row>
    <row r="116" spans="1:22" ht="15" outlineLevel="1" thickBot="1" x14ac:dyDescent="0.4">
      <c r="B116" s="248"/>
      <c r="C116" s="16"/>
      <c r="D116" s="825"/>
      <c r="E116" s="695"/>
      <c r="F116" s="108"/>
      <c r="G116" s="5"/>
      <c r="H116" s="1544"/>
      <c r="I116" s="1545"/>
      <c r="J116" s="5">
        <f t="shared" si="7"/>
        <v>0</v>
      </c>
      <c r="K116" s="92">
        <f>J116/Assumptions!$C$3</f>
        <v>0</v>
      </c>
      <c r="L116" s="1546"/>
      <c r="M116" s="1547"/>
      <c r="N116" s="1547"/>
      <c r="O116" s="1547"/>
      <c r="P116" s="1547"/>
      <c r="Q116" s="1548"/>
    </row>
    <row r="117" spans="1:22" ht="15" outlineLevel="1" thickBot="1" x14ac:dyDescent="0.4">
      <c r="B117" s="300" t="s">
        <v>407</v>
      </c>
      <c r="C117" s="301"/>
      <c r="D117" s="302"/>
      <c r="E117" s="303"/>
      <c r="F117" s="302"/>
      <c r="G117" s="304"/>
      <c r="H117" s="303"/>
      <c r="I117" s="305"/>
      <c r="J117" s="306">
        <f>SUM(SUM(J111:J116))</f>
        <v>0</v>
      </c>
      <c r="K117" s="307">
        <f>SUM(SUM(K111:K116))</f>
        <v>0</v>
      </c>
      <c r="L117" s="17"/>
      <c r="M117" s="17"/>
      <c r="N117" s="17"/>
      <c r="O117" s="17"/>
      <c r="P117" s="17"/>
      <c r="Q117" s="107"/>
    </row>
    <row r="118" spans="1:22" ht="15" thickBot="1" x14ac:dyDescent="0.4">
      <c r="B118" s="2"/>
      <c r="C118" s="197"/>
      <c r="D118" s="2"/>
      <c r="E118" s="2"/>
      <c r="F118" s="2"/>
      <c r="G118" s="2"/>
      <c r="H118" s="2"/>
      <c r="I118" s="2"/>
      <c r="J118" s="2"/>
      <c r="K118" s="2"/>
      <c r="L118" s="2"/>
      <c r="M118" s="2"/>
      <c r="N118" s="2"/>
      <c r="O118" s="2"/>
      <c r="P118" s="2"/>
      <c r="Q118" s="2"/>
      <c r="R118" s="2"/>
      <c r="S118" s="2"/>
      <c r="T118" s="2"/>
      <c r="U118" s="2"/>
      <c r="V118" s="2"/>
    </row>
    <row r="119" spans="1:22" s="118" customFormat="1" ht="15" collapsed="1" thickBot="1" x14ac:dyDescent="0.4">
      <c r="A119" s="315"/>
      <c r="B119" s="155" t="s">
        <v>425</v>
      </c>
      <c r="C119" s="267"/>
      <c r="D119" s="156"/>
      <c r="E119" s="156"/>
      <c r="F119" s="156"/>
      <c r="G119" s="156"/>
      <c r="H119" s="156"/>
      <c r="I119" s="156"/>
      <c r="J119" s="156"/>
      <c r="K119" s="156"/>
      <c r="L119" s="156"/>
      <c r="M119" s="156"/>
      <c r="N119" s="156"/>
      <c r="O119" s="156"/>
      <c r="P119" s="156"/>
      <c r="Q119" s="156"/>
      <c r="R119" s="1549"/>
      <c r="S119" s="1549"/>
      <c r="T119" s="1549"/>
      <c r="U119" s="1549"/>
      <c r="V119" s="1550"/>
    </row>
    <row r="120" spans="1:22" ht="15" outlineLevel="1" thickBot="1" x14ac:dyDescent="0.4">
      <c r="B120" s="104"/>
      <c r="C120" s="263"/>
      <c r="D120" s="826" t="s">
        <v>123</v>
      </c>
      <c r="E120" s="826" t="s">
        <v>124</v>
      </c>
      <c r="F120" s="826" t="s">
        <v>125</v>
      </c>
      <c r="G120" s="826" t="s">
        <v>126</v>
      </c>
      <c r="H120" s="826" t="s">
        <v>127</v>
      </c>
      <c r="I120" s="826" t="s">
        <v>344</v>
      </c>
      <c r="J120" s="826" t="s">
        <v>345</v>
      </c>
      <c r="K120" s="826" t="s">
        <v>108</v>
      </c>
      <c r="L120" s="1501" t="s">
        <v>346</v>
      </c>
      <c r="M120" s="1501"/>
      <c r="N120" s="1501"/>
      <c r="O120" s="1501"/>
      <c r="P120" s="1501"/>
      <c r="Q120" s="1501"/>
      <c r="R120" s="105" t="s">
        <v>347</v>
      </c>
      <c r="S120" s="826" t="s">
        <v>348</v>
      </c>
      <c r="T120" s="826" t="s">
        <v>349</v>
      </c>
      <c r="U120" s="826" t="s">
        <v>350</v>
      </c>
      <c r="V120" s="106" t="s">
        <v>351</v>
      </c>
    </row>
    <row r="121" spans="1:22" ht="15" outlineLevel="1" thickBot="1" x14ac:dyDescent="0.4">
      <c r="B121" s="1477" t="s">
        <v>352</v>
      </c>
      <c r="C121" s="1478"/>
      <c r="D121" s="1478"/>
      <c r="E121" s="1478"/>
      <c r="F121" s="1478"/>
      <c r="G121" s="1478"/>
      <c r="H121" s="1478"/>
      <c r="I121" s="1478"/>
      <c r="J121" s="1478"/>
      <c r="K121" s="1478"/>
      <c r="L121" s="1478"/>
      <c r="M121" s="1478"/>
      <c r="N121" s="1478"/>
      <c r="O121" s="1478"/>
      <c r="P121" s="1478"/>
      <c r="Q121" s="1478"/>
      <c r="R121" s="1478"/>
      <c r="S121" s="1478"/>
      <c r="T121" s="1478"/>
      <c r="U121" s="1478"/>
      <c r="V121" s="1533"/>
    </row>
    <row r="122" spans="1:22" outlineLevel="1" x14ac:dyDescent="0.35">
      <c r="B122" s="246" t="s">
        <v>426</v>
      </c>
      <c r="C122" s="132"/>
      <c r="D122" s="133"/>
      <c r="E122" s="134"/>
      <c r="F122" s="135"/>
      <c r="G122" s="136"/>
      <c r="H122" s="134"/>
      <c r="I122" s="137"/>
      <c r="J122" s="137"/>
      <c r="K122" s="138"/>
      <c r="L122" s="1546"/>
      <c r="M122" s="1547"/>
      <c r="N122" s="1547"/>
      <c r="O122" s="1547"/>
      <c r="P122" s="1547"/>
      <c r="Q122" s="1548"/>
    </row>
    <row r="123" spans="1:22" outlineLevel="1" x14ac:dyDescent="0.35">
      <c r="B123" s="248"/>
      <c r="C123" s="18"/>
      <c r="D123" s="10"/>
      <c r="E123" s="91"/>
      <c r="F123" s="19"/>
      <c r="G123" s="11"/>
      <c r="H123" s="20"/>
      <c r="I123" s="11"/>
      <c r="J123" s="11"/>
      <c r="K123" s="92"/>
      <c r="L123" s="1526"/>
      <c r="M123" s="1527"/>
      <c r="N123" s="1527"/>
      <c r="O123" s="1527"/>
      <c r="P123" s="1527"/>
      <c r="Q123" s="1528"/>
    </row>
    <row r="124" spans="1:22" ht="15" outlineLevel="1" thickBot="1" x14ac:dyDescent="0.4">
      <c r="B124" s="248"/>
      <c r="C124" s="266"/>
      <c r="D124" s="10"/>
      <c r="E124" s="91"/>
      <c r="F124" s="19"/>
      <c r="G124" s="11"/>
      <c r="H124" s="20"/>
      <c r="I124" s="11"/>
      <c r="J124" s="11"/>
      <c r="K124" s="92"/>
      <c r="L124" s="1526"/>
      <c r="M124" s="1527"/>
      <c r="N124" s="1527"/>
      <c r="O124" s="1527"/>
      <c r="P124" s="1527"/>
      <c r="Q124" s="1528"/>
    </row>
    <row r="125" spans="1:22" outlineLevel="1" x14ac:dyDescent="0.35">
      <c r="B125" s="293" t="s">
        <v>381</v>
      </c>
      <c r="C125" s="294"/>
      <c r="D125" s="295"/>
      <c r="E125" s="296"/>
      <c r="F125" s="295"/>
      <c r="G125" s="297"/>
      <c r="H125" s="296"/>
      <c r="I125" s="289">
        <f>SUM(SUM(I122:I124))</f>
        <v>0</v>
      </c>
      <c r="J125" s="289">
        <f>SUM(SUM(J122:J124))</f>
        <v>0</v>
      </c>
      <c r="K125" s="298">
        <f>SUM(SUM(K122:K124))</f>
        <v>0</v>
      </c>
      <c r="L125" s="13"/>
      <c r="M125" s="13"/>
      <c r="N125" s="13"/>
      <c r="O125" s="13"/>
      <c r="P125" s="13"/>
      <c r="Q125" s="13"/>
    </row>
    <row r="126" spans="1:22" outlineLevel="1" x14ac:dyDescent="0.35">
      <c r="B126" s="1461" t="s">
        <v>113</v>
      </c>
      <c r="C126" s="1462"/>
      <c r="D126" s="1462"/>
      <c r="E126" s="1462"/>
      <c r="F126" s="1462"/>
      <c r="G126" s="1462"/>
      <c r="H126" s="1462"/>
      <c r="I126" s="56">
        <f>I125*Assumptions!$C$7</f>
        <v>0</v>
      </c>
      <c r="J126" s="28">
        <f>J125*Assumptions!$C$7</f>
        <v>0</v>
      </c>
      <c r="K126" s="140">
        <v>0</v>
      </c>
      <c r="L126" s="14"/>
      <c r="M126" s="14"/>
      <c r="N126" s="14"/>
      <c r="O126" s="14"/>
      <c r="P126" s="14"/>
      <c r="Q126" s="14"/>
    </row>
    <row r="127" spans="1:22" ht="15" outlineLevel="1" thickBot="1" x14ac:dyDescent="0.4">
      <c r="B127" s="1495" t="s">
        <v>382</v>
      </c>
      <c r="C127" s="1496"/>
      <c r="D127" s="1496"/>
      <c r="E127" s="1496"/>
      <c r="F127" s="1496"/>
      <c r="G127" s="1496"/>
      <c r="H127" s="1497"/>
      <c r="I127" s="291">
        <f>I126+I125</f>
        <v>0</v>
      </c>
      <c r="J127" s="291">
        <f>J126+J125</f>
        <v>0</v>
      </c>
      <c r="K127" s="292">
        <f>K126+K125</f>
        <v>0</v>
      </c>
      <c r="L127" s="15"/>
      <c r="M127" s="15"/>
      <c r="N127" s="15"/>
      <c r="O127" s="15"/>
      <c r="P127" s="15"/>
      <c r="Q127" s="15"/>
    </row>
    <row r="128" spans="1:22" ht="15" outlineLevel="1" thickBot="1" x14ac:dyDescent="0.4">
      <c r="B128" s="1505" t="s">
        <v>383</v>
      </c>
      <c r="C128" s="1506"/>
      <c r="D128" s="1506"/>
      <c r="E128" s="1506"/>
      <c r="F128" s="1506"/>
      <c r="G128" s="1506"/>
      <c r="H128" s="1506"/>
      <c r="I128" s="1506"/>
      <c r="J128" s="1506"/>
      <c r="K128" s="1506"/>
      <c r="L128" s="1506"/>
      <c r="M128" s="1506"/>
      <c r="N128" s="1506"/>
      <c r="O128" s="1506"/>
      <c r="P128" s="1506"/>
      <c r="Q128" s="1507"/>
    </row>
    <row r="129" spans="2:22" outlineLevel="1" x14ac:dyDescent="0.35">
      <c r="B129" s="247"/>
      <c r="C129" s="16"/>
      <c r="D129" s="825"/>
      <c r="E129" s="91"/>
      <c r="F129" s="108"/>
      <c r="G129" s="110"/>
      <c r="H129" s="1469"/>
      <c r="I129" s="1541"/>
      <c r="J129" s="90"/>
      <c r="K129" s="92">
        <f>J129/Assumptions!$C$3</f>
        <v>0</v>
      </c>
      <c r="L129" s="1514"/>
      <c r="M129" s="1515"/>
      <c r="N129" s="1515"/>
      <c r="O129" s="1515"/>
      <c r="P129" s="1515"/>
      <c r="Q129" s="1516"/>
    </row>
    <row r="130" spans="2:22" outlineLevel="1" x14ac:dyDescent="0.35">
      <c r="B130" s="247"/>
      <c r="C130" s="16"/>
      <c r="D130" s="825"/>
      <c r="E130" s="695"/>
      <c r="F130" s="108"/>
      <c r="G130" s="110"/>
      <c r="H130" s="1542"/>
      <c r="I130" s="1543"/>
      <c r="J130" s="5">
        <f>G130</f>
        <v>0</v>
      </c>
      <c r="K130" s="92">
        <f>J130/Assumptions!$C$3</f>
        <v>0</v>
      </c>
      <c r="L130" s="1546"/>
      <c r="M130" s="1547"/>
      <c r="N130" s="1547"/>
      <c r="O130" s="1547"/>
      <c r="P130" s="1547"/>
      <c r="Q130" s="1548"/>
    </row>
    <row r="131" spans="2:22" outlineLevel="1" x14ac:dyDescent="0.35">
      <c r="B131" s="247"/>
      <c r="C131" s="16"/>
      <c r="D131" s="825"/>
      <c r="E131" s="695"/>
      <c r="F131" s="108"/>
      <c r="G131" s="5"/>
      <c r="H131" s="1542"/>
      <c r="I131" s="1543"/>
      <c r="J131" s="5">
        <f t="shared" ref="J131:J132" si="8">G131</f>
        <v>0</v>
      </c>
      <c r="K131" s="92">
        <f>J131/Assumptions!$C$3</f>
        <v>0</v>
      </c>
      <c r="L131" s="1546"/>
      <c r="M131" s="1547"/>
      <c r="N131" s="1547"/>
      <c r="O131" s="1547"/>
      <c r="P131" s="1547"/>
      <c r="Q131" s="1548"/>
    </row>
    <row r="132" spans="2:22" ht="15" outlineLevel="1" thickBot="1" x14ac:dyDescent="0.4">
      <c r="B132" s="248"/>
      <c r="C132" s="16"/>
      <c r="D132" s="825"/>
      <c r="E132" s="695"/>
      <c r="F132" s="108"/>
      <c r="G132" s="5"/>
      <c r="H132" s="1544"/>
      <c r="I132" s="1545"/>
      <c r="J132" s="5">
        <f t="shared" si="8"/>
        <v>0</v>
      </c>
      <c r="K132" s="92">
        <f>J132/Assumptions!$C$3</f>
        <v>0</v>
      </c>
      <c r="L132" s="1546"/>
      <c r="M132" s="1547"/>
      <c r="N132" s="1547"/>
      <c r="O132" s="1547"/>
      <c r="P132" s="1547"/>
      <c r="Q132" s="1548"/>
    </row>
    <row r="133" spans="2:22" ht="15" outlineLevel="1" thickBot="1" x14ac:dyDescent="0.4">
      <c r="B133" s="300" t="s">
        <v>407</v>
      </c>
      <c r="C133" s="301"/>
      <c r="D133" s="302"/>
      <c r="E133" s="303"/>
      <c r="F133" s="302"/>
      <c r="G133" s="304"/>
      <c r="H133" s="303"/>
      <c r="I133" s="305"/>
      <c r="J133" s="306">
        <f>SUM(SUM(J129:J132))</f>
        <v>0</v>
      </c>
      <c r="K133" s="307">
        <f>SUM(SUM(K129:K132))</f>
        <v>0</v>
      </c>
      <c r="L133" s="17"/>
      <c r="M133" s="17"/>
      <c r="N133" s="17"/>
      <c r="O133" s="17"/>
      <c r="P133" s="17"/>
      <c r="Q133" s="107"/>
    </row>
    <row r="134" spans="2:22" x14ac:dyDescent="0.35">
      <c r="B134" s="2"/>
      <c r="C134" s="197"/>
      <c r="D134" s="2"/>
      <c r="E134" s="2"/>
      <c r="F134" s="2"/>
      <c r="G134" s="2"/>
      <c r="H134" s="2"/>
      <c r="I134" s="2"/>
      <c r="J134" s="2"/>
      <c r="K134" s="2"/>
      <c r="L134" s="2"/>
      <c r="M134" s="2"/>
      <c r="N134" s="2"/>
      <c r="O134" s="2"/>
      <c r="P134" s="2"/>
      <c r="Q134" s="2"/>
      <c r="R134" s="2"/>
      <c r="S134" s="2"/>
      <c r="T134" s="2"/>
      <c r="U134" s="2"/>
      <c r="V134" s="2"/>
    </row>
    <row r="135" spans="2:22" x14ac:dyDescent="0.35">
      <c r="B135" s="2"/>
      <c r="C135" s="197"/>
      <c r="D135" s="2"/>
      <c r="E135" s="2"/>
      <c r="F135" s="2"/>
      <c r="G135" s="2"/>
      <c r="H135" s="2"/>
      <c r="I135" s="2"/>
      <c r="J135" s="2"/>
      <c r="K135" s="2"/>
      <c r="L135" s="2"/>
      <c r="M135" s="2"/>
      <c r="N135" s="2"/>
      <c r="O135" s="2"/>
      <c r="P135" s="2"/>
      <c r="Q135" s="2"/>
      <c r="R135" s="2"/>
      <c r="S135" s="2"/>
      <c r="T135" s="2"/>
      <c r="U135" s="2"/>
      <c r="V135" s="2"/>
    </row>
    <row r="136" spans="2:22" x14ac:dyDescent="0.35">
      <c r="B136" s="2"/>
      <c r="C136" s="197"/>
      <c r="D136" s="2"/>
      <c r="E136" s="2"/>
      <c r="F136" s="2"/>
      <c r="G136" s="2"/>
      <c r="H136" s="2"/>
      <c r="I136" s="2"/>
      <c r="J136" s="2"/>
      <c r="K136" s="2"/>
      <c r="L136" s="2"/>
      <c r="M136" s="2"/>
      <c r="N136" s="2"/>
      <c r="O136" s="2"/>
      <c r="P136" s="2"/>
      <c r="Q136" s="2"/>
      <c r="R136" s="2"/>
      <c r="S136" s="2"/>
      <c r="T136" s="2"/>
      <c r="U136" s="2"/>
      <c r="V136" s="2"/>
    </row>
  </sheetData>
  <mergeCells count="101">
    <mergeCell ref="L123:Q123"/>
    <mergeCell ref="L124:Q124"/>
    <mergeCell ref="B126:H126"/>
    <mergeCell ref="B127:H127"/>
    <mergeCell ref="B128:Q128"/>
    <mergeCell ref="H129:I132"/>
    <mergeCell ref="L129:Q129"/>
    <mergeCell ref="L130:Q130"/>
    <mergeCell ref="L131:Q131"/>
    <mergeCell ref="L132:Q132"/>
    <mergeCell ref="L115:Q115"/>
    <mergeCell ref="L116:Q116"/>
    <mergeCell ref="R119:V119"/>
    <mergeCell ref="L120:Q120"/>
    <mergeCell ref="B121:V121"/>
    <mergeCell ref="L122:Q122"/>
    <mergeCell ref="L105:Q105"/>
    <mergeCell ref="L106:Q106"/>
    <mergeCell ref="B108:H108"/>
    <mergeCell ref="B109:H109"/>
    <mergeCell ref="B110:Q110"/>
    <mergeCell ref="H111:I116"/>
    <mergeCell ref="L111:Q111"/>
    <mergeCell ref="L112:Q112"/>
    <mergeCell ref="L113:Q113"/>
    <mergeCell ref="L114:Q114"/>
    <mergeCell ref="R99:V99"/>
    <mergeCell ref="L100:Q100"/>
    <mergeCell ref="B101:V101"/>
    <mergeCell ref="L102:Q102"/>
    <mergeCell ref="L103:Q103"/>
    <mergeCell ref="L104:Q104"/>
    <mergeCell ref="H91:I96"/>
    <mergeCell ref="L91:Q91"/>
    <mergeCell ref="L92:Q92"/>
    <mergeCell ref="L93:Q93"/>
    <mergeCell ref="L94:Q94"/>
    <mergeCell ref="L95:Q95"/>
    <mergeCell ref="L96:Q96"/>
    <mergeCell ref="L83:Q83"/>
    <mergeCell ref="L84:Q84"/>
    <mergeCell ref="L85:Q85"/>
    <mergeCell ref="B88:H88"/>
    <mergeCell ref="B89:H89"/>
    <mergeCell ref="B90:Q90"/>
    <mergeCell ref="L73:Q73"/>
    <mergeCell ref="L74:Q74"/>
    <mergeCell ref="R77:V77"/>
    <mergeCell ref="L78:Q78"/>
    <mergeCell ref="B79:V79"/>
    <mergeCell ref="L82:Q82"/>
    <mergeCell ref="L62:Q62"/>
    <mergeCell ref="L63:Q63"/>
    <mergeCell ref="B65:H65"/>
    <mergeCell ref="B66:H66"/>
    <mergeCell ref="B67:Q67"/>
    <mergeCell ref="H68:I74"/>
    <mergeCell ref="L68:Q68"/>
    <mergeCell ref="L69:Q69"/>
    <mergeCell ref="L70:Q70"/>
    <mergeCell ref="L71:Q71"/>
    <mergeCell ref="B56:V56"/>
    <mergeCell ref="L57:Q57"/>
    <mergeCell ref="L58:Q58"/>
    <mergeCell ref="L59:Q59"/>
    <mergeCell ref="L60:Q60"/>
    <mergeCell ref="L61:Q61"/>
    <mergeCell ref="L50:Q50"/>
    <mergeCell ref="L51:Q51"/>
    <mergeCell ref="B52:I52"/>
    <mergeCell ref="L52:Q52"/>
    <mergeCell ref="R54:V54"/>
    <mergeCell ref="L55:Q55"/>
    <mergeCell ref="L42:Q42"/>
    <mergeCell ref="L44:Q44"/>
    <mergeCell ref="B45:H45"/>
    <mergeCell ref="L45:Q47"/>
    <mergeCell ref="R45:V52"/>
    <mergeCell ref="B46:H46"/>
    <mergeCell ref="B47:H47"/>
    <mergeCell ref="B48:Q48"/>
    <mergeCell ref="H49:I51"/>
    <mergeCell ref="L49:Q49"/>
    <mergeCell ref="L39:Q39"/>
    <mergeCell ref="L40:Q40"/>
    <mergeCell ref="L41:Q41"/>
    <mergeCell ref="L30:Q30"/>
    <mergeCell ref="L31:Q31"/>
    <mergeCell ref="L32:Q32"/>
    <mergeCell ref="L33:Q33"/>
    <mergeCell ref="L34:Q34"/>
    <mergeCell ref="L35:Q35"/>
    <mergeCell ref="B24:C24"/>
    <mergeCell ref="R27:V27"/>
    <mergeCell ref="L28:Q28"/>
    <mergeCell ref="B29:V29"/>
    <mergeCell ref="R4:V4"/>
    <mergeCell ref="B16:C16"/>
    <mergeCell ref="L36:Q36"/>
    <mergeCell ref="L37:Q37"/>
    <mergeCell ref="L38:Q38"/>
  </mergeCells>
  <pageMargins left="0.7" right="0.7" top="0.75" bottom="0.75" header="0.3" footer="0.3"/>
  <pageSetup paperSize="9" orientation="portrait" r:id="rId1"/>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E11FA0"/>
  </sheetPr>
  <dimension ref="A1:L135"/>
  <sheetViews>
    <sheetView topLeftCell="B10" zoomScale="70" zoomScaleNormal="70" zoomScaleSheetLayoutView="85" workbookViewId="0">
      <selection activeCell="C43" sqref="C43"/>
    </sheetView>
  </sheetViews>
  <sheetFormatPr defaultColWidth="9" defaultRowHeight="14.5" outlineLevelRow="1" x14ac:dyDescent="0.35"/>
  <cols>
    <col min="1" max="1" width="3.453125" style="2" customWidth="1"/>
    <col min="2" max="2" width="12.81640625" style="2" bestFit="1" customWidth="1"/>
    <col min="3" max="3" width="166.1796875" style="33" bestFit="1" customWidth="1"/>
    <col min="4" max="4" width="25.453125" style="33" bestFit="1" customWidth="1"/>
    <col min="5" max="5" width="32.81640625" style="33" bestFit="1" customWidth="1"/>
    <col min="6" max="6" width="23" style="33" bestFit="1" customWidth="1"/>
    <col min="7" max="7" width="9.54296875" style="2" customWidth="1"/>
    <col min="8" max="8" width="10" style="455" customWidth="1"/>
    <col min="9" max="9" width="9" style="2"/>
    <col min="10" max="10" width="83.453125" style="2" bestFit="1" customWidth="1"/>
    <col min="11" max="11" width="10.1796875" style="2" customWidth="1"/>
    <col min="12" max="12" width="9" style="2"/>
    <col min="13" max="16384" width="9" style="33"/>
  </cols>
  <sheetData>
    <row r="1" spans="1:12" s="127" customFormat="1" ht="15" thickBot="1" x14ac:dyDescent="0.4">
      <c r="C1" s="127" t="s">
        <v>427</v>
      </c>
      <c r="H1" s="1554">
        <f>SUM(H6:H123)</f>
        <v>0</v>
      </c>
    </row>
    <row r="2" spans="1:12" ht="59.25" customHeight="1" x14ac:dyDescent="0.35">
      <c r="C2" s="328" t="s">
        <v>428</v>
      </c>
      <c r="D2" s="481" t="s">
        <v>429</v>
      </c>
      <c r="E2" s="482" t="s">
        <v>430</v>
      </c>
      <c r="F2" s="483" t="s">
        <v>0</v>
      </c>
      <c r="H2" s="1555"/>
    </row>
    <row r="3" spans="1:12" ht="15" thickBot="1" x14ac:dyDescent="0.4">
      <c r="C3" s="30"/>
      <c r="D3" s="567" t="e">
        <f>D28+D48+D73+D99+D117</f>
        <v>#REF!</v>
      </c>
      <c r="E3" s="568" t="e">
        <f>(E34+E54+E77+E104+E121)*Assumptions!C4</f>
        <v>#REF!</v>
      </c>
      <c r="F3" s="569" t="e">
        <f>D3+E3</f>
        <v>#REF!</v>
      </c>
      <c r="H3" s="1556"/>
    </row>
    <row r="4" spans="1:12" ht="19" thickBot="1" x14ac:dyDescent="0.4">
      <c r="C4" s="30"/>
      <c r="D4" s="493" t="e">
        <f>D3/Assumptions!$C$4</f>
        <v>#REF!</v>
      </c>
      <c r="E4" s="494" t="e">
        <f>E3/Assumptions!$C$4</f>
        <v>#REF!</v>
      </c>
      <c r="F4" s="495" t="e">
        <f>F3/Assumptions!$C$4</f>
        <v>#REF!</v>
      </c>
      <c r="H4" s="838"/>
    </row>
    <row r="5" spans="1:12" ht="19" thickBot="1" x14ac:dyDescent="0.4">
      <c r="C5" s="30"/>
      <c r="D5" s="2"/>
      <c r="E5" s="2"/>
      <c r="F5" s="2"/>
      <c r="H5" s="838"/>
    </row>
    <row r="6" spans="1:12" s="116" customFormat="1" ht="16" collapsed="1" thickBot="1" x14ac:dyDescent="0.4">
      <c r="A6" s="314"/>
      <c r="B6" s="486"/>
      <c r="C6" s="349" t="s">
        <v>431</v>
      </c>
      <c r="D6" s="350"/>
      <c r="E6" s="350"/>
      <c r="F6" s="351"/>
      <c r="G6" s="314"/>
      <c r="H6" s="457">
        <f>COUNT(F9:F25)</f>
        <v>0</v>
      </c>
      <c r="I6" s="314"/>
      <c r="J6" s="1552" t="s">
        <v>432</v>
      </c>
      <c r="K6" s="1553"/>
      <c r="L6" s="314"/>
    </row>
    <row r="7" spans="1:12" ht="15" customHeight="1" outlineLevel="1" thickBot="1" x14ac:dyDescent="0.4">
      <c r="B7" s="454"/>
      <c r="C7" s="429"/>
      <c r="D7" s="434" t="s">
        <v>344</v>
      </c>
      <c r="E7" s="434" t="s">
        <v>345</v>
      </c>
      <c r="F7" s="435" t="s">
        <v>108</v>
      </c>
      <c r="J7" s="560" t="s">
        <v>433</v>
      </c>
      <c r="K7" s="561"/>
    </row>
    <row r="8" spans="1:12" ht="16" outlineLevel="1" thickBot="1" x14ac:dyDescent="0.4">
      <c r="B8" s="487"/>
      <c r="C8" s="1560" t="s">
        <v>352</v>
      </c>
      <c r="D8" s="1561"/>
      <c r="E8" s="1561"/>
      <c r="F8" s="1562"/>
      <c r="J8" s="559" t="s">
        <v>434</v>
      </c>
      <c r="K8" s="558"/>
    </row>
    <row r="9" spans="1:12" ht="15.5" outlineLevel="1" x14ac:dyDescent="0.35">
      <c r="B9" s="693">
        <v>7.1</v>
      </c>
      <c r="C9" s="430" t="e">
        <f>Master!#REF!</f>
        <v>#REF!</v>
      </c>
      <c r="D9" s="431" t="e">
        <f>Master!#REF!</f>
        <v>#REF!</v>
      </c>
      <c r="E9" s="431" t="e">
        <f>Master!#REF!</f>
        <v>#REF!</v>
      </c>
      <c r="F9" s="432" t="e">
        <f>E9/Assumptions!$C$3</f>
        <v>#REF!</v>
      </c>
      <c r="J9" s="559" t="s">
        <v>435</v>
      </c>
      <c r="K9" s="558"/>
    </row>
    <row r="10" spans="1:12" ht="15.5" outlineLevel="1" x14ac:dyDescent="0.35">
      <c r="B10" s="688">
        <v>7.2</v>
      </c>
      <c r="C10" s="408" t="e">
        <f>Master!#REF!</f>
        <v>#REF!</v>
      </c>
      <c r="D10" s="409" t="e">
        <f>Master!#REF!</f>
        <v>#REF!</v>
      </c>
      <c r="E10" s="409" t="e">
        <f>Master!#REF!</f>
        <v>#REF!</v>
      </c>
      <c r="F10" s="410" t="e">
        <f>E10/Assumptions!$C$3</f>
        <v>#REF!</v>
      </c>
      <c r="J10" s="558"/>
    </row>
    <row r="11" spans="1:12" ht="15.5" outlineLevel="1" x14ac:dyDescent="0.35">
      <c r="B11" s="688">
        <v>7.3</v>
      </c>
      <c r="C11" s="408" t="e">
        <f>Master!#REF!</f>
        <v>#REF!</v>
      </c>
      <c r="D11" s="409" t="e">
        <f>Master!#REF!</f>
        <v>#REF!</v>
      </c>
      <c r="E11" s="409" t="e">
        <f>Master!#REF!</f>
        <v>#REF!</v>
      </c>
      <c r="F11" s="410" t="e">
        <f>E11/Assumptions!$C$3</f>
        <v>#REF!</v>
      </c>
      <c r="J11" s="556" t="s">
        <v>431</v>
      </c>
      <c r="K11" s="557"/>
      <c r="L11" s="557"/>
    </row>
    <row r="12" spans="1:12" ht="15.5" outlineLevel="1" x14ac:dyDescent="0.35">
      <c r="B12" s="688">
        <v>7.4</v>
      </c>
      <c r="C12" s="408" t="e">
        <f>Master!#REF!</f>
        <v>#REF!</v>
      </c>
      <c r="D12" s="409" t="e">
        <f>Master!#REF!</f>
        <v>#REF!</v>
      </c>
      <c r="E12" s="409" t="e">
        <f>Master!#REF!</f>
        <v>#REF!</v>
      </c>
      <c r="F12" s="410" t="e">
        <f>E12/Assumptions!$C$3</f>
        <v>#REF!</v>
      </c>
      <c r="J12" s="2" t="s">
        <v>436</v>
      </c>
    </row>
    <row r="13" spans="1:12" ht="15.5" outlineLevel="1" x14ac:dyDescent="0.35">
      <c r="B13" s="688">
        <v>8.1</v>
      </c>
      <c r="C13" s="408" t="e">
        <f>Master!#REF!</f>
        <v>#REF!</v>
      </c>
      <c r="D13" s="409" t="e">
        <f>Master!#REF!</f>
        <v>#REF!</v>
      </c>
      <c r="E13" s="409" t="e">
        <f>Master!#REF!</f>
        <v>#REF!</v>
      </c>
      <c r="F13" s="410" t="e">
        <f>E13/Assumptions!$C$3</f>
        <v>#REF!</v>
      </c>
      <c r="J13" s="2" t="s">
        <v>437</v>
      </c>
    </row>
    <row r="14" spans="1:12" ht="15.5" outlineLevel="1" x14ac:dyDescent="0.35">
      <c r="B14" s="688">
        <v>8.1999999999999993</v>
      </c>
      <c r="C14" s="408" t="e">
        <f>Master!#REF!</f>
        <v>#REF!</v>
      </c>
      <c r="D14" s="409" t="e">
        <f>Master!#REF!</f>
        <v>#REF!</v>
      </c>
      <c r="E14" s="409" t="e">
        <f>Master!#REF!</f>
        <v>#REF!</v>
      </c>
      <c r="F14" s="410" t="e">
        <f>E14/Assumptions!$C$3</f>
        <v>#REF!</v>
      </c>
      <c r="J14" s="2" t="s">
        <v>438</v>
      </c>
    </row>
    <row r="15" spans="1:12" ht="15.5" outlineLevel="1" x14ac:dyDescent="0.35">
      <c r="B15" s="688">
        <v>8.3000000000000007</v>
      </c>
      <c r="C15" s="408" t="e">
        <f>Master!#REF!</f>
        <v>#REF!</v>
      </c>
      <c r="D15" s="409" t="e">
        <f>Master!#REF!</f>
        <v>#REF!</v>
      </c>
      <c r="E15" s="409" t="e">
        <f>Master!#REF!</f>
        <v>#REF!</v>
      </c>
      <c r="F15" s="410" t="e">
        <f>E15/Assumptions!$C$3</f>
        <v>#REF!</v>
      </c>
      <c r="J15" s="2" t="s">
        <v>439</v>
      </c>
    </row>
    <row r="16" spans="1:12" ht="15.5" outlineLevel="1" x14ac:dyDescent="0.35">
      <c r="B16" s="688">
        <v>8.4</v>
      </c>
      <c r="C16" s="408" t="e">
        <f>Master!#REF!</f>
        <v>#REF!</v>
      </c>
      <c r="D16" s="409" t="e">
        <f>Master!#REF!</f>
        <v>#REF!</v>
      </c>
      <c r="E16" s="409" t="e">
        <f>Master!#REF!</f>
        <v>#REF!</v>
      </c>
      <c r="F16" s="410" t="e">
        <f>E16/Assumptions!$C$3</f>
        <v>#REF!</v>
      </c>
      <c r="J16" s="2" t="s">
        <v>440</v>
      </c>
    </row>
    <row r="17" spans="1:12" s="117" customFormat="1" ht="15.5" outlineLevel="1" x14ac:dyDescent="0.35">
      <c r="A17" s="12"/>
      <c r="B17" s="688">
        <v>9.1</v>
      </c>
      <c r="C17" s="408" t="e">
        <f>Master!#REF!</f>
        <v>#REF!</v>
      </c>
      <c r="D17" s="409" t="e">
        <f>Master!#REF!</f>
        <v>#REF!</v>
      </c>
      <c r="E17" s="409" t="e">
        <f>Master!#REF!</f>
        <v>#REF!</v>
      </c>
      <c r="F17" s="410" t="e">
        <f>E17/Assumptions!$C$3</f>
        <v>#REF!</v>
      </c>
      <c r="G17" s="12"/>
      <c r="H17" s="455"/>
      <c r="I17" s="12"/>
      <c r="J17" s="2" t="s">
        <v>441</v>
      </c>
      <c r="K17" s="2"/>
      <c r="L17" s="2"/>
    </row>
    <row r="18" spans="1:12" s="117" customFormat="1" ht="15.5" outlineLevel="1" x14ac:dyDescent="0.35">
      <c r="A18" s="12"/>
      <c r="B18" s="688">
        <v>8.5</v>
      </c>
      <c r="C18" s="408" t="e">
        <f>Master!#REF!</f>
        <v>#REF!</v>
      </c>
      <c r="D18" s="409" t="e">
        <f>Master!#REF!</f>
        <v>#REF!</v>
      </c>
      <c r="E18" s="409" t="e">
        <f>Master!#REF!</f>
        <v>#REF!</v>
      </c>
      <c r="F18" s="410" t="e">
        <f>E18/Assumptions!$C$3</f>
        <v>#REF!</v>
      </c>
      <c r="G18" s="12"/>
      <c r="H18" s="455"/>
      <c r="I18" s="12"/>
      <c r="J18" s="2"/>
      <c r="K18" s="2"/>
      <c r="L18" s="12"/>
    </row>
    <row r="19" spans="1:12" s="678" customFormat="1" ht="15.5" outlineLevel="1" x14ac:dyDescent="0.35">
      <c r="B19" s="688">
        <v>7.5</v>
      </c>
      <c r="C19" s="689" t="e">
        <f>Master!#REF!</f>
        <v>#REF!</v>
      </c>
      <c r="D19" s="690" t="e">
        <f>Master!#REF!</f>
        <v>#REF!</v>
      </c>
      <c r="E19" s="690" t="e">
        <f>Master!#REF!</f>
        <v>#REF!</v>
      </c>
      <c r="F19" s="691" t="e">
        <f>E19/Assumptions!$C$3</f>
        <v>#REF!</v>
      </c>
      <c r="H19" s="692"/>
      <c r="J19" s="127"/>
      <c r="K19" s="127"/>
    </row>
    <row r="20" spans="1:12" s="117" customFormat="1" ht="15.5" outlineLevel="1" x14ac:dyDescent="0.35">
      <c r="A20" s="12"/>
      <c r="B20" s="688">
        <v>7.6</v>
      </c>
      <c r="C20" s="408" t="e">
        <f>Master!#REF!</f>
        <v>#REF!</v>
      </c>
      <c r="D20" s="409" t="e">
        <f>Master!#REF!</f>
        <v>#REF!</v>
      </c>
      <c r="E20" s="409" t="e">
        <f>Master!#REF!</f>
        <v>#REF!</v>
      </c>
      <c r="F20" s="410" t="e">
        <f>E20/Assumptions!$C$3</f>
        <v>#REF!</v>
      </c>
      <c r="G20" s="12"/>
      <c r="H20" s="455"/>
      <c r="I20" s="12"/>
      <c r="J20" s="562" t="s">
        <v>442</v>
      </c>
      <c r="K20" s="3"/>
      <c r="L20" s="3"/>
    </row>
    <row r="21" spans="1:12" s="678" customFormat="1" ht="15.5" outlineLevel="1" x14ac:dyDescent="0.35">
      <c r="B21" s="688">
        <v>7.7</v>
      </c>
      <c r="C21" s="689" t="e">
        <f>Master!#REF!</f>
        <v>#REF!</v>
      </c>
      <c r="D21" s="690" t="e">
        <f>Master!#REF!</f>
        <v>#REF!</v>
      </c>
      <c r="E21" s="690" t="e">
        <f>Master!#REF!</f>
        <v>#REF!</v>
      </c>
      <c r="F21" s="691" t="e">
        <f>E21/Assumptions!$C$3</f>
        <v>#REF!</v>
      </c>
      <c r="H21" s="692"/>
      <c r="J21" s="127" t="s">
        <v>436</v>
      </c>
    </row>
    <row r="22" spans="1:12" s="117" customFormat="1" ht="15.5" outlineLevel="1" x14ac:dyDescent="0.35">
      <c r="A22" s="12"/>
      <c r="B22" s="688">
        <v>10.1</v>
      </c>
      <c r="C22" s="408" t="e">
        <f>Master!#REF!</f>
        <v>#REF!</v>
      </c>
      <c r="D22" s="409" t="e">
        <f>Master!#REF!</f>
        <v>#REF!</v>
      </c>
      <c r="E22" s="409" t="e">
        <f>Master!#REF!</f>
        <v>#REF!</v>
      </c>
      <c r="F22" s="410" t="e">
        <f>E22/Assumptions!$C$3</f>
        <v>#REF!</v>
      </c>
      <c r="G22" s="12"/>
      <c r="H22" s="455"/>
      <c r="I22" s="12"/>
      <c r="J22" s="2" t="s">
        <v>437</v>
      </c>
      <c r="K22" s="12"/>
      <c r="L22" s="12"/>
    </row>
    <row r="23" spans="1:12" s="117" customFormat="1" ht="15.5" outlineLevel="1" x14ac:dyDescent="0.35">
      <c r="A23" s="12"/>
      <c r="B23" s="688">
        <v>10.199999999999999</v>
      </c>
      <c r="C23" s="408" t="e">
        <f>Master!#REF!</f>
        <v>#REF!</v>
      </c>
      <c r="D23" s="409" t="e">
        <f>Master!#REF!</f>
        <v>#REF!</v>
      </c>
      <c r="E23" s="409" t="e">
        <f>Master!#REF!</f>
        <v>#REF!</v>
      </c>
      <c r="F23" s="410" t="e">
        <f>E23/Assumptions!$C$3</f>
        <v>#REF!</v>
      </c>
      <c r="G23" s="12"/>
      <c r="H23" s="455"/>
      <c r="I23" s="12"/>
      <c r="J23" s="2"/>
      <c r="K23" s="12"/>
      <c r="L23" s="12"/>
    </row>
    <row r="24" spans="1:12" s="117" customFormat="1" ht="15.5" outlineLevel="1" x14ac:dyDescent="0.35">
      <c r="A24" s="12"/>
      <c r="B24" s="688">
        <v>6.1</v>
      </c>
      <c r="C24" s="408" t="e">
        <f>Master!#REF!</f>
        <v>#REF!</v>
      </c>
      <c r="D24" s="409" t="e">
        <f>Master!#REF!</f>
        <v>#REF!</v>
      </c>
      <c r="E24" s="409" t="e">
        <f>Master!#REF!</f>
        <v>#REF!</v>
      </c>
      <c r="F24" s="410" t="e">
        <f>E24/Assumptions!$C$3</f>
        <v>#REF!</v>
      </c>
      <c r="G24" s="12"/>
      <c r="H24" s="455"/>
      <c r="I24" s="12"/>
      <c r="J24" s="12"/>
      <c r="K24" s="12"/>
      <c r="L24" s="12"/>
    </row>
    <row r="25" spans="1:12" s="117" customFormat="1" ht="16" outlineLevel="1" thickBot="1" x14ac:dyDescent="0.4">
      <c r="A25" s="12"/>
      <c r="B25" s="694">
        <v>11.1</v>
      </c>
      <c r="C25" s="393" t="e">
        <f>Master!#REF!</f>
        <v>#REF!</v>
      </c>
      <c r="D25" s="394" t="e">
        <f>Master!#REF!</f>
        <v>#REF!</v>
      </c>
      <c r="E25" s="394" t="e">
        <f>Master!#REF!</f>
        <v>#REF!</v>
      </c>
      <c r="F25" s="395" t="e">
        <f>E25/Assumptions!$C$3</f>
        <v>#REF!</v>
      </c>
      <c r="G25" s="12"/>
      <c r="H25" s="455"/>
      <c r="I25" s="12"/>
      <c r="J25" s="563" t="s">
        <v>443</v>
      </c>
      <c r="K25" s="564"/>
      <c r="L25" s="564"/>
    </row>
    <row r="26" spans="1:12" ht="15.5" outlineLevel="1" x14ac:dyDescent="0.35">
      <c r="B26" s="454"/>
      <c r="C26" s="404" t="s">
        <v>381</v>
      </c>
      <c r="D26" s="405" t="e">
        <f>SUM(SUM(D9:D25))</f>
        <v>#REF!</v>
      </c>
      <c r="E26" s="405" t="e">
        <f>SUM(SUM(E9:E25))</f>
        <v>#REF!</v>
      </c>
      <c r="F26" s="406" t="e">
        <f>SUM(SUM(F9:F25))</f>
        <v>#REF!</v>
      </c>
      <c r="J26" s="12" t="s">
        <v>444</v>
      </c>
      <c r="K26" s="12"/>
      <c r="L26" s="12"/>
    </row>
    <row r="27" spans="1:12" ht="16.5" customHeight="1" outlineLevel="1" x14ac:dyDescent="0.35">
      <c r="B27" s="454"/>
      <c r="C27" s="357" t="s">
        <v>141</v>
      </c>
      <c r="D27" s="353" t="e">
        <f>D26*Assumptions!$C$7</f>
        <v>#REF!</v>
      </c>
      <c r="E27" s="354" t="e">
        <f>D27/Assumptions!$C$4</f>
        <v>#REF!</v>
      </c>
      <c r="F27" s="389" t="e">
        <f>E27/Assumptions!$C$3</f>
        <v>#REF!</v>
      </c>
      <c r="J27" s="12" t="s">
        <v>445</v>
      </c>
      <c r="K27" s="12"/>
    </row>
    <row r="28" spans="1:12" ht="16" outlineLevel="1" thickBot="1" x14ac:dyDescent="0.4">
      <c r="B28" s="454"/>
      <c r="C28" s="358" t="s">
        <v>382</v>
      </c>
      <c r="D28" s="359" t="e">
        <f>D26+D27</f>
        <v>#REF!</v>
      </c>
      <c r="E28" s="359" t="e">
        <f>E26+E27</f>
        <v>#REF!</v>
      </c>
      <c r="F28" s="390" t="e">
        <f>F27+F26</f>
        <v>#REF!</v>
      </c>
      <c r="J28" s="12"/>
      <c r="K28" s="12"/>
    </row>
    <row r="29" spans="1:12" ht="16" outlineLevel="1" thickBot="1" x14ac:dyDescent="0.4">
      <c r="B29" s="454"/>
      <c r="C29" s="1560" t="s">
        <v>446</v>
      </c>
      <c r="D29" s="1561"/>
      <c r="E29" s="1561"/>
      <c r="F29" s="1562"/>
      <c r="J29" s="566" t="s">
        <v>447</v>
      </c>
      <c r="K29" s="565"/>
      <c r="L29" s="565"/>
    </row>
    <row r="30" spans="1:12" ht="15" customHeight="1" outlineLevel="1" x14ac:dyDescent="0.35">
      <c r="B30" s="635" t="s">
        <v>448</v>
      </c>
      <c r="C30" s="638" t="e">
        <f>Master!#REF!</f>
        <v>#REF!</v>
      </c>
      <c r="D30" s="490"/>
      <c r="E30" s="491" t="e">
        <f>Master!#REF!</f>
        <v>#REF!</v>
      </c>
      <c r="F30" s="492" t="e">
        <f>Master!#REF!</f>
        <v>#REF!</v>
      </c>
      <c r="J30" s="12" t="s">
        <v>449</v>
      </c>
    </row>
    <row r="31" spans="1:12" ht="15" customHeight="1" outlineLevel="1" x14ac:dyDescent="0.35">
      <c r="B31" s="636" t="s">
        <v>450</v>
      </c>
      <c r="C31" s="639" t="e">
        <f>Master!#REF!</f>
        <v>#REF!</v>
      </c>
      <c r="D31" s="490"/>
      <c r="E31" s="409" t="e">
        <f>Master!#REF!</f>
        <v>#REF!</v>
      </c>
      <c r="F31" s="410" t="e">
        <f>E31/Assumptions!$C$3</f>
        <v>#REF!</v>
      </c>
      <c r="J31" s="12" t="s">
        <v>451</v>
      </c>
    </row>
    <row r="32" spans="1:12" ht="15.75" customHeight="1" outlineLevel="1" x14ac:dyDescent="0.35">
      <c r="B32" s="636" t="s">
        <v>452</v>
      </c>
      <c r="C32" s="639" t="e">
        <f>Master!#REF!</f>
        <v>#REF!</v>
      </c>
      <c r="D32" s="415"/>
      <c r="E32" s="416" t="e">
        <f>Master!#REF!</f>
        <v>#REF!</v>
      </c>
      <c r="F32" s="417" t="e">
        <f>Master!#REF!</f>
        <v>#REF!</v>
      </c>
      <c r="J32" s="12" t="s">
        <v>453</v>
      </c>
    </row>
    <row r="33" spans="1:12" ht="15" customHeight="1" outlineLevel="1" thickBot="1" x14ac:dyDescent="0.4">
      <c r="B33" s="637" t="s">
        <v>454</v>
      </c>
      <c r="C33" s="640" t="e">
        <f>Master!#REF!</f>
        <v>#REF!</v>
      </c>
      <c r="D33" s="412"/>
      <c r="E33" s="413" t="e">
        <f>Master!#REF!</f>
        <v>#REF!</v>
      </c>
      <c r="F33" s="414" t="e">
        <f>Master!#REF!</f>
        <v>#REF!</v>
      </c>
      <c r="J33" s="12" t="s">
        <v>455</v>
      </c>
    </row>
    <row r="34" spans="1:12" ht="16" outlineLevel="1" thickBot="1" x14ac:dyDescent="0.4">
      <c r="C34" s="1565" t="s">
        <v>389</v>
      </c>
      <c r="D34" s="1566"/>
      <c r="E34" s="355" t="e">
        <f>SUM(E30:E33)</f>
        <v>#REF!</v>
      </c>
      <c r="F34" s="391" t="e">
        <f>SUM(F30:F33)</f>
        <v>#REF!</v>
      </c>
      <c r="J34" s="12" t="s">
        <v>456</v>
      </c>
    </row>
    <row r="35" spans="1:12" ht="16" outlineLevel="1" thickBot="1" x14ac:dyDescent="0.4">
      <c r="C35" s="1567"/>
      <c r="D35" s="1568"/>
      <c r="E35" s="356" t="e">
        <f>E28+E34</f>
        <v>#REF!</v>
      </c>
      <c r="F35" s="392" t="e">
        <f>F28+F34</f>
        <v>#REF!</v>
      </c>
      <c r="J35" s="12" t="s">
        <v>457</v>
      </c>
    </row>
    <row r="36" spans="1:12" ht="15" thickBot="1" x14ac:dyDescent="0.4">
      <c r="C36" s="38"/>
      <c r="D36" s="218"/>
      <c r="E36" s="41"/>
      <c r="F36" s="42"/>
      <c r="J36" s="12" t="s">
        <v>458</v>
      </c>
    </row>
    <row r="37" spans="1:12" s="118" customFormat="1" ht="16" collapsed="1" thickBot="1" x14ac:dyDescent="0.4">
      <c r="A37" s="315"/>
      <c r="B37" s="315"/>
      <c r="C37" s="462" t="s">
        <v>459</v>
      </c>
      <c r="D37" s="463"/>
      <c r="E37" s="463"/>
      <c r="F37" s="464"/>
      <c r="G37" s="315"/>
      <c r="H37" s="458">
        <f>COUNT(F40:F45)</f>
        <v>0</v>
      </c>
      <c r="I37" s="315"/>
      <c r="J37" s="12"/>
      <c r="K37" s="2"/>
      <c r="L37" s="2"/>
    </row>
    <row r="38" spans="1:12" ht="15.75" customHeight="1" outlineLevel="1" thickBot="1" x14ac:dyDescent="0.4">
      <c r="C38" s="365"/>
      <c r="D38" s="436" t="s">
        <v>344</v>
      </c>
      <c r="E38" s="436" t="s">
        <v>345</v>
      </c>
      <c r="F38" s="437" t="s">
        <v>108</v>
      </c>
      <c r="J38" s="560" t="s">
        <v>460</v>
      </c>
      <c r="K38" s="561"/>
      <c r="L38" s="561"/>
    </row>
    <row r="39" spans="1:12" ht="16" outlineLevel="1" thickBot="1" x14ac:dyDescent="0.4">
      <c r="B39" s="665"/>
      <c r="C39" s="1560" t="s">
        <v>352</v>
      </c>
      <c r="D39" s="1561"/>
      <c r="E39" s="1561"/>
      <c r="F39" s="1562"/>
      <c r="J39" s="559" t="s">
        <v>461</v>
      </c>
      <c r="K39" s="558"/>
    </row>
    <row r="40" spans="1:12" ht="14.25" customHeight="1" outlineLevel="1" x14ac:dyDescent="0.35">
      <c r="B40" s="488">
        <v>12.2</v>
      </c>
      <c r="C40" s="430" t="e">
        <f>Master!#REF!</f>
        <v>#REF!</v>
      </c>
      <c r="D40" s="465" t="e">
        <f>Master!#REF!</f>
        <v>#REF!</v>
      </c>
      <c r="E40" s="465" t="e">
        <f>Master!#REF!</f>
        <v>#REF!</v>
      </c>
      <c r="F40" s="466" t="e">
        <f>Master!#REF!</f>
        <v>#REF!</v>
      </c>
      <c r="J40" s="2" t="s">
        <v>462</v>
      </c>
    </row>
    <row r="41" spans="1:12" s="117" customFormat="1" ht="15.5" outlineLevel="1" x14ac:dyDescent="0.35">
      <c r="A41" s="12"/>
      <c r="B41" s="489">
        <v>12.1</v>
      </c>
      <c r="C41" s="430" t="e">
        <f>Master!#REF!</f>
        <v>#REF!</v>
      </c>
      <c r="D41" s="465" t="e">
        <f>Master!#REF!</f>
        <v>#REF!</v>
      </c>
      <c r="E41" s="465" t="e">
        <f>Master!#REF!</f>
        <v>#REF!</v>
      </c>
      <c r="F41" s="466" t="e">
        <f>Master!#REF!</f>
        <v>#REF!</v>
      </c>
      <c r="G41" s="12"/>
      <c r="H41" s="455"/>
      <c r="I41" s="12"/>
      <c r="J41" s="2" t="s">
        <v>463</v>
      </c>
      <c r="K41" s="2"/>
      <c r="L41" s="2"/>
    </row>
    <row r="42" spans="1:12" s="117" customFormat="1" ht="15.5" outlineLevel="1" x14ac:dyDescent="0.35">
      <c r="A42" s="12"/>
      <c r="B42" s="489">
        <v>14.1</v>
      </c>
      <c r="C42" s="430" t="e">
        <f>Master!#REF!</f>
        <v>#REF!</v>
      </c>
      <c r="D42" s="465" t="e">
        <f>Master!#REF!</f>
        <v>#REF!</v>
      </c>
      <c r="E42" s="465" t="e">
        <f>Master!#REF!</f>
        <v>#REF!</v>
      </c>
      <c r="F42" s="466" t="e">
        <f>Master!#REF!</f>
        <v>#REF!</v>
      </c>
      <c r="G42" s="12"/>
      <c r="H42" s="455"/>
      <c r="I42" s="12"/>
      <c r="J42" s="2" t="s">
        <v>464</v>
      </c>
      <c r="K42" s="2"/>
      <c r="L42" s="12"/>
    </row>
    <row r="43" spans="1:12" s="117" customFormat="1" ht="14.25" customHeight="1" outlineLevel="1" x14ac:dyDescent="0.35">
      <c r="A43" s="12"/>
      <c r="B43" s="489">
        <v>13.1</v>
      </c>
      <c r="C43" s="430" t="e">
        <f>Master!#REF!</f>
        <v>#REF!</v>
      </c>
      <c r="D43" s="465" t="e">
        <f>Master!#REF!</f>
        <v>#REF!</v>
      </c>
      <c r="E43" s="465" t="e">
        <f>Master!#REF!</f>
        <v>#REF!</v>
      </c>
      <c r="F43" s="466" t="e">
        <f>Master!#REF!</f>
        <v>#REF!</v>
      </c>
      <c r="G43" s="12"/>
      <c r="H43" s="455"/>
      <c r="I43" s="12"/>
      <c r="J43" s="2" t="s">
        <v>465</v>
      </c>
      <c r="K43" s="2"/>
      <c r="L43" s="12"/>
    </row>
    <row r="44" spans="1:12" ht="14.9" customHeight="1" outlineLevel="1" x14ac:dyDescent="0.35">
      <c r="B44" s="489">
        <v>16.100000000000001</v>
      </c>
      <c r="C44" s="430" t="e">
        <f>Master!#REF!</f>
        <v>#REF!</v>
      </c>
      <c r="D44" s="465" t="e">
        <f>Master!#REF!</f>
        <v>#REF!</v>
      </c>
      <c r="E44" s="465" t="e">
        <f>Master!#REF!</f>
        <v>#REF!</v>
      </c>
      <c r="F44" s="466" t="e">
        <f>Master!#REF!</f>
        <v>#REF!</v>
      </c>
      <c r="J44" s="315"/>
    </row>
    <row r="45" spans="1:12" ht="14.9" customHeight="1" outlineLevel="1" thickBot="1" x14ac:dyDescent="0.4">
      <c r="B45" s="499">
        <v>15.1</v>
      </c>
      <c r="C45" s="430" t="e">
        <f>Master!#REF!</f>
        <v>#REF!</v>
      </c>
      <c r="D45" s="465" t="e">
        <f>Master!#REF!</f>
        <v>#REF!</v>
      </c>
      <c r="E45" s="465" t="e">
        <f>Master!#REF!</f>
        <v>#REF!</v>
      </c>
      <c r="F45" s="466" t="e">
        <f>Master!#REF!</f>
        <v>#REF!</v>
      </c>
    </row>
    <row r="46" spans="1:12" ht="14.25" customHeight="1" outlineLevel="1" x14ac:dyDescent="0.35">
      <c r="B46" s="500"/>
      <c r="C46" s="404" t="s">
        <v>381</v>
      </c>
      <c r="D46" s="405" t="e">
        <f>SUM(SUM(D40:D45))</f>
        <v>#REF!</v>
      </c>
      <c r="E46" s="467" t="e">
        <f>Master!#REF!</f>
        <v>#REF!</v>
      </c>
      <c r="F46" s="468" t="e">
        <f>Master!#REF!</f>
        <v>#REF!</v>
      </c>
    </row>
    <row r="47" spans="1:12" ht="16.5" customHeight="1" outlineLevel="1" x14ac:dyDescent="0.35">
      <c r="B47" s="501"/>
      <c r="C47" s="469" t="s">
        <v>113</v>
      </c>
      <c r="D47" s="470" t="e">
        <f>D46*Assumptions!$C$7</f>
        <v>#REF!</v>
      </c>
      <c r="E47" s="471" t="e">
        <f>Master!#REF!</f>
        <v>#REF!</v>
      </c>
      <c r="F47" s="472" t="e">
        <f>Master!#REF!</f>
        <v>#REF!</v>
      </c>
      <c r="K47" s="12"/>
    </row>
    <row r="48" spans="1:12" ht="14.9" customHeight="1" outlineLevel="1" thickBot="1" x14ac:dyDescent="0.4">
      <c r="B48" s="14"/>
      <c r="C48" s="839" t="s">
        <v>382</v>
      </c>
      <c r="D48" s="502" t="e">
        <f>D47+D46</f>
        <v>#REF!</v>
      </c>
      <c r="E48" s="502" t="e">
        <f>E47+E46</f>
        <v>#REF!</v>
      </c>
      <c r="F48" s="391" t="e">
        <f>F47+F46</f>
        <v>#REF!</v>
      </c>
      <c r="J48" s="315"/>
      <c r="K48" s="12"/>
    </row>
    <row r="49" spans="1:12" ht="16" outlineLevel="1" thickBot="1" x14ac:dyDescent="0.4">
      <c r="C49" s="1560" t="s">
        <v>383</v>
      </c>
      <c r="D49" s="1561"/>
      <c r="E49" s="1561"/>
      <c r="F49" s="1562"/>
      <c r="K49" s="12"/>
    </row>
    <row r="50" spans="1:12" ht="14.25" customHeight="1" outlineLevel="1" x14ac:dyDescent="0.35">
      <c r="B50" s="635" t="s">
        <v>466</v>
      </c>
      <c r="C50" s="430" t="e">
        <f>Master!#REF!</f>
        <v>#REF!</v>
      </c>
      <c r="D50" s="438"/>
      <c r="E50" s="439" t="e">
        <f>Master!#REF!</f>
        <v>#REF!</v>
      </c>
      <c r="F50" s="440" t="e">
        <f>Master!#REF!</f>
        <v>#REF!</v>
      </c>
      <c r="K50" s="12"/>
    </row>
    <row r="51" spans="1:12" ht="14.25" customHeight="1" outlineLevel="1" x14ac:dyDescent="0.35">
      <c r="B51" s="636" t="s">
        <v>467</v>
      </c>
      <c r="C51" s="430" t="e">
        <f>Master!#REF!</f>
        <v>#REF!</v>
      </c>
      <c r="D51" s="473"/>
      <c r="E51" s="409" t="e">
        <f>Master!#REF!</f>
        <v>#REF!</v>
      </c>
      <c r="F51" s="410" t="e">
        <f>E51/Assumptions!$C$3</f>
        <v>#REF!</v>
      </c>
      <c r="J51" s="12"/>
    </row>
    <row r="52" spans="1:12" ht="14.25" customHeight="1" outlineLevel="1" x14ac:dyDescent="0.35">
      <c r="B52" s="636" t="s">
        <v>468</v>
      </c>
      <c r="C52" s="430" t="e">
        <f>Master!#REF!</f>
        <v>#REF!</v>
      </c>
      <c r="D52" s="473"/>
      <c r="E52" s="439" t="e">
        <f>Master!#REF!</f>
        <v>#REF!</v>
      </c>
      <c r="F52" s="474" t="e">
        <f>Master!#REF!</f>
        <v>#REF!</v>
      </c>
      <c r="J52" s="12"/>
    </row>
    <row r="53" spans="1:12" ht="14.9" customHeight="1" outlineLevel="1" thickBot="1" x14ac:dyDescent="0.4">
      <c r="B53" s="642" t="s">
        <v>469</v>
      </c>
      <c r="C53" s="430" t="e">
        <f>Master!#REF!</f>
        <v>#REF!</v>
      </c>
      <c r="D53" s="473"/>
      <c r="E53" s="439" t="e">
        <f>Master!#REF!</f>
        <v>#REF!</v>
      </c>
      <c r="F53" s="474" t="e">
        <f>Master!#REF!</f>
        <v>#REF!</v>
      </c>
      <c r="J53" s="12"/>
    </row>
    <row r="54" spans="1:12" ht="16" outlineLevel="1" thickBot="1" x14ac:dyDescent="0.4">
      <c r="C54" s="475" t="s">
        <v>407</v>
      </c>
      <c r="D54" s="476"/>
      <c r="E54" s="477" t="e">
        <f>SUM(SUM(E50:E53))</f>
        <v>#REF!</v>
      </c>
      <c r="F54" s="478" t="e">
        <f>SUM(SUM(F50:F53))</f>
        <v>#REF!</v>
      </c>
    </row>
    <row r="55" spans="1:12" ht="16" outlineLevel="1" thickBot="1" x14ac:dyDescent="0.4">
      <c r="C55" s="1563" t="s">
        <v>0</v>
      </c>
      <c r="D55" s="1564"/>
      <c r="E55" s="360" t="e">
        <f>E48+E54</f>
        <v>#REF!</v>
      </c>
      <c r="F55" s="433" t="e">
        <f>F48+F54</f>
        <v>#REF!</v>
      </c>
    </row>
    <row r="56" spans="1:12" ht="15" thickBot="1" x14ac:dyDescent="0.4">
      <c r="C56" s="346"/>
      <c r="D56" s="2"/>
      <c r="E56" s="2"/>
      <c r="F56" s="2"/>
    </row>
    <row r="57" spans="1:12" s="118" customFormat="1" ht="16" collapsed="1" thickBot="1" x14ac:dyDescent="0.4">
      <c r="A57" s="315"/>
      <c r="B57" s="315"/>
      <c r="C57" s="362" t="s">
        <v>470</v>
      </c>
      <c r="D57" s="363"/>
      <c r="E57" s="363"/>
      <c r="F57" s="364"/>
      <c r="G57" s="315"/>
      <c r="H57" s="459">
        <f>COUNT(F60:F70)</f>
        <v>0</v>
      </c>
      <c r="I57" s="315"/>
      <c r="J57" s="2"/>
      <c r="K57" s="2"/>
      <c r="L57" s="2"/>
    </row>
    <row r="58" spans="1:12" ht="16" outlineLevel="1" thickBot="1" x14ac:dyDescent="0.4">
      <c r="C58" s="365"/>
      <c r="D58" s="436" t="s">
        <v>344</v>
      </c>
      <c r="E58" s="436" t="s">
        <v>345</v>
      </c>
      <c r="F58" s="437" t="s">
        <v>108</v>
      </c>
      <c r="G58" s="60" t="s">
        <v>471</v>
      </c>
      <c r="H58" s="456"/>
      <c r="L58" s="315"/>
    </row>
    <row r="59" spans="1:12" ht="16" outlineLevel="1" thickBot="1" x14ac:dyDescent="0.4">
      <c r="C59" s="1569" t="s">
        <v>352</v>
      </c>
      <c r="D59" s="1570"/>
      <c r="E59" s="1570"/>
      <c r="F59" s="1571"/>
      <c r="H59" s="456"/>
    </row>
    <row r="60" spans="1:12" ht="15.5" outlineLevel="1" x14ac:dyDescent="0.35">
      <c r="B60" s="488">
        <v>3.1</v>
      </c>
      <c r="C60" s="420" t="e">
        <f>Master!#REF!</f>
        <v>#REF!</v>
      </c>
      <c r="D60" s="421" t="e">
        <f>Master!#REF!</f>
        <v>#REF!</v>
      </c>
      <c r="E60" s="422" t="e">
        <f>Master!#REF!</f>
        <v>#REF!</v>
      </c>
      <c r="F60" s="512" t="e">
        <f>E60/Assumptions!$C$3</f>
        <v>#REF!</v>
      </c>
      <c r="H60" s="456"/>
    </row>
    <row r="61" spans="1:12" ht="15.5" outlineLevel="1" x14ac:dyDescent="0.35">
      <c r="B61" s="489">
        <v>3.2</v>
      </c>
      <c r="C61" s="408" t="e">
        <f>Master!#REF!</f>
        <v>#REF!</v>
      </c>
      <c r="D61" s="409" t="e">
        <f>Master!#REF!</f>
        <v>#REF!</v>
      </c>
      <c r="E61" s="423" t="e">
        <f>Master!#REF!</f>
        <v>#REF!</v>
      </c>
      <c r="F61" s="513" t="e">
        <f>E61/Assumptions!$C$3</f>
        <v>#REF!</v>
      </c>
      <c r="H61" s="456"/>
    </row>
    <row r="62" spans="1:12" ht="15.5" outlineLevel="1" x14ac:dyDescent="0.35">
      <c r="B62" s="489">
        <v>5.0999999999999996</v>
      </c>
      <c r="C62" s="408" t="e">
        <f>Master!#REF!</f>
        <v>#REF!</v>
      </c>
      <c r="D62" s="409" t="e">
        <f>Master!#REF!</f>
        <v>#REF!</v>
      </c>
      <c r="E62" s="423" t="e">
        <f>Master!#REF!</f>
        <v>#REF!</v>
      </c>
      <c r="F62" s="513" t="e">
        <f>E62/Assumptions!$C$3</f>
        <v>#REF!</v>
      </c>
      <c r="H62" s="456"/>
    </row>
    <row r="63" spans="1:12" ht="15.5" outlineLevel="1" x14ac:dyDescent="0.35">
      <c r="B63" s="489">
        <v>5.2</v>
      </c>
      <c r="C63" s="408" t="e">
        <f>Master!#REF!</f>
        <v>#REF!</v>
      </c>
      <c r="D63" s="409" t="e">
        <f>Master!#REF!</f>
        <v>#REF!</v>
      </c>
      <c r="E63" s="423" t="e">
        <f>Master!#REF!</f>
        <v>#REF!</v>
      </c>
      <c r="F63" s="513" t="e">
        <f>E63/Assumptions!$C$3</f>
        <v>#REF!</v>
      </c>
      <c r="H63" s="456"/>
    </row>
    <row r="64" spans="1:12" ht="15.5" outlineLevel="1" x14ac:dyDescent="0.35">
      <c r="B64" s="489">
        <v>4.0999999999999996</v>
      </c>
      <c r="C64" s="408" t="e">
        <f>Master!#REF!</f>
        <v>#REF!</v>
      </c>
      <c r="D64" s="409" t="e">
        <f>Master!#REF!</f>
        <v>#REF!</v>
      </c>
      <c r="E64" s="423" t="e">
        <f>Master!#REF!</f>
        <v>#REF!</v>
      </c>
      <c r="F64" s="513" t="e">
        <f>E64/Assumptions!$C$3</f>
        <v>#REF!</v>
      </c>
      <c r="H64" s="456"/>
    </row>
    <row r="65" spans="1:12" ht="17.899999999999999" customHeight="1" outlineLevel="1" x14ac:dyDescent="0.35">
      <c r="B65" s="489">
        <v>4.2</v>
      </c>
      <c r="C65" s="408" t="e">
        <f>Master!#REF!</f>
        <v>#REF!</v>
      </c>
      <c r="D65" s="409" t="e">
        <f>Master!#REF!</f>
        <v>#REF!</v>
      </c>
      <c r="E65" s="423" t="e">
        <f>Master!#REF!</f>
        <v>#REF!</v>
      </c>
      <c r="F65" s="513" t="e">
        <f>E65/Assumptions!$C$3</f>
        <v>#REF!</v>
      </c>
      <c r="H65" s="456"/>
      <c r="K65" s="315"/>
    </row>
    <row r="66" spans="1:12" ht="17.899999999999999" customHeight="1" outlineLevel="1" x14ac:dyDescent="0.35">
      <c r="B66" s="489">
        <v>2.1</v>
      </c>
      <c r="C66" s="408" t="e">
        <f>Master!#REF!</f>
        <v>#REF!</v>
      </c>
      <c r="D66" s="409" t="e">
        <f>Master!#REF!</f>
        <v>#REF!</v>
      </c>
      <c r="E66" s="423" t="e">
        <f>Master!#REF!</f>
        <v>#REF!</v>
      </c>
      <c r="F66" s="513" t="e">
        <f>E66/Assumptions!$C$3</f>
        <v>#REF!</v>
      </c>
      <c r="H66" s="456"/>
    </row>
    <row r="67" spans="1:12" ht="15.5" outlineLevel="1" x14ac:dyDescent="0.35">
      <c r="B67" s="489">
        <v>4.3</v>
      </c>
      <c r="C67" s="408" t="e">
        <f>Master!#REF!</f>
        <v>#REF!</v>
      </c>
      <c r="D67" s="409" t="e">
        <f>Master!#REF!</f>
        <v>#REF!</v>
      </c>
      <c r="E67" s="423" t="e">
        <f>Master!#REF!</f>
        <v>#REF!</v>
      </c>
      <c r="F67" s="513" t="e">
        <f>E67/Assumptions!$C$3</f>
        <v>#REF!</v>
      </c>
      <c r="H67" s="456"/>
    </row>
    <row r="68" spans="1:12" ht="15.5" outlineLevel="1" x14ac:dyDescent="0.35">
      <c r="B68" s="498">
        <v>2.2000000000000002</v>
      </c>
      <c r="C68" s="408" t="e">
        <f>Master!#REF!</f>
        <v>#REF!</v>
      </c>
      <c r="D68" s="409" t="e">
        <f>Master!#REF!</f>
        <v>#REF!</v>
      </c>
      <c r="E68" s="423" t="e">
        <f>Master!#REF!</f>
        <v>#REF!</v>
      </c>
      <c r="F68" s="513" t="e">
        <f>E68/Assumptions!$C$3</f>
        <v>#REF!</v>
      </c>
      <c r="H68" s="456"/>
    </row>
    <row r="69" spans="1:12" ht="15.5" outlineLevel="1" x14ac:dyDescent="0.35">
      <c r="B69" s="498">
        <v>2.2999999999999998</v>
      </c>
      <c r="C69" s="408" t="e">
        <f>Master!#REF!</f>
        <v>#REF!</v>
      </c>
      <c r="D69" s="409" t="e">
        <f>Master!#REF!</f>
        <v>#REF!</v>
      </c>
      <c r="E69" s="423" t="e">
        <f>Master!#REF!</f>
        <v>#REF!</v>
      </c>
      <c r="F69" s="513" t="e">
        <f>E69/Assumptions!$C$3</f>
        <v>#REF!</v>
      </c>
      <c r="H69" s="456"/>
    </row>
    <row r="70" spans="1:12" ht="16" outlineLevel="1" thickBot="1" x14ac:dyDescent="0.4">
      <c r="B70" s="497">
        <v>1.1000000000000001</v>
      </c>
      <c r="C70" s="411" t="e">
        <f>Master!#REF!</f>
        <v>#REF!</v>
      </c>
      <c r="D70" s="418" t="e">
        <f>Master!#REF!</f>
        <v>#REF!</v>
      </c>
      <c r="E70" s="371" t="e">
        <f>Master!#REF!</f>
        <v>#REF!</v>
      </c>
      <c r="F70" s="513" t="e">
        <f>E70/Assumptions!$C$3</f>
        <v>#REF!</v>
      </c>
      <c r="H70" s="456"/>
    </row>
    <row r="71" spans="1:12" ht="15.5" outlineLevel="1" x14ac:dyDescent="0.35">
      <c r="C71" s="441" t="s">
        <v>381</v>
      </c>
      <c r="D71" s="405" t="e">
        <f>SUM(SUM(D60:D70))</f>
        <v>#REF!</v>
      </c>
      <c r="E71" s="405" t="e">
        <f>SUM(SUM(E60:E70))</f>
        <v>#REF!</v>
      </c>
      <c r="F71" s="442" t="e">
        <f>SUM(SUM(F60:F70))</f>
        <v>#REF!</v>
      </c>
      <c r="H71" s="456"/>
      <c r="J71" s="315"/>
    </row>
    <row r="72" spans="1:12" ht="15.5" outlineLevel="1" x14ac:dyDescent="0.35">
      <c r="C72" s="357" t="s">
        <v>113</v>
      </c>
      <c r="D72" s="353" t="e">
        <f>D71*Assumptions!$C$7</f>
        <v>#REF!</v>
      </c>
      <c r="E72" s="352" t="e">
        <f>E71*Assumptions!$C$7</f>
        <v>#REF!</v>
      </c>
      <c r="F72" s="366" t="e">
        <v>#REF!</v>
      </c>
      <c r="H72" s="456"/>
    </row>
    <row r="73" spans="1:12" ht="16" outlineLevel="1" thickBot="1" x14ac:dyDescent="0.4">
      <c r="C73" s="837" t="s">
        <v>382</v>
      </c>
      <c r="D73" s="372" t="e">
        <f>D72+D71</f>
        <v>#REF!</v>
      </c>
      <c r="E73" s="372" t="e">
        <f>E72+E71</f>
        <v>#REF!</v>
      </c>
      <c r="F73" s="367" t="e">
        <f>F72+F71</f>
        <v>#REF!</v>
      </c>
      <c r="H73" s="456"/>
    </row>
    <row r="74" spans="1:12" ht="16" outlineLevel="1" thickBot="1" x14ac:dyDescent="0.4">
      <c r="C74" s="1560" t="s">
        <v>446</v>
      </c>
      <c r="D74" s="1561"/>
      <c r="E74" s="1561"/>
      <c r="F74" s="1562"/>
      <c r="H74" s="456"/>
    </row>
    <row r="75" spans="1:12" ht="15.5" outlineLevel="1" x14ac:dyDescent="0.35">
      <c r="B75" s="641" t="s">
        <v>133</v>
      </c>
      <c r="C75" s="430" t="e">
        <f>Master!#REF!</f>
        <v>#REF!</v>
      </c>
      <c r="D75" s="438"/>
      <c r="E75" s="439" t="e">
        <f>Master!#REF!</f>
        <v>#REF!</v>
      </c>
      <c r="F75" s="440" t="e">
        <f>E75/Assumptions!$C$3</f>
        <v>#REF!</v>
      </c>
      <c r="H75" s="456"/>
    </row>
    <row r="76" spans="1:12" ht="16" outlineLevel="1" thickBot="1" x14ac:dyDescent="0.4">
      <c r="B76" s="497" t="s">
        <v>134</v>
      </c>
      <c r="C76" s="393" t="e">
        <f>Master!#REF!</f>
        <v>#REF!</v>
      </c>
      <c r="D76" s="424"/>
      <c r="E76" s="425" t="e">
        <f>Master!#REF!</f>
        <v>#REF!</v>
      </c>
      <c r="F76" s="426" t="e">
        <f>E76/Assumptions!$C$3</f>
        <v>#REF!</v>
      </c>
      <c r="H76" s="456"/>
    </row>
    <row r="77" spans="1:12" ht="15.5" outlineLevel="1" x14ac:dyDescent="0.35">
      <c r="C77" s="368" t="s">
        <v>407</v>
      </c>
      <c r="D77" s="369"/>
      <c r="E77" s="373" t="e">
        <f>SUM(SUM(E75:E76))</f>
        <v>#REF!</v>
      </c>
      <c r="F77" s="370" t="e">
        <f>SUM(SUM(F75:F76))</f>
        <v>#REF!</v>
      </c>
      <c r="H77" s="456"/>
    </row>
    <row r="78" spans="1:12" ht="16" outlineLevel="1" thickBot="1" x14ac:dyDescent="0.4">
      <c r="C78" s="1563" t="s">
        <v>0</v>
      </c>
      <c r="D78" s="1572"/>
      <c r="E78" s="360" t="e">
        <f>E73+E77</f>
        <v>#REF!</v>
      </c>
      <c r="F78" s="361" t="e">
        <f>F73+F77</f>
        <v>#REF!</v>
      </c>
      <c r="H78" s="456"/>
    </row>
    <row r="79" spans="1:12" ht="15" thickBot="1" x14ac:dyDescent="0.4">
      <c r="C79" s="2"/>
      <c r="D79" s="2"/>
      <c r="E79" s="2"/>
      <c r="F79" s="2"/>
    </row>
    <row r="80" spans="1:12" s="118" customFormat="1" ht="16" collapsed="1" thickBot="1" x14ac:dyDescent="0.4">
      <c r="A80" s="315"/>
      <c r="B80" s="315"/>
      <c r="C80" s="382" t="s">
        <v>447</v>
      </c>
      <c r="D80" s="383"/>
      <c r="E80" s="383"/>
      <c r="F80" s="384"/>
      <c r="G80" s="315"/>
      <c r="H80" s="460">
        <f>COUNT(F83:F96)</f>
        <v>0</v>
      </c>
      <c r="I80" s="315"/>
      <c r="J80" s="2"/>
      <c r="K80" s="2"/>
      <c r="L80" s="315"/>
    </row>
    <row r="81" spans="2:11" ht="14.9" customHeight="1" outlineLevel="1" thickBot="1" x14ac:dyDescent="0.4">
      <c r="C81" s="365"/>
      <c r="D81" s="436" t="s">
        <v>344</v>
      </c>
      <c r="E81" s="436" t="s">
        <v>345</v>
      </c>
      <c r="F81" s="437" t="s">
        <v>108</v>
      </c>
      <c r="G81" s="315"/>
    </row>
    <row r="82" spans="2:11" ht="16" outlineLevel="1" thickBot="1" x14ac:dyDescent="0.4">
      <c r="C82" s="1557" t="s">
        <v>472</v>
      </c>
      <c r="D82" s="1558"/>
      <c r="E82" s="1558"/>
      <c r="F82" s="1559"/>
    </row>
    <row r="83" spans="2:11" ht="15.5" outlineLevel="1" x14ac:dyDescent="0.35">
      <c r="B83" s="488">
        <v>17.100000000000001</v>
      </c>
      <c r="C83" s="503" t="e">
        <f>Master!#REF!</f>
        <v>#REF!</v>
      </c>
      <c r="D83" s="447" t="e">
        <f>Master!#REF!</f>
        <v>#REF!</v>
      </c>
      <c r="E83" s="447" t="e">
        <f>Master!#REF!</f>
        <v>#REF!</v>
      </c>
      <c r="F83" s="448" t="e">
        <f>Master!#REF!</f>
        <v>#REF!</v>
      </c>
    </row>
    <row r="84" spans="2:11" ht="15.5" outlineLevel="1" x14ac:dyDescent="0.35">
      <c r="B84" s="489">
        <v>18.100000000000001</v>
      </c>
      <c r="C84" s="504" t="e">
        <f>Master!#REF!</f>
        <v>#REF!</v>
      </c>
      <c r="D84" s="449" t="e">
        <f>Master!#REF!</f>
        <v>#REF!</v>
      </c>
      <c r="E84" s="449" t="e">
        <f>Master!#REF!</f>
        <v>#REF!</v>
      </c>
      <c r="F84" s="450" t="e">
        <f>Master!#REF!</f>
        <v>#REF!</v>
      </c>
    </row>
    <row r="85" spans="2:11" ht="15.5" outlineLevel="1" x14ac:dyDescent="0.35">
      <c r="B85" s="489">
        <v>18.2</v>
      </c>
      <c r="C85" s="504" t="e">
        <f>Master!#REF!</f>
        <v>#REF!</v>
      </c>
      <c r="D85" s="449" t="e">
        <f>Master!#REF!</f>
        <v>#REF!</v>
      </c>
      <c r="E85" s="449" t="e">
        <f>Master!#REF!</f>
        <v>#REF!</v>
      </c>
      <c r="F85" s="450" t="e">
        <f>Master!#REF!</f>
        <v>#REF!</v>
      </c>
    </row>
    <row r="86" spans="2:11" ht="15.5" outlineLevel="1" x14ac:dyDescent="0.35">
      <c r="B86" s="489">
        <v>18.3</v>
      </c>
      <c r="C86" s="504" t="e">
        <f>Master!#REF!</f>
        <v>#REF!</v>
      </c>
      <c r="D86" s="449" t="e">
        <f>Master!#REF!</f>
        <v>#REF!</v>
      </c>
      <c r="E86" s="449" t="e">
        <f>Master!#REF!</f>
        <v>#REF!</v>
      </c>
      <c r="F86" s="450" t="e">
        <f>Master!#REF!</f>
        <v>#REF!</v>
      </c>
    </row>
    <row r="87" spans="2:11" ht="15.5" outlineLevel="1" x14ac:dyDescent="0.35">
      <c r="B87" s="489">
        <v>18.399999999999999</v>
      </c>
      <c r="C87" s="504" t="e">
        <f>Master!#REF!</f>
        <v>#REF!</v>
      </c>
      <c r="D87" s="449" t="e">
        <f>Master!#REF!</f>
        <v>#REF!</v>
      </c>
      <c r="E87" s="449" t="e">
        <f>Master!#REF!</f>
        <v>#REF!</v>
      </c>
      <c r="F87" s="450" t="e">
        <f>Master!#REF!</f>
        <v>#REF!</v>
      </c>
      <c r="K87" s="315"/>
    </row>
    <row r="88" spans="2:11" ht="14.25" customHeight="1" outlineLevel="1" x14ac:dyDescent="0.35">
      <c r="B88" s="489">
        <v>18.5</v>
      </c>
      <c r="C88" s="504" t="e">
        <f>Master!#REF!</f>
        <v>#REF!</v>
      </c>
      <c r="D88" s="449" t="e">
        <f>Master!#REF!</f>
        <v>#REF!</v>
      </c>
      <c r="E88" s="449" t="e">
        <f>Master!#REF!</f>
        <v>#REF!</v>
      </c>
      <c r="F88" s="450" t="e">
        <f>Master!#REF!</f>
        <v>#REF!</v>
      </c>
    </row>
    <row r="89" spans="2:11" ht="14.25" customHeight="1" outlineLevel="1" x14ac:dyDescent="0.35">
      <c r="B89" s="489">
        <v>19.100000000000001</v>
      </c>
      <c r="C89" s="504" t="e">
        <f>Master!#REF!</f>
        <v>#REF!</v>
      </c>
      <c r="D89" s="449" t="e">
        <f>Master!#REF!</f>
        <v>#REF!</v>
      </c>
      <c r="E89" s="449" t="e">
        <f>Master!#REF!</f>
        <v>#REF!</v>
      </c>
      <c r="F89" s="450" t="e">
        <f>Master!#REF!</f>
        <v>#REF!</v>
      </c>
    </row>
    <row r="90" spans="2:11" ht="14.25" customHeight="1" outlineLevel="1" x14ac:dyDescent="0.35">
      <c r="B90" s="489">
        <v>23.1</v>
      </c>
      <c r="C90" s="504" t="e">
        <f>Master!#REF!</f>
        <v>#REF!</v>
      </c>
      <c r="D90" s="449" t="e">
        <f>Master!#REF!</f>
        <v>#REF!</v>
      </c>
      <c r="E90" s="449" t="e">
        <f>Master!#REF!</f>
        <v>#REF!</v>
      </c>
      <c r="F90" s="450" t="e">
        <f>Master!#REF!</f>
        <v>#REF!</v>
      </c>
    </row>
    <row r="91" spans="2:11" ht="14.25" customHeight="1" outlineLevel="1" x14ac:dyDescent="0.35">
      <c r="B91" s="643">
        <v>20.100000000000001</v>
      </c>
      <c r="C91" s="504" t="e">
        <f>Master!#REF!</f>
        <v>#REF!</v>
      </c>
      <c r="D91" s="449" t="e">
        <f>Master!#REF!</f>
        <v>#REF!</v>
      </c>
      <c r="E91" s="449" t="e">
        <f>Master!#REF!</f>
        <v>#REF!</v>
      </c>
      <c r="F91" s="450" t="e">
        <f>Master!#REF!</f>
        <v>#REF!</v>
      </c>
      <c r="J91" s="315"/>
    </row>
    <row r="92" spans="2:11" s="2" customFormat="1" ht="14.25" customHeight="1" outlineLevel="1" x14ac:dyDescent="0.35">
      <c r="B92" s="643">
        <v>20.2</v>
      </c>
      <c r="C92" s="504" t="e">
        <f>Master!#REF!</f>
        <v>#REF!</v>
      </c>
      <c r="D92" s="449" t="e">
        <f>Master!#REF!</f>
        <v>#REF!</v>
      </c>
      <c r="E92" s="449" t="e">
        <f>Master!#REF!</f>
        <v>#REF!</v>
      </c>
      <c r="F92" s="450" t="e">
        <f>Master!#REF!</f>
        <v>#REF!</v>
      </c>
      <c r="H92" s="455"/>
      <c r="J92" s="315"/>
    </row>
    <row r="93" spans="2:11" ht="14.25" customHeight="1" outlineLevel="1" x14ac:dyDescent="0.35">
      <c r="B93" s="496">
        <v>20.3</v>
      </c>
      <c r="C93" s="504" t="e">
        <f>Master!#REF!</f>
        <v>#REF!</v>
      </c>
      <c r="D93" s="449" t="e">
        <f>Master!#REF!</f>
        <v>#REF!</v>
      </c>
      <c r="E93" s="449" t="e">
        <f>Master!#REF!</f>
        <v>#REF!</v>
      </c>
      <c r="F93" s="450" t="e">
        <f>Master!#REF!</f>
        <v>#REF!</v>
      </c>
    </row>
    <row r="94" spans="2:11" ht="14.9" customHeight="1" outlineLevel="1" x14ac:dyDescent="0.35">
      <c r="B94" s="496">
        <v>20.399999999999999</v>
      </c>
      <c r="C94" s="504" t="e">
        <f>Master!#REF!</f>
        <v>#REF!</v>
      </c>
      <c r="D94" s="449" t="e">
        <f>Master!#REF!</f>
        <v>#REF!</v>
      </c>
      <c r="E94" s="449" t="e">
        <f>Master!#REF!</f>
        <v>#REF!</v>
      </c>
      <c r="F94" s="450" t="e">
        <f>Master!#REF!</f>
        <v>#REF!</v>
      </c>
    </row>
    <row r="95" spans="2:11" ht="14.9" customHeight="1" outlineLevel="1" x14ac:dyDescent="0.35">
      <c r="B95" s="496">
        <v>20.6</v>
      </c>
      <c r="C95" s="504" t="e">
        <f>Master!#REF!</f>
        <v>#REF!</v>
      </c>
      <c r="D95" s="449" t="e">
        <f>Master!#REF!</f>
        <v>#REF!</v>
      </c>
      <c r="E95" s="449" t="e">
        <f>Master!#REF!</f>
        <v>#REF!</v>
      </c>
      <c r="F95" s="450" t="e">
        <f>Master!#REF!</f>
        <v>#REF!</v>
      </c>
    </row>
    <row r="96" spans="2:11" ht="14.9" customHeight="1" outlineLevel="1" thickBot="1" x14ac:dyDescent="0.4">
      <c r="B96" s="497">
        <v>20.5</v>
      </c>
      <c r="C96" s="504" t="e">
        <f>Master!#REF!</f>
        <v>#REF!</v>
      </c>
      <c r="D96" s="449" t="e">
        <f>Master!#REF!</f>
        <v>#REF!</v>
      </c>
      <c r="E96" s="449" t="e">
        <f>Master!#REF!</f>
        <v>#REF!</v>
      </c>
      <c r="F96" s="450" t="e">
        <f>Master!#REF!</f>
        <v>#REF!</v>
      </c>
    </row>
    <row r="97" spans="1:12" ht="15.5" outlineLevel="1" x14ac:dyDescent="0.35">
      <c r="C97" s="444" t="s">
        <v>381</v>
      </c>
      <c r="D97" s="443" t="e">
        <f>SUM(SUM(D83:D96))</f>
        <v>#REF!</v>
      </c>
      <c r="E97" s="443" t="e">
        <f>SUM(SUM(E83:E96))</f>
        <v>#REF!</v>
      </c>
      <c r="F97" s="445" t="e">
        <f>SUM(SUM(F83:F94))</f>
        <v>#REF!</v>
      </c>
    </row>
    <row r="98" spans="1:12" ht="14.25" customHeight="1" outlineLevel="1" x14ac:dyDescent="0.35">
      <c r="C98" s="385" t="s">
        <v>113</v>
      </c>
      <c r="D98" s="386" t="e">
        <f>D97*Assumptions!$C$7</f>
        <v>#REF!</v>
      </c>
      <c r="E98" s="371" t="e">
        <f>E97*Assumptions!$C$7</f>
        <v>#REF!</v>
      </c>
      <c r="F98" s="419" t="e">
        <v>#REF!</v>
      </c>
    </row>
    <row r="99" spans="1:12" ht="14.9" customHeight="1" outlineLevel="1" thickBot="1" x14ac:dyDescent="0.4">
      <c r="C99" s="837" t="s">
        <v>382</v>
      </c>
      <c r="D99" s="446" t="e">
        <f>D98+D97</f>
        <v>#REF!</v>
      </c>
      <c r="E99" s="446" t="e">
        <f>E98+E97</f>
        <v>#REF!</v>
      </c>
      <c r="F99" s="367" t="e">
        <f>F98+F97</f>
        <v>#REF!</v>
      </c>
    </row>
    <row r="100" spans="1:12" ht="16" outlineLevel="1" thickBot="1" x14ac:dyDescent="0.4">
      <c r="C100" s="1569" t="s">
        <v>383</v>
      </c>
      <c r="D100" s="1570"/>
      <c r="E100" s="1570"/>
      <c r="F100" s="1571"/>
    </row>
    <row r="101" spans="1:12" ht="14.25" customHeight="1" outlineLevel="1" x14ac:dyDescent="0.35">
      <c r="C101" s="430" t="e">
        <f>Master!#REF!</f>
        <v>#REF!</v>
      </c>
      <c r="D101" s="438"/>
      <c r="E101" s="439" t="e">
        <f>Master!#REF!</f>
        <v>#REF!</v>
      </c>
      <c r="F101" s="440" t="e">
        <f>E101/Assumptions!$C$3</f>
        <v>#REF!</v>
      </c>
    </row>
    <row r="102" spans="1:12" ht="15.5" outlineLevel="1" x14ac:dyDescent="0.35">
      <c r="C102" s="430" t="e">
        <f>Master!#REF!</f>
        <v>#REF!</v>
      </c>
      <c r="D102" s="438"/>
      <c r="E102" s="439" t="e">
        <f>Master!#REF!</f>
        <v>#REF!</v>
      </c>
      <c r="F102" s="440" t="e">
        <f>E102/Assumptions!$C$3</f>
        <v>#REF!</v>
      </c>
    </row>
    <row r="103" spans="1:12" ht="14.25" customHeight="1" outlineLevel="1" x14ac:dyDescent="0.35">
      <c r="C103" s="430" t="e">
        <f>Master!#REF!</f>
        <v>#REF!</v>
      </c>
      <c r="D103" s="438"/>
      <c r="E103" s="425" t="e">
        <f>Master!#REF!</f>
        <v>#REF!</v>
      </c>
      <c r="F103" s="426" t="e">
        <f>E103/Assumptions!$C$3</f>
        <v>#REF!</v>
      </c>
    </row>
    <row r="104" spans="1:12" ht="16" outlineLevel="1" thickBot="1" x14ac:dyDescent="0.4">
      <c r="C104" s="1576" t="s">
        <v>407</v>
      </c>
      <c r="D104" s="1577"/>
      <c r="E104" s="387" t="e">
        <f>SUM(SUM(E101:E103))</f>
        <v>#REF!</v>
      </c>
      <c r="F104" s="388" t="e">
        <f>SUM(SUM(F101:F103))</f>
        <v>#REF!</v>
      </c>
    </row>
    <row r="105" spans="1:12" ht="16" outlineLevel="1" thickBot="1" x14ac:dyDescent="0.4">
      <c r="C105" s="1563" t="s">
        <v>0</v>
      </c>
      <c r="D105" s="1572"/>
      <c r="E105" s="360" t="e">
        <f>E99+E104</f>
        <v>#REF!</v>
      </c>
      <c r="F105" s="361" t="e">
        <f>F99+F104</f>
        <v>#REF!</v>
      </c>
    </row>
    <row r="106" spans="1:12" ht="15" thickBot="1" x14ac:dyDescent="0.4">
      <c r="C106" s="346"/>
      <c r="D106" s="2"/>
      <c r="E106" s="2"/>
      <c r="F106" s="2"/>
    </row>
    <row r="107" spans="1:12" s="118" customFormat="1" ht="16" collapsed="1" thickBot="1" x14ac:dyDescent="0.4">
      <c r="A107" s="315"/>
      <c r="B107" s="315"/>
      <c r="C107" s="374" t="s">
        <v>473</v>
      </c>
      <c r="D107" s="375"/>
      <c r="E107" s="375"/>
      <c r="F107" s="376"/>
      <c r="G107" s="315"/>
      <c r="H107" s="461">
        <f>COUNT(F110:F114)</f>
        <v>0</v>
      </c>
      <c r="I107" s="315"/>
      <c r="J107" s="2"/>
      <c r="K107" s="2"/>
      <c r="L107" s="2"/>
    </row>
    <row r="108" spans="1:12" ht="16" outlineLevel="1" thickBot="1" x14ac:dyDescent="0.4">
      <c r="C108" s="365"/>
      <c r="D108" s="436" t="s">
        <v>344</v>
      </c>
      <c r="E108" s="436" t="s">
        <v>345</v>
      </c>
      <c r="F108" s="437" t="s">
        <v>108</v>
      </c>
      <c r="L108" s="315"/>
    </row>
    <row r="109" spans="1:12" ht="16" outlineLevel="1" thickBot="1" x14ac:dyDescent="0.4">
      <c r="C109" s="1560" t="s">
        <v>352</v>
      </c>
      <c r="D109" s="1561"/>
      <c r="E109" s="1561"/>
      <c r="F109" s="1562"/>
    </row>
    <row r="110" spans="1:12" ht="15.5" outlineLevel="1" x14ac:dyDescent="0.35">
      <c r="B110" s="484" t="s">
        <v>474</v>
      </c>
      <c r="C110" s="430" t="e">
        <f>Master!#REF!</f>
        <v>#REF!</v>
      </c>
      <c r="D110" s="465" t="e">
        <f>Master!#REF!</f>
        <v>#REF!</v>
      </c>
      <c r="E110" s="465" t="e">
        <f>Master!#REF!</f>
        <v>#REF!</v>
      </c>
      <c r="F110" s="427" t="e">
        <f>Master!#REF!</f>
        <v>#REF!</v>
      </c>
    </row>
    <row r="111" spans="1:12" ht="15.5" outlineLevel="1" x14ac:dyDescent="0.35">
      <c r="B111" s="455" t="s">
        <v>474</v>
      </c>
      <c r="C111" s="408" t="e">
        <f>Master!#REF!</f>
        <v>#REF!</v>
      </c>
      <c r="D111" s="428" t="e">
        <f>Master!#REF!</f>
        <v>#REF!</v>
      </c>
      <c r="E111" s="428" t="e">
        <f>Master!#REF!</f>
        <v>#REF!</v>
      </c>
      <c r="F111" s="427" t="e">
        <f>Master!#REF!</f>
        <v>#REF!</v>
      </c>
    </row>
    <row r="112" spans="1:12" ht="15.5" outlineLevel="1" x14ac:dyDescent="0.35">
      <c r="B112" s="455" t="s">
        <v>474</v>
      </c>
      <c r="C112" s="408" t="e">
        <f>Master!#REF!</f>
        <v>#REF!</v>
      </c>
      <c r="D112" s="428" t="e">
        <f>Master!#REF!</f>
        <v>#REF!</v>
      </c>
      <c r="E112" s="428" t="e">
        <f>Master!#REF!</f>
        <v>#REF!</v>
      </c>
      <c r="F112" s="427" t="e">
        <f>Master!#REF!</f>
        <v>#REF!</v>
      </c>
    </row>
    <row r="113" spans="2:11" ht="15.5" outlineLevel="1" x14ac:dyDescent="0.35">
      <c r="B113" s="455" t="s">
        <v>474</v>
      </c>
      <c r="C113" s="408" t="e">
        <f>Master!#REF!</f>
        <v>#REF!</v>
      </c>
      <c r="D113" s="428" t="e">
        <f>Master!#REF!</f>
        <v>#REF!</v>
      </c>
      <c r="E113" s="428" t="e">
        <f>Master!#REF!</f>
        <v>#REF!</v>
      </c>
      <c r="F113" s="427" t="e">
        <f>Master!#REF!</f>
        <v>#REF!</v>
      </c>
    </row>
    <row r="114" spans="2:11" ht="16" outlineLevel="1" thickBot="1" x14ac:dyDescent="0.4">
      <c r="B114" s="485" t="s">
        <v>474</v>
      </c>
      <c r="C114" s="408" t="e">
        <f>Master!#REF!</f>
        <v>#REF!</v>
      </c>
      <c r="D114" s="428" t="e">
        <f>Master!#REF!</f>
        <v>#REF!</v>
      </c>
      <c r="E114" s="428" t="e">
        <f>Master!#REF!</f>
        <v>#REF!</v>
      </c>
      <c r="F114" s="427" t="e">
        <f>Master!#REF!</f>
        <v>#REF!</v>
      </c>
    </row>
    <row r="115" spans="2:11" ht="16" outlineLevel="1" thickBot="1" x14ac:dyDescent="0.4">
      <c r="C115" s="451" t="e">
        <f>Master!#REF!</f>
        <v>#REF!</v>
      </c>
      <c r="D115" s="452" t="e">
        <f>Master!#REF!</f>
        <v>#REF!</v>
      </c>
      <c r="E115" s="452" t="e">
        <f>Master!#REF!</f>
        <v>#REF!</v>
      </c>
      <c r="F115" s="453" t="e">
        <f>Master!#REF!</f>
        <v>#REF!</v>
      </c>
      <c r="K115" s="315"/>
    </row>
    <row r="116" spans="2:11" ht="15.5" outlineLevel="1" x14ac:dyDescent="0.35">
      <c r="C116" s="377" t="e">
        <f>Master!#REF!</f>
        <v>#REF!</v>
      </c>
      <c r="D116" s="378" t="e">
        <f>Master!#REF!</f>
        <v>#REF!</v>
      </c>
      <c r="E116" s="378" t="e">
        <f>Master!#REF!</f>
        <v>#REF!</v>
      </c>
      <c r="F116" s="379" t="e">
        <f>Master!#REF!</f>
        <v>#REF!</v>
      </c>
    </row>
    <row r="117" spans="2:11" ht="15.5" outlineLevel="1" x14ac:dyDescent="0.35">
      <c r="C117" s="358" t="s">
        <v>382</v>
      </c>
      <c r="D117" s="380" t="e">
        <f>D116+D115</f>
        <v>#REF!</v>
      </c>
      <c r="E117" s="380" t="e">
        <f>E116+E115</f>
        <v>#REF!</v>
      </c>
      <c r="F117" s="381" t="e">
        <f>F116+F115</f>
        <v>#REF!</v>
      </c>
    </row>
    <row r="118" spans="2:11" ht="16" outlineLevel="1" thickBot="1" x14ac:dyDescent="0.4">
      <c r="C118" s="1573" t="s">
        <v>383</v>
      </c>
      <c r="D118" s="1574"/>
      <c r="E118" s="1574"/>
      <c r="F118" s="1575"/>
    </row>
    <row r="119" spans="2:11" ht="15.5" outlineLevel="1" x14ac:dyDescent="0.35">
      <c r="B119" s="641" t="s">
        <v>474</v>
      </c>
      <c r="C119" s="623" t="s">
        <v>475</v>
      </c>
      <c r="D119" s="621"/>
      <c r="E119" s="621"/>
      <c r="F119" s="622"/>
    </row>
    <row r="120" spans="2:11" ht="16" outlineLevel="1" thickBot="1" x14ac:dyDescent="0.4">
      <c r="B120" s="497" t="s">
        <v>474</v>
      </c>
      <c r="C120" s="407" t="e">
        <f>Master!#REF!</f>
        <v>#REF!</v>
      </c>
      <c r="D120" s="479"/>
      <c r="E120" s="480" t="e">
        <f>Master!#REF!</f>
        <v>#REF!</v>
      </c>
      <c r="F120" s="440" t="e">
        <f>Master!#REF!</f>
        <v>#REF!</v>
      </c>
    </row>
    <row r="121" spans="2:11" ht="15.5" outlineLevel="1" x14ac:dyDescent="0.35">
      <c r="C121" s="368" t="s">
        <v>407</v>
      </c>
      <c r="D121" s="369"/>
      <c r="E121" s="373" t="e">
        <f>SUM(SUM(E120:E120))</f>
        <v>#REF!</v>
      </c>
      <c r="F121" s="370" t="e">
        <f>SUM(SUM(F120:F120))</f>
        <v>#REF!</v>
      </c>
    </row>
    <row r="122" spans="2:11" ht="16" outlineLevel="1" thickBot="1" x14ac:dyDescent="0.4">
      <c r="C122" s="1563" t="s">
        <v>0</v>
      </c>
      <c r="D122" s="1572"/>
      <c r="E122" s="360" t="e">
        <f>E117+E121</f>
        <v>#REF!</v>
      </c>
      <c r="F122" s="361" t="e">
        <f>F117+F121</f>
        <v>#REF!</v>
      </c>
    </row>
    <row r="123" spans="2:11" x14ac:dyDescent="0.35">
      <c r="C123" s="2"/>
      <c r="D123" s="2"/>
      <c r="E123" s="2"/>
      <c r="F123" s="2"/>
    </row>
    <row r="124" spans="2:11" x14ac:dyDescent="0.35">
      <c r="C124" s="346"/>
      <c r="D124" s="2"/>
      <c r="E124" s="2"/>
      <c r="F124" s="2"/>
    </row>
    <row r="125" spans="2:11" x14ac:dyDescent="0.35">
      <c r="C125" s="2"/>
      <c r="D125" s="2"/>
      <c r="E125" s="2"/>
      <c r="F125" s="2"/>
    </row>
    <row r="126" spans="2:11" x14ac:dyDescent="0.35">
      <c r="C126" s="2"/>
      <c r="D126" s="2"/>
      <c r="E126" s="2"/>
      <c r="F126" s="2"/>
    </row>
    <row r="127" spans="2:11" x14ac:dyDescent="0.35">
      <c r="C127" s="2"/>
      <c r="D127" s="2"/>
      <c r="E127" s="2"/>
      <c r="F127" s="2"/>
    </row>
    <row r="128" spans="2:11" x14ac:dyDescent="0.35">
      <c r="C128" s="2"/>
      <c r="D128" s="2"/>
      <c r="E128" s="2"/>
      <c r="F128" s="2"/>
    </row>
    <row r="129" spans="3:6" x14ac:dyDescent="0.35">
      <c r="C129" s="2"/>
      <c r="D129" s="2"/>
      <c r="E129" s="2"/>
      <c r="F129" s="2"/>
    </row>
    <row r="130" spans="3:6" x14ac:dyDescent="0.35">
      <c r="C130" s="2"/>
      <c r="D130" s="2"/>
      <c r="E130" s="2"/>
      <c r="F130" s="2"/>
    </row>
    <row r="131" spans="3:6" x14ac:dyDescent="0.35">
      <c r="C131" s="2"/>
      <c r="D131" s="2"/>
      <c r="E131" s="2"/>
      <c r="F131" s="2"/>
    </row>
    <row r="132" spans="3:6" x14ac:dyDescent="0.35">
      <c r="C132" s="2"/>
      <c r="D132" s="2"/>
      <c r="E132" s="2"/>
      <c r="F132" s="2"/>
    </row>
    <row r="133" spans="3:6" x14ac:dyDescent="0.35">
      <c r="C133" s="2"/>
      <c r="D133" s="2"/>
      <c r="E133" s="2"/>
      <c r="F133" s="2"/>
    </row>
    <row r="134" spans="3:6" x14ac:dyDescent="0.35">
      <c r="C134" s="2"/>
      <c r="D134" s="2"/>
      <c r="E134" s="2"/>
      <c r="F134" s="2"/>
    </row>
    <row r="135" spans="3:6" x14ac:dyDescent="0.35">
      <c r="C135" s="2"/>
      <c r="D135" s="2"/>
      <c r="E135" s="2"/>
      <c r="F135" s="2"/>
    </row>
  </sheetData>
  <mergeCells count="19">
    <mergeCell ref="C100:F100"/>
    <mergeCell ref="C118:F118"/>
    <mergeCell ref="C109:F109"/>
    <mergeCell ref="C122:D122"/>
    <mergeCell ref="C104:D104"/>
    <mergeCell ref="C105:D105"/>
    <mergeCell ref="J6:K6"/>
    <mergeCell ref="H1:H3"/>
    <mergeCell ref="C82:F82"/>
    <mergeCell ref="C8:F8"/>
    <mergeCell ref="C55:D55"/>
    <mergeCell ref="C39:F39"/>
    <mergeCell ref="C34:D34"/>
    <mergeCell ref="C35:D35"/>
    <mergeCell ref="C29:F29"/>
    <mergeCell ref="C74:F74"/>
    <mergeCell ref="C59:F59"/>
    <mergeCell ref="C49:F49"/>
    <mergeCell ref="C78:D78"/>
  </mergeCells>
  <pageMargins left="0.7" right="0.7" top="0.75" bottom="0.75" header="0.3" footer="0.3"/>
  <pageSetup paperSize="9" orientation="portrait" r:id="rId1"/>
  <legacy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3315D1-001F-4980-B4F5-2944F8AB3DB3}">
  <dimension ref="B1:K21"/>
  <sheetViews>
    <sheetView tabSelected="1" zoomScale="85" zoomScaleNormal="85" workbookViewId="0"/>
  </sheetViews>
  <sheetFormatPr defaultRowHeight="14.5" x14ac:dyDescent="0.35"/>
  <cols>
    <col min="2" max="2" width="2.7265625" customWidth="1"/>
    <col min="11" max="11" width="4.1796875" customWidth="1"/>
  </cols>
  <sheetData>
    <row r="1" spans="2:11" ht="15" thickBot="1" x14ac:dyDescent="0.4"/>
    <row r="2" spans="2:11" x14ac:dyDescent="0.35">
      <c r="B2" s="1293"/>
      <c r="C2" s="1294"/>
      <c r="D2" s="1294"/>
      <c r="E2" s="1294"/>
      <c r="F2" s="1294"/>
      <c r="G2" s="1294"/>
      <c r="H2" s="1294"/>
      <c r="I2" s="1294"/>
      <c r="J2" s="1294"/>
      <c r="K2" s="1295"/>
    </row>
    <row r="3" spans="2:11" x14ac:dyDescent="0.35">
      <c r="B3" s="1296"/>
      <c r="C3" s="67"/>
      <c r="D3" s="67"/>
      <c r="E3" s="67"/>
      <c r="F3" s="67"/>
      <c r="G3" s="67"/>
      <c r="H3" s="67"/>
      <c r="I3" s="67"/>
      <c r="J3" s="67"/>
      <c r="K3" s="1297"/>
    </row>
    <row r="4" spans="2:11" x14ac:dyDescent="0.35">
      <c r="B4" s="1296"/>
      <c r="C4" s="67"/>
      <c r="D4" s="67"/>
      <c r="E4" s="67"/>
      <c r="F4" s="67"/>
      <c r="G4" s="67"/>
      <c r="H4" s="67"/>
      <c r="I4" s="67"/>
      <c r="J4" s="67"/>
      <c r="K4" s="1297"/>
    </row>
    <row r="5" spans="2:11" x14ac:dyDescent="0.35">
      <c r="B5" s="1296"/>
      <c r="C5" s="67"/>
      <c r="D5" s="67"/>
      <c r="E5" s="67"/>
      <c r="F5" s="67"/>
      <c r="G5" s="67"/>
      <c r="H5" s="67"/>
      <c r="I5" s="67"/>
      <c r="J5" s="67"/>
      <c r="K5" s="1297"/>
    </row>
    <row r="6" spans="2:11" x14ac:dyDescent="0.35">
      <c r="B6" s="1296"/>
      <c r="C6" s="1582" t="s">
        <v>1353</v>
      </c>
      <c r="D6" s="1583"/>
      <c r="E6" s="1583"/>
      <c r="F6" s="1583"/>
      <c r="G6" s="1583"/>
      <c r="H6" s="1583"/>
      <c r="I6" s="1583"/>
      <c r="J6" s="1584"/>
      <c r="K6" s="1297"/>
    </row>
    <row r="7" spans="2:11" ht="21" x14ac:dyDescent="0.5">
      <c r="B7" s="1296"/>
      <c r="C7" s="1578" t="s">
        <v>1352</v>
      </c>
      <c r="D7" s="1579"/>
      <c r="E7" s="1579"/>
      <c r="F7" s="1579"/>
      <c r="G7" s="1579"/>
      <c r="H7" s="1579"/>
      <c r="I7" s="1579"/>
      <c r="J7" s="1580"/>
      <c r="K7" s="1297"/>
    </row>
    <row r="8" spans="2:11" x14ac:dyDescent="0.35">
      <c r="B8" s="1296"/>
      <c r="C8" s="67"/>
      <c r="D8" s="67"/>
      <c r="E8" s="67"/>
      <c r="F8" s="67"/>
      <c r="G8" s="67"/>
      <c r="H8" s="67"/>
      <c r="I8" s="67"/>
      <c r="J8" s="67"/>
      <c r="K8" s="1297"/>
    </row>
    <row r="9" spans="2:11" x14ac:dyDescent="0.35">
      <c r="B9" s="1296"/>
      <c r="C9" s="1301" t="s">
        <v>1339</v>
      </c>
      <c r="D9" s="67"/>
      <c r="E9" s="67"/>
      <c r="F9" s="67"/>
      <c r="G9" s="67"/>
      <c r="H9" s="67"/>
      <c r="I9" s="67"/>
      <c r="J9" s="67"/>
      <c r="K9" s="1297"/>
    </row>
    <row r="10" spans="2:11" x14ac:dyDescent="0.35">
      <c r="B10" s="1296"/>
      <c r="C10" s="67" t="s">
        <v>1340</v>
      </c>
      <c r="D10" s="67"/>
      <c r="E10" s="67"/>
      <c r="F10" s="67"/>
      <c r="G10" s="67"/>
      <c r="H10" s="67"/>
      <c r="I10" s="67"/>
      <c r="J10" s="67"/>
      <c r="K10" s="1297"/>
    </row>
    <row r="11" spans="2:11" x14ac:dyDescent="0.35">
      <c r="B11" s="1296"/>
      <c r="C11" s="546" t="s">
        <v>1341</v>
      </c>
      <c r="D11" s="67" t="s">
        <v>1342</v>
      </c>
      <c r="E11" s="67"/>
      <c r="F11" s="67"/>
      <c r="G11" s="67"/>
      <c r="H11" s="67"/>
      <c r="I11" s="67"/>
      <c r="J11" s="67"/>
      <c r="K11" s="1297"/>
    </row>
    <row r="12" spans="2:11" x14ac:dyDescent="0.35">
      <c r="B12" s="1296"/>
      <c r="C12" s="546" t="s">
        <v>1343</v>
      </c>
      <c r="D12" s="67" t="s">
        <v>1344</v>
      </c>
      <c r="E12" s="67"/>
      <c r="F12" s="67"/>
      <c r="G12" s="67"/>
      <c r="H12" s="67"/>
      <c r="I12" s="67"/>
      <c r="J12" s="67"/>
      <c r="K12" s="1297"/>
    </row>
    <row r="13" spans="2:11" x14ac:dyDescent="0.35">
      <c r="B13" s="1296"/>
      <c r="C13" s="546" t="s">
        <v>1345</v>
      </c>
      <c r="D13" s="67" t="s">
        <v>1346</v>
      </c>
      <c r="E13" s="67"/>
      <c r="F13" s="67"/>
      <c r="G13" s="67"/>
      <c r="H13" s="67"/>
      <c r="I13" s="67"/>
      <c r="J13" s="67"/>
      <c r="K13" s="1297"/>
    </row>
    <row r="14" spans="2:11" x14ac:dyDescent="0.35">
      <c r="B14" s="1296"/>
      <c r="C14" s="546" t="s">
        <v>1347</v>
      </c>
      <c r="D14" s="67" t="s">
        <v>1348</v>
      </c>
      <c r="E14" s="67"/>
      <c r="F14" s="67"/>
      <c r="G14" s="67"/>
      <c r="H14" s="67"/>
      <c r="I14" s="67"/>
      <c r="J14" s="67"/>
      <c r="K14" s="1297"/>
    </row>
    <row r="15" spans="2:11" x14ac:dyDescent="0.35">
      <c r="B15" s="1296"/>
      <c r="C15" s="546" t="s">
        <v>1349</v>
      </c>
      <c r="D15" s="67" t="s">
        <v>1350</v>
      </c>
      <c r="E15" s="67"/>
      <c r="F15" s="67"/>
      <c r="G15" s="67"/>
      <c r="H15" s="67"/>
      <c r="I15" s="67"/>
      <c r="J15" s="67"/>
      <c r="K15" s="1297"/>
    </row>
    <row r="16" spans="2:11" ht="43" customHeight="1" x14ac:dyDescent="0.35">
      <c r="B16" s="1296"/>
      <c r="C16" s="1581" t="s">
        <v>1351</v>
      </c>
      <c r="D16" s="1581"/>
      <c r="E16" s="1581"/>
      <c r="F16" s="1581"/>
      <c r="G16" s="1581"/>
      <c r="H16" s="1581"/>
      <c r="I16" s="1581"/>
      <c r="J16" s="1581"/>
      <c r="K16" s="1297"/>
    </row>
    <row r="17" spans="2:11" x14ac:dyDescent="0.35">
      <c r="B17" s="1296"/>
      <c r="C17" s="67" t="s">
        <v>1355</v>
      </c>
      <c r="D17" s="67"/>
      <c r="E17" s="67"/>
      <c r="F17" s="67"/>
      <c r="G17" s="67"/>
      <c r="H17" s="67"/>
      <c r="I17" s="67"/>
      <c r="J17" s="67"/>
      <c r="K17" s="1297"/>
    </row>
    <row r="18" spans="2:11" x14ac:dyDescent="0.35">
      <c r="B18" s="1296"/>
      <c r="C18" s="67" t="s">
        <v>1354</v>
      </c>
      <c r="D18" s="67"/>
      <c r="E18" s="67"/>
      <c r="F18" s="67"/>
      <c r="G18" s="67"/>
      <c r="H18" s="67"/>
      <c r="I18" s="67"/>
      <c r="J18" s="67"/>
      <c r="K18" s="1297"/>
    </row>
    <row r="19" spans="2:11" x14ac:dyDescent="0.35">
      <c r="B19" s="1296"/>
      <c r="C19" s="67"/>
      <c r="D19" s="67"/>
      <c r="E19" s="67"/>
      <c r="F19" s="67"/>
      <c r="G19" s="67"/>
      <c r="H19" s="67"/>
      <c r="I19" s="67"/>
      <c r="J19" s="67"/>
      <c r="K19" s="1297"/>
    </row>
    <row r="20" spans="2:11" ht="268.5" customHeight="1" x14ac:dyDescent="0.35">
      <c r="B20" s="1296"/>
      <c r="C20" s="1581" t="s">
        <v>1375</v>
      </c>
      <c r="D20" s="1581"/>
      <c r="E20" s="1581"/>
      <c r="F20" s="1581"/>
      <c r="G20" s="1581"/>
      <c r="H20" s="1581"/>
      <c r="I20" s="1581"/>
      <c r="J20" s="1581"/>
      <c r="K20" s="1297"/>
    </row>
    <row r="21" spans="2:11" ht="15" thickBot="1" x14ac:dyDescent="0.4">
      <c r="B21" s="1298"/>
      <c r="C21" s="1299"/>
      <c r="D21" s="1299"/>
      <c r="E21" s="1299"/>
      <c r="F21" s="1299"/>
      <c r="G21" s="1299"/>
      <c r="H21" s="1299"/>
      <c r="I21" s="1299"/>
      <c r="J21" s="1299"/>
      <c r="K21" s="1300"/>
    </row>
  </sheetData>
  <mergeCells count="4">
    <mergeCell ref="C7:J7"/>
    <mergeCell ref="C16:J16"/>
    <mergeCell ref="C6:J6"/>
    <mergeCell ref="C20:J20"/>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0000"/>
  </sheetPr>
  <dimension ref="A1:E61"/>
  <sheetViews>
    <sheetView topLeftCell="A19" zoomScale="85" zoomScaleNormal="85" workbookViewId="0">
      <selection activeCell="G26" sqref="G26"/>
    </sheetView>
  </sheetViews>
  <sheetFormatPr defaultRowHeight="15.5" x14ac:dyDescent="0.35"/>
  <cols>
    <col min="1" max="1" width="0.54296875" style="454" customWidth="1"/>
    <col min="2" max="2" width="11.36328125" style="1141" customWidth="1"/>
    <col min="3" max="3" width="57.26953125" style="1142" customWidth="1"/>
    <col min="4" max="4" width="19.6328125" style="1141" customWidth="1"/>
    <col min="5" max="5" width="9.26953125" style="1141" customWidth="1"/>
    <col min="6" max="16384" width="8.7265625" style="1141"/>
  </cols>
  <sheetData>
    <row r="1" spans="2:5" s="454" customFormat="1" ht="21" x14ac:dyDescent="0.35">
      <c r="B1" s="1592" t="s">
        <v>1357</v>
      </c>
      <c r="C1" s="1592"/>
    </row>
    <row r="2" spans="2:5" s="454" customFormat="1" x14ac:dyDescent="0.35">
      <c r="C2" s="1137"/>
    </row>
    <row r="3" spans="2:5" s="1138" customFormat="1" ht="43.5" x14ac:dyDescent="0.35">
      <c r="D3" s="1252" t="s">
        <v>1410</v>
      </c>
      <c r="E3" s="1252" t="s">
        <v>108</v>
      </c>
    </row>
    <row r="4" spans="2:5" s="1138" customFormat="1" x14ac:dyDescent="0.35">
      <c r="B4" s="1253" t="s">
        <v>109</v>
      </c>
      <c r="C4" s="1253"/>
      <c r="D4" s="1253"/>
      <c r="E4" s="1253"/>
    </row>
    <row r="5" spans="2:5" s="1138" customFormat="1" ht="46.4" customHeight="1" x14ac:dyDescent="0.35">
      <c r="B5" s="1593" t="s">
        <v>351</v>
      </c>
      <c r="C5" s="1597" t="str">
        <f>CONCATENATE("Objective ",RIGHT(Master!C10,2)," ", Master!D10)</f>
        <v>Objective S1 Improve physical and chemical condition and productivity of agricultural soils that need remediation due to long term degradation and where that remediation is not likely to occur without direct investment.</v>
      </c>
      <c r="D5" s="1597"/>
      <c r="E5" s="1597"/>
    </row>
    <row r="6" spans="2:5" s="1138" customFormat="1" ht="43.5" x14ac:dyDescent="0.35">
      <c r="B6" s="1594"/>
      <c r="C6" s="707" t="str">
        <f>CONCATENATE(Master!C11, " ", Master!D11)</f>
        <v>S1.1-C Apply lime to address soil acidification on agricultural soils where damage is significant, not affected by acid sulfate and not amenable to current management.</v>
      </c>
      <c r="D6" s="1254">
        <f>'Present Value'!$I$6/1000000</f>
        <v>117.93042032420767</v>
      </c>
      <c r="E6" s="1349" t="str">
        <f>Master!M11</f>
        <v>&lt; 0.01%</v>
      </c>
    </row>
    <row r="7" spans="2:5" s="1138" customFormat="1" ht="43.5" x14ac:dyDescent="0.35">
      <c r="B7" s="1594"/>
      <c r="C7" s="707" t="str">
        <f>CONCATENATE(Master!C12, " ", Master!D12)</f>
        <v>S1.2-C Apply gypsum to address soil structure decline on agricultural soils with excess sodicity where amendment is likely to produce substantial improvement.</v>
      </c>
      <c r="D7" s="1254">
        <f>'Present Value'!$I$7/1000000</f>
        <v>2.3449127273222641</v>
      </c>
      <c r="E7" s="1349" t="str">
        <f>Master!M12</f>
        <v>&lt; 0.01%</v>
      </c>
    </row>
    <row r="8" spans="2:5" s="1138" customFormat="1" ht="29" x14ac:dyDescent="0.35">
      <c r="B8" s="1594"/>
      <c r="C8" s="707" t="str">
        <f>CONCATENATE(Master!C13, " ", Master!D13)</f>
        <v>S1.3-C Plant salt-tolerant vegetation (e.g., saltbush) on salt-affected lands to maintain soil stability and some level of production.</v>
      </c>
      <c r="D8" s="1254">
        <f>'Present Value'!$I$8/1000000</f>
        <v>7.0570137690042012</v>
      </c>
      <c r="E8" s="1349" t="str">
        <f>Master!M13</f>
        <v>&lt; 0.01%</v>
      </c>
    </row>
    <row r="9" spans="2:5" s="1138" customFormat="1" ht="30.5" customHeight="1" x14ac:dyDescent="0.35">
      <c r="B9" s="1594"/>
      <c r="C9" s="1597" t="str">
        <f>CONCATENATE("Objective ",RIGHT(Master!C14,2)," ", Master!D14)</f>
        <v>Objective S2 Repair gully erosion hot spots across Australia to improve water quality in rivers and expand the availability of healthy land for agriculture and wildlife.</v>
      </c>
      <c r="D9" s="1597"/>
      <c r="E9" s="1597"/>
    </row>
    <row r="10" spans="2:5" s="1138" customFormat="1" ht="29" x14ac:dyDescent="0.35">
      <c r="B10" s="1594"/>
      <c r="C10" s="707" t="str">
        <f>CONCATENATE(Master!C15, " ", Master!D15)</f>
        <v>S2.1-C Undertake remediation works of revegetation, fencing, stick traps, and rock chutes for high-risk gullies.</v>
      </c>
      <c r="D10" s="1254">
        <f>'Present Value'!$I$10/1000000</f>
        <v>14.696057530651117</v>
      </c>
      <c r="E10" s="1349" t="str">
        <f>Master!M15</f>
        <v>&lt; 0.01%</v>
      </c>
    </row>
    <row r="11" spans="2:5" s="1138" customFormat="1" ht="29" x14ac:dyDescent="0.35">
      <c r="B11" s="1594"/>
      <c r="C11" s="707" t="str">
        <f>CONCATENATE(Master!C16, " ", Master!D16)</f>
        <v>S2.2-C Undertake remediation works of stick traps, rock chutes, fencing for low-to-medium risk gullies.</v>
      </c>
      <c r="D11" s="1254">
        <f>'Present Value'!$I$11/1000000</f>
        <v>393.774423683821</v>
      </c>
      <c r="E11" s="1349">
        <f>Master!M16</f>
        <v>1.6360911736904647E-4</v>
      </c>
    </row>
    <row r="12" spans="2:5" s="1138" customFormat="1" x14ac:dyDescent="0.35">
      <c r="B12" s="1594"/>
      <c r="C12" s="1597" t="str">
        <f>CONCATENATE("Objective ",RIGHT(Master!C17,2)," ", Master!D17)</f>
        <v>Objective S3 Connect agricultural land management practices with broader national ambitions for biodiversity, climate change and agricultural productivity.</v>
      </c>
      <c r="D12" s="1597"/>
      <c r="E12" s="1597"/>
    </row>
    <row r="13" spans="2:5" s="1138" customFormat="1" ht="58" x14ac:dyDescent="0.35">
      <c r="B13" s="1594"/>
      <c r="C13" s="707" t="str">
        <f>CONCATENATE(Master!C18, " ", Master!D18)</f>
        <v>S3.1-C Revitalise advisory, support and extension services to provide landholders with the knowledge and capacity to better optimise outcomes including maintaining economic productivity, improving catchment health, sequestering carbon and improving biodiversity.</v>
      </c>
      <c r="D13" s="1254">
        <f>'Present Value'!$I$13/1000000</f>
        <v>42.467916719203345</v>
      </c>
      <c r="E13" s="1349" t="str">
        <f>Master!M18</f>
        <v>&lt; 0.01%</v>
      </c>
    </row>
    <row r="14" spans="2:5" s="1138" customFormat="1" x14ac:dyDescent="0.35">
      <c r="B14" s="1594"/>
      <c r="C14" s="1255" t="s">
        <v>110</v>
      </c>
      <c r="D14" s="1256">
        <f>Master!K19/1000000</f>
        <v>578.27074475420966</v>
      </c>
      <c r="E14" s="1257">
        <f>Master!M19</f>
        <v>2.4026539170442484E-4</v>
      </c>
    </row>
    <row r="15" spans="2:5" s="1138" customFormat="1" ht="44" customHeight="1" x14ac:dyDescent="0.35">
      <c r="B15" s="1595" t="s">
        <v>1412</v>
      </c>
      <c r="C15" s="1598" t="str">
        <f>CONCATENATE("Objective ",RIGHT(Master!C30,2)," ", Master!D30)</f>
        <v>Objective R1 Establish and restore riparian buffer zones on all of Australia's rivers and streams to protect productive land from erosion, support biodiversity, improve water quality and enhance the productivity of fisheries and health of freshwater and marine ecosystems.</v>
      </c>
      <c r="D15" s="1598"/>
      <c r="E15" s="1598"/>
    </row>
    <row r="16" spans="2:5" s="1138" customFormat="1" ht="29" x14ac:dyDescent="0.35">
      <c r="B16" s="1595"/>
      <c r="C16" s="944" t="str">
        <f>CONCATENATE(Master!C31, " ", Master!D31)</f>
        <v xml:space="preserve">R1.1-C Restore, conserve, and manage strips of healthy native riparian vegetation </v>
      </c>
      <c r="D16" s="1254">
        <f>'Present Value'!I19/1000000</f>
        <v>2396.0819060772574</v>
      </c>
      <c r="E16" s="1349">
        <f>Master!M31</f>
        <v>9.9554674508777505E-4</v>
      </c>
    </row>
    <row r="17" spans="2:5" s="1138" customFormat="1" ht="43.5" x14ac:dyDescent="0.35">
      <c r="B17" s="1595"/>
      <c r="C17" s="944" t="str">
        <f>CONCATENATE(Master!C32, " ", Master!D32)</f>
        <v xml:space="preserve">R1.2-C Incentivise landholders to retire their farmland along the banks of Australia’s major rivers, smaller rivers and streams, and major natural lakes and wetlands </v>
      </c>
      <c r="D17" s="1254">
        <f>'Present Value'!I20/1000000</f>
        <v>200.63460134394893</v>
      </c>
      <c r="E17" s="1349" t="str">
        <f>Master!M32</f>
        <v>&lt; 0.01%</v>
      </c>
    </row>
    <row r="18" spans="2:5" s="1138" customFormat="1" x14ac:dyDescent="0.35">
      <c r="B18" s="1595"/>
      <c r="C18" s="1598" t="str">
        <f>CONCATENATE("Objective ",RIGHT(Master!C33,2)," ", Master!D33)</f>
        <v>Objective R2 Restore overallocated river systems to sustainable levels of take.</v>
      </c>
      <c r="D18" s="1598"/>
      <c r="E18" s="1598"/>
    </row>
    <row r="19" spans="2:5" s="1138" customFormat="1" ht="58" x14ac:dyDescent="0.35">
      <c r="B19" s="1595"/>
      <c r="C19" s="944" t="str">
        <f>CONCATENATE(Master!C34, " ", Master!D34)</f>
        <v>R2.1-C Return overallocated river systems of the Murray-Darling Basin to environmentally sustainable levels of surface water extraction through the strategic purchase of water licences from willing sellers, on-farm investment, and other measures.</v>
      </c>
      <c r="D19" s="1254">
        <f>'Present Value'!I22/1000000</f>
        <v>104.28901265100275</v>
      </c>
      <c r="E19" s="1349" t="str">
        <f>Master!M34</f>
        <v>&lt; 0.01%</v>
      </c>
    </row>
    <row r="20" spans="2:5" s="1138" customFormat="1" x14ac:dyDescent="0.35">
      <c r="B20" s="1595"/>
      <c r="C20" s="1598" t="str">
        <f>CONCATENATE("Objective ",RIGHT(Master!C35,2)," ", Master!D35)</f>
        <v>Objective R3 Restore lateral and longitudinal connectivity of rivers, floodplains and their wetlands.</v>
      </c>
      <c r="D20" s="1598"/>
      <c r="E20" s="1598"/>
    </row>
    <row r="21" spans="2:5" s="1138" customFormat="1" ht="58" x14ac:dyDescent="0.35">
      <c r="B21" s="1595"/>
      <c r="C21" s="944" t="str">
        <f>CONCATENATE(Master!C36, " ", Master!D36)</f>
        <v>R3.1-C Allow water to reach and pass safely across floodplains and wetlands in the Murray-Darling Basin by modifying infrastructure (e.g., bridges and roads), removing high-risk or unauthorised flood works, or purchasing voluntary easements on private land.</v>
      </c>
      <c r="D21" s="1254">
        <f>'Present Value'!I24/1000000</f>
        <v>22.848168935954316</v>
      </c>
      <c r="E21" s="1349" t="str">
        <f>Master!M36</f>
        <v>&lt; 0.01%</v>
      </c>
    </row>
    <row r="22" spans="2:5" s="1138" customFormat="1" ht="29" x14ac:dyDescent="0.35">
      <c r="B22" s="1595"/>
      <c r="C22" s="944" t="str">
        <f>CONCATENATE(Master!C37, " ", Master!D37)</f>
        <v>R3.2-C Restore fish passage by removing or modifying high priority physical barriers.</v>
      </c>
      <c r="D22" s="1254">
        <f>'Present Value'!I25/1000000</f>
        <v>107.81857505285207</v>
      </c>
      <c r="E22" s="1349" t="str">
        <f>Master!M37</f>
        <v>&lt; 0.01%</v>
      </c>
    </row>
    <row r="23" spans="2:5" s="1138" customFormat="1" ht="29" x14ac:dyDescent="0.35">
      <c r="B23" s="1595"/>
      <c r="C23" s="944" t="str">
        <f>CONCATENATE(Master!C38, " ", Master!D38)</f>
        <v>R3.3-C Install cold-water pollution control devices on priority large dams.</v>
      </c>
      <c r="D23" s="1254">
        <f>'Present Value'!I26/1000000</f>
        <v>20.447931639064791</v>
      </c>
      <c r="E23" s="1349" t="str">
        <f>Master!M38</f>
        <v>&lt; 0.01%</v>
      </c>
    </row>
    <row r="24" spans="2:5" s="1138" customFormat="1" ht="29" x14ac:dyDescent="0.35">
      <c r="B24" s="1595"/>
      <c r="C24" s="944" t="str">
        <f>CONCATENATE(Master!C39, " ", Master!D39)</f>
        <v>R3.4-C Install fish diversion screening on all licensed irrigation pumps.</v>
      </c>
      <c r="D24" s="1254">
        <f>'Present Value'!I27/1000000</f>
        <v>61.33109361143886</v>
      </c>
      <c r="E24" s="1349" t="str">
        <f>Master!M39</f>
        <v>&lt; 0.01%</v>
      </c>
    </row>
    <row r="25" spans="2:5" s="1138" customFormat="1" x14ac:dyDescent="0.35">
      <c r="B25" s="1595"/>
      <c r="C25" s="1598" t="str">
        <f>CONCATENATE("Objective ",RIGHT(Master!C40,2)," ", Master!D40)</f>
        <v>Objective R4 Improve the efficient use and sustainability of groundwater resources</v>
      </c>
      <c r="D25" s="1598"/>
      <c r="E25" s="1598"/>
    </row>
    <row r="26" spans="2:5" s="1138" customFormat="1" ht="43.5" x14ac:dyDescent="0.35">
      <c r="B26" s="1595"/>
      <c r="C26" s="944" t="str">
        <f>CONCATENATE(Master!C41, " ", Master!D41)</f>
        <v>R4.1-C Cap remaining open artesian bores and convert remaining open bore-drains to pipes and trough systems in the Great Artesian Basin.</v>
      </c>
      <c r="D26" s="1254">
        <f>'Present Value'!I29/1000000</f>
        <v>4.4930715556263783</v>
      </c>
      <c r="E26" s="1349" t="str">
        <f>Master!M41</f>
        <v>&lt; 0.01%</v>
      </c>
    </row>
    <row r="27" spans="2:5" s="1138" customFormat="1" ht="43.5" x14ac:dyDescent="0.35">
      <c r="B27" s="1595"/>
      <c r="C27" s="944" t="str">
        <f>CONCATENATE(Master!C42, " ", Master!D42)</f>
        <v>R4.2-C Return groundwater extractions to sustainable levels in the Murray-Darling Basin through the strategic purchase of water licences from willing sellers.</v>
      </c>
      <c r="D27" s="1258">
        <f>'Present Value'!I30/1000000</f>
        <v>0.21612857737366001</v>
      </c>
      <c r="E27" s="1349" t="str">
        <f>Master!M42</f>
        <v>&lt; 0.01%</v>
      </c>
    </row>
    <row r="28" spans="2:5" s="1138" customFormat="1" x14ac:dyDescent="0.35">
      <c r="B28" s="1595"/>
      <c r="C28" s="1255" t="s">
        <v>110</v>
      </c>
      <c r="D28" s="1256">
        <f>Master!K43/1000000</f>
        <v>2918.1604894445186</v>
      </c>
      <c r="E28" s="1259">
        <f>Master!M43</f>
        <v>1.2124648867560739E-3</v>
      </c>
    </row>
    <row r="29" spans="2:5" s="1138" customFormat="1" ht="30.5" customHeight="1" x14ac:dyDescent="0.35">
      <c r="B29" s="1596" t="s">
        <v>333</v>
      </c>
      <c r="C29" s="1599" t="str">
        <f>CONCATENATE("Objective ",RIGHT(Master!C58,2)," ", Master!D58)</f>
        <v>Objective V1 Restore native vegetation cover to at least 30% of pre-1750 extent in a healthy ecological condition for each of Australia's terrestrial ecosystems</v>
      </c>
      <c r="D29" s="1599"/>
      <c r="E29" s="1599"/>
    </row>
    <row r="30" spans="2:5" s="1138" customFormat="1" ht="29" x14ac:dyDescent="0.35">
      <c r="B30" s="1596"/>
      <c r="C30" s="944" t="str">
        <f>CONCATENATE(Master!C59, " ", Master!D59)</f>
        <v>V1.1-C Restore 1.3 million hectares of degraded native vegetation to a healthy ecological condition within the protected area estate</v>
      </c>
      <c r="D30" s="1254">
        <f>'Present Value'!I40/1000000</f>
        <v>104.07544537005852</v>
      </c>
      <c r="E30" s="1349" t="str">
        <f>Master!M59</f>
        <v>&lt; 0.01%</v>
      </c>
    </row>
    <row r="31" spans="2:5" s="1138" customFormat="1" ht="29" x14ac:dyDescent="0.35">
      <c r="B31" s="1596"/>
      <c r="C31" s="944" t="str">
        <f>CONCATENATE(Master!C60, " ", Master!D60)</f>
        <v>V1.2-C Restore 11.6 million hectares of degraded native vegetation to a healthy ecological condition on non-prime agricultural land</v>
      </c>
      <c r="D31" s="1254">
        <f>'Present Value'!I41/1000000</f>
        <v>894.90020198403181</v>
      </c>
      <c r="E31" s="1349">
        <f>Master!M60</f>
        <v>3.7182158965598793E-4</v>
      </c>
    </row>
    <row r="32" spans="2:5" s="1138" customFormat="1" ht="29" x14ac:dyDescent="0.35">
      <c r="B32" s="1596"/>
      <c r="C32" s="944" t="str">
        <f>CONCATENATE(Master!C61, " ", Master!D61)</f>
        <v>V1.3-C Incentivise landholders to retire their non-prime agricultural land for the native vegetation conservation areas</v>
      </c>
      <c r="D32" s="1254">
        <f>'Present Value'!I42/1000000</f>
        <v>624.43938282069905</v>
      </c>
      <c r="E32" s="1349">
        <f>Master!M61</f>
        <v>2.5944797358347144E-4</v>
      </c>
    </row>
    <row r="33" spans="2:5" s="1138" customFormat="1" x14ac:dyDescent="0.35">
      <c r="B33" s="1596"/>
      <c r="C33" s="1599" t="str">
        <f>CONCATENATE("Objective ",RIGHT(Master!C62,2)," ", Master!D62)</f>
        <v>Objective V2 Reduce the frequency and intensity of fires impacting Australia's tropical savannas</v>
      </c>
      <c r="D33" s="1599"/>
      <c r="E33" s="1599"/>
    </row>
    <row r="34" spans="2:5" s="1138" customFormat="1" ht="43.5" x14ac:dyDescent="0.35">
      <c r="B34" s="1596"/>
      <c r="C34" s="944" t="str">
        <f>CONCATENATE(Master!C63, " ", Master!D63)</f>
        <v>V2.1-C Use Indigenous fire management practices to undertake controlled low intensity fires early in the dry season in Australia's tropical savanna lands.</v>
      </c>
      <c r="D34" s="1254">
        <f>'Present Value'!I44/1000000</f>
        <v>78.83554862786707</v>
      </c>
      <c r="E34" s="1349" t="str">
        <f>Master!M63</f>
        <v>&lt; 0.01%</v>
      </c>
    </row>
    <row r="35" spans="2:5" s="1138" customFormat="1" x14ac:dyDescent="0.35">
      <c r="B35" s="1596"/>
      <c r="C35" s="1255" t="s">
        <v>110</v>
      </c>
      <c r="D35" s="1256">
        <f>Master!K64/1000000</f>
        <v>1702.2505788026565</v>
      </c>
      <c r="E35" s="1259">
        <f>Master!M64</f>
        <v>6.7451181243758903E-4</v>
      </c>
    </row>
    <row r="36" spans="2:5" s="1138" customFormat="1" ht="31" customHeight="1" x14ac:dyDescent="0.35">
      <c r="B36" s="1591" t="s">
        <v>111</v>
      </c>
      <c r="C36" s="1588" t="str">
        <f>CONCATENATE("Objective ",RIGHT(Master!C76,2)," ", Master!D76)</f>
        <v>Objective T1 Mitigate imminent extinction risk and ensure medium term survival of Commonwealth-listed threatened species.</v>
      </c>
      <c r="D36" s="1588"/>
      <c r="E36" s="1588"/>
    </row>
    <row r="37" spans="2:5" s="1138" customFormat="1" ht="56" customHeight="1" x14ac:dyDescent="0.35">
      <c r="B37" s="1591"/>
      <c r="C37" s="944" t="str">
        <f>CONCATENATE(Master!C77, " ", Master!D77)</f>
        <v>T1.1-C Restore habitat, address threats (including some localised impacts of invasive species), and undertake population interventions such as translocation and breeding programs for species listed as Critically Endangered, Endangered and Vulnerable under Commonwealth legislation.</v>
      </c>
      <c r="D37" s="1254">
        <f>'Present Value'!I51/1000000</f>
        <v>1173.9693909578582</v>
      </c>
      <c r="E37" s="1349">
        <f>Master!M77</f>
        <v>4.8777189253691961E-4</v>
      </c>
    </row>
    <row r="38" spans="2:5" s="1138" customFormat="1" x14ac:dyDescent="0.35">
      <c r="B38" s="1591"/>
      <c r="C38" s="1255" t="s">
        <v>110</v>
      </c>
      <c r="D38" s="1256">
        <f>Master!K78/1000000</f>
        <v>1173.9693909578582</v>
      </c>
      <c r="E38" s="1259">
        <f>Master!M78</f>
        <v>4.8777189253691961E-4</v>
      </c>
    </row>
    <row r="39" spans="2:5" s="1138" customFormat="1" ht="15.5" customHeight="1" x14ac:dyDescent="0.35">
      <c r="B39" s="1585" t="s">
        <v>1280</v>
      </c>
      <c r="C39" s="1590" t="str">
        <f>CONCATENATE("Objective ",RIGHT(Master!C89,2)," ", Master!D89)</f>
        <v>Objective C1 Support coastal biodiversity, and improve coastal fisheries productivity</v>
      </c>
      <c r="D39" s="1590"/>
      <c r="E39" s="1590"/>
    </row>
    <row r="40" spans="2:5" s="1138" customFormat="1" ht="15.5" customHeight="1" x14ac:dyDescent="0.35">
      <c r="B40" s="1585"/>
      <c r="C40" s="944" t="str">
        <f>CONCATENATE(Master!C90, " ", Master!D90)</f>
        <v>C1.1-C Maintain or improve the condition of degraded salt marsh ecosystems.</v>
      </c>
      <c r="D40" s="1254">
        <f>('Present Value'!I57)/1000000</f>
        <v>21.725596067859801</v>
      </c>
      <c r="E40" s="1349" t="str">
        <f>Master!M90</f>
        <v>&lt; 0.01%</v>
      </c>
    </row>
    <row r="41" spans="2:5" s="1138" customFormat="1" ht="18.5" customHeight="1" x14ac:dyDescent="0.35">
      <c r="B41" s="1585"/>
      <c r="C41" s="944" t="str">
        <f>CONCATENATE(Master!C91, " ", Master!D91)</f>
        <v>C1.2-C Incentivise a change in management practice for salt marsh ecosystems.</v>
      </c>
      <c r="D41" s="1254">
        <f>('Present Value'!I58)/1000000</f>
        <v>5.3287170944470379</v>
      </c>
      <c r="E41" s="1349" t="str">
        <f>Master!M91</f>
        <v>&lt; 0.01%</v>
      </c>
    </row>
    <row r="42" spans="2:5" s="1138" customFormat="1" ht="15.5" customHeight="1" x14ac:dyDescent="0.35">
      <c r="B42" s="1585"/>
      <c r="C42" s="944" t="str">
        <f>CONCATENATE(Master!C92, " ", Master!D92)</f>
        <v>C1.3-C Re-establish locally degraded seagrass communities in priority areas.</v>
      </c>
      <c r="D42" s="1254">
        <f>('Present Value'!I59)/1000000</f>
        <v>3.944805432140297</v>
      </c>
      <c r="E42" s="1349" t="str">
        <f>Master!M92</f>
        <v>&lt; 0.01%</v>
      </c>
    </row>
    <row r="43" spans="2:5" s="1138" customFormat="1" ht="15.5" customHeight="1" x14ac:dyDescent="0.35">
      <c r="B43" s="1585"/>
      <c r="C43" s="944" t="str">
        <f>CONCATENATE(Master!C93, " ", Master!D93)</f>
        <v>C1.4-C Re-establish shellfish reefs in priority locations.</v>
      </c>
      <c r="D43" s="1254">
        <f>('Present Value'!I60)/1000000</f>
        <v>3.3071730495744762</v>
      </c>
      <c r="E43" s="1349" t="str">
        <f>Master!M93</f>
        <v>&lt; 0.01%</v>
      </c>
    </row>
    <row r="44" spans="2:5" s="1138" customFormat="1" x14ac:dyDescent="0.35">
      <c r="B44" s="1585"/>
      <c r="C44" s="1255" t="s">
        <v>110</v>
      </c>
      <c r="D44" s="1256">
        <f>Master!K94/1000000</f>
        <v>34.306291644021613</v>
      </c>
      <c r="E44" s="1259" t="str">
        <f>Master!M94</f>
        <v>&lt; 0.01%</v>
      </c>
    </row>
    <row r="45" spans="2:5" s="1138" customFormat="1" x14ac:dyDescent="0.35">
      <c r="B45" s="1260"/>
      <c r="C45" s="1261" t="s">
        <v>112</v>
      </c>
      <c r="D45" s="1262">
        <f>D44+D38+D35+D28+D14</f>
        <v>6406.9574956032648</v>
      </c>
      <c r="E45" s="1263">
        <f>SUM(Master!L19,Master!L43,Master!L64,Master!L78,Master!L94)</f>
        <v>2.6292678855639844E-3</v>
      </c>
    </row>
    <row r="46" spans="2:5" s="1138" customFormat="1" x14ac:dyDescent="0.35">
      <c r="B46" s="1260"/>
      <c r="C46" s="1066" t="s">
        <v>113</v>
      </c>
      <c r="D46" s="1264">
        <f>SUM('Present Value'!I14,'Present Value'!I31,'Present Value'!I45,'Present Value'!I52,'Present Value'!I61)/1000000</f>
        <v>640.69574956032648</v>
      </c>
      <c r="E46" s="1265">
        <f>E45*0.1</f>
        <v>2.6292678855639842E-4</v>
      </c>
    </row>
    <row r="47" spans="2:5" s="1138" customFormat="1" ht="16" thickBot="1" x14ac:dyDescent="0.4">
      <c r="B47" s="1260"/>
      <c r="C47" s="1266" t="s">
        <v>1336</v>
      </c>
      <c r="D47" s="1267">
        <f>D45+D46</f>
        <v>7047.6532451635912</v>
      </c>
      <c r="E47" s="1268">
        <f>E45+E46</f>
        <v>2.8921946741203826E-3</v>
      </c>
    </row>
    <row r="48" spans="2:5" s="1138" customFormat="1" ht="16" thickTop="1" x14ac:dyDescent="0.35">
      <c r="B48" s="1260"/>
      <c r="C48" s="328"/>
      <c r="D48" s="1262"/>
      <c r="E48" s="1263"/>
    </row>
    <row r="49" spans="2:5" s="454" customFormat="1" x14ac:dyDescent="0.35">
      <c r="B49" s="1305" t="s">
        <v>114</v>
      </c>
      <c r="C49" s="1305"/>
      <c r="D49" s="1305"/>
      <c r="E49" s="1305"/>
    </row>
    <row r="50" spans="2:5" s="454" customFormat="1" ht="188.5" x14ac:dyDescent="0.35">
      <c r="B50" s="1306" t="s">
        <v>1279</v>
      </c>
      <c r="C50" s="1270" t="s">
        <v>1404</v>
      </c>
      <c r="D50" s="1307">
        <f>(SUM('Present Value'!I15:I15)+SUM('Present Value'!I32:I36)+SUM('Present Value'!I46,'Present Value'!I47)+SUM('Present Value'!I62:I65))/1000000</f>
        <v>245.85558744802736</v>
      </c>
      <c r="E50" s="1308">
        <f>SUM(Master!L23,Master!L47:L51,Master!L68:L69,Master!L82,Master!L98:L101)</f>
        <v>1.0215040196444546E-4</v>
      </c>
    </row>
    <row r="51" spans="2:5" s="454" customFormat="1" ht="16" thickBot="1" x14ac:dyDescent="0.4">
      <c r="B51" s="1260"/>
      <c r="C51" s="1309" t="s">
        <v>1171</v>
      </c>
      <c r="D51" s="1310">
        <f>D50</f>
        <v>245.85558744802736</v>
      </c>
      <c r="E51" s="1311">
        <f>E50</f>
        <v>1.0215040196444546E-4</v>
      </c>
    </row>
    <row r="52" spans="2:5" s="454" customFormat="1" ht="16" thickTop="1" x14ac:dyDescent="0.35">
      <c r="B52" s="2"/>
      <c r="C52" s="1312"/>
      <c r="D52" s="2"/>
      <c r="E52" s="2"/>
    </row>
    <row r="53" spans="2:5" s="454" customFormat="1" ht="16" thickBot="1" x14ac:dyDescent="0.4">
      <c r="B53" s="1587" t="s">
        <v>1304</v>
      </c>
      <c r="C53" s="1587"/>
      <c r="D53" s="1313">
        <f>D47+D51</f>
        <v>7293.5088326116183</v>
      </c>
      <c r="E53" s="1314">
        <f>E51+E47</f>
        <v>2.9943450760848279E-3</v>
      </c>
    </row>
    <row r="54" spans="2:5" s="454" customFormat="1" x14ac:dyDescent="0.35">
      <c r="B54" s="2"/>
      <c r="C54" s="1312"/>
      <c r="D54" s="2"/>
      <c r="E54" s="2"/>
    </row>
    <row r="55" spans="2:5" s="454" customFormat="1" x14ac:dyDescent="0.35">
      <c r="B55" s="1315" t="s">
        <v>1409</v>
      </c>
      <c r="C55" s="1316"/>
      <c r="D55" s="1317">
        <f>-'Carbon.Data'!H10/1000000</f>
        <v>-1117.646981216214</v>
      </c>
      <c r="E55" s="1318">
        <f>'Carbon.Data'!H10/Assumptions!C3</f>
        <v>4.6437052568398454E-4</v>
      </c>
    </row>
    <row r="56" spans="2:5" s="454" customFormat="1" x14ac:dyDescent="0.35">
      <c r="B56" s="315"/>
      <c r="C56" s="1319"/>
      <c r="D56" s="1320"/>
      <c r="E56" s="1263"/>
    </row>
    <row r="57" spans="2:5" s="454" customFormat="1" ht="16" thickBot="1" x14ac:dyDescent="0.4">
      <c r="B57" s="1586" t="s">
        <v>1364</v>
      </c>
      <c r="C57" s="1586"/>
      <c r="D57" s="1313">
        <f>D53-'Carbon.Data'!H10/1000000</f>
        <v>6175.8618513954043</v>
      </c>
      <c r="E57" s="1314">
        <f>(Master!H4-'Carbon.Data'!H10)/Assumptions!C3</f>
        <v>2.5660054227170537E-3</v>
      </c>
    </row>
    <row r="58" spans="2:5" s="454" customFormat="1" ht="42" customHeight="1" x14ac:dyDescent="0.35">
      <c r="B58" s="1589" t="s">
        <v>1408</v>
      </c>
      <c r="C58" s="1589"/>
      <c r="D58" s="1589"/>
      <c r="E58" s="1589"/>
    </row>
    <row r="59" spans="2:5" s="1139" customFormat="1" x14ac:dyDescent="0.35">
      <c r="C59" s="1140"/>
    </row>
    <row r="60" spans="2:5" x14ac:dyDescent="0.35">
      <c r="B60" s="1143"/>
    </row>
    <row r="61" spans="2:5" x14ac:dyDescent="0.35">
      <c r="B61" s="1143"/>
    </row>
  </sheetData>
  <mergeCells count="20">
    <mergeCell ref="B1:C1"/>
    <mergeCell ref="B5:B14"/>
    <mergeCell ref="B15:B28"/>
    <mergeCell ref="B29:B35"/>
    <mergeCell ref="C5:E5"/>
    <mergeCell ref="C9:E9"/>
    <mergeCell ref="C12:E12"/>
    <mergeCell ref="C15:E15"/>
    <mergeCell ref="C18:E18"/>
    <mergeCell ref="C20:E20"/>
    <mergeCell ref="C25:E25"/>
    <mergeCell ref="C29:E29"/>
    <mergeCell ref="C33:E33"/>
    <mergeCell ref="B39:B44"/>
    <mergeCell ref="B57:C57"/>
    <mergeCell ref="B53:C53"/>
    <mergeCell ref="C36:E36"/>
    <mergeCell ref="B58:E58"/>
    <mergeCell ref="C39:E39"/>
    <mergeCell ref="B36:B38"/>
  </mergeCells>
  <pageMargins left="0.11811023622047245" right="0.70866141732283472" top="0.74803149606299213" bottom="0.74803149606299213" header="0.31496062992125984" footer="0.31496062992125984"/>
  <pageSetup paperSize="9" orientation="portrait"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1"/>
  </sheetPr>
  <dimension ref="A1:W103"/>
  <sheetViews>
    <sheetView topLeftCell="A40" zoomScale="50" zoomScaleNormal="50" zoomScaleSheetLayoutView="85" workbookViewId="0">
      <pane xSplit="4" topLeftCell="F1" activePane="topRight" state="frozen"/>
      <selection activeCell="A52" sqref="A52"/>
      <selection pane="topRight" activeCell="I37" sqref="I37"/>
    </sheetView>
  </sheetViews>
  <sheetFormatPr defaultColWidth="0" defaultRowHeight="14.5" outlineLevelRow="1" x14ac:dyDescent="0.35"/>
  <cols>
    <col min="1" max="1" width="5" style="33" customWidth="1"/>
    <col min="2" max="2" width="0.90625" style="33" customWidth="1"/>
    <col min="3" max="3" width="6.7265625" style="33" customWidth="1"/>
    <col min="4" max="4" width="61.54296875" style="33" customWidth="1"/>
    <col min="5" max="5" width="25.54296875" style="33" bestFit="1" customWidth="1"/>
    <col min="6" max="6" width="22.453125" style="33" customWidth="1"/>
    <col min="7" max="7" width="22.1796875" style="33" bestFit="1" customWidth="1"/>
    <col min="8" max="8" width="24.1796875" style="33" bestFit="1" customWidth="1"/>
    <col min="9" max="9" width="25" style="33" customWidth="1"/>
    <col min="10" max="10" width="25.1796875" style="33" bestFit="1" customWidth="1"/>
    <col min="11" max="11" width="21.08984375" style="33" bestFit="1" customWidth="1"/>
    <col min="12" max="13" width="19.1796875" style="33" customWidth="1"/>
    <col min="14" max="14" width="19.54296875" style="1217" customWidth="1"/>
    <col min="15" max="15" width="17.1796875" style="2" bestFit="1" customWidth="1"/>
    <col min="16" max="16" width="9" style="2" customWidth="1"/>
    <col min="17" max="18" width="0" style="2" hidden="1" customWidth="1"/>
    <col min="19" max="23" width="0" style="33" hidden="1" customWidth="1"/>
    <col min="24" max="16384" width="9" style="33" hidden="1"/>
  </cols>
  <sheetData>
    <row r="1" spans="1:18" s="894" customFormat="1" x14ac:dyDescent="0.35">
      <c r="N1" s="1192"/>
    </row>
    <row r="2" spans="1:18" s="2" customFormat="1" x14ac:dyDescent="0.35">
      <c r="A2" s="894"/>
      <c r="B2" s="889"/>
      <c r="C2" s="890"/>
      <c r="D2" s="890"/>
      <c r="E2" s="890"/>
      <c r="F2" s="890"/>
      <c r="G2" s="890"/>
      <c r="H2" s="890"/>
      <c r="I2" s="890"/>
      <c r="J2" s="890"/>
      <c r="K2" s="890"/>
      <c r="L2" s="890"/>
      <c r="M2" s="890"/>
      <c r="N2" s="1193"/>
    </row>
    <row r="3" spans="1:18" s="2" customFormat="1" ht="59.25" customHeight="1" x14ac:dyDescent="0.35">
      <c r="A3" s="894"/>
      <c r="B3" s="197"/>
      <c r="D3" s="328" t="s">
        <v>1310</v>
      </c>
      <c r="F3" s="1068" t="s">
        <v>1311</v>
      </c>
      <c r="G3" s="1068" t="s">
        <v>120</v>
      </c>
      <c r="H3" s="1068" t="s">
        <v>121</v>
      </c>
      <c r="I3" s="1069" t="s">
        <v>108</v>
      </c>
      <c r="J3" s="757"/>
      <c r="N3" s="1194"/>
    </row>
    <row r="4" spans="1:18" s="2" customFormat="1" x14ac:dyDescent="0.35">
      <c r="A4" s="894"/>
      <c r="B4" s="197"/>
      <c r="D4" s="328"/>
      <c r="E4" s="917" t="s">
        <v>150</v>
      </c>
      <c r="F4" s="1070">
        <f>SUM(K21,K45,K66,K80,K96)</f>
        <v>7047653245.1635914</v>
      </c>
      <c r="G4" s="1070">
        <f>SUM(K24,K52,K70,K83,K102)</f>
        <v>245855587.44802737</v>
      </c>
      <c r="H4" s="1070">
        <f>F4+G4</f>
        <v>7293508832.611619</v>
      </c>
      <c r="I4" s="1067">
        <f>SUM(L25,L53,L71,L84,L103)</f>
        <v>2.9972123521339487E-3</v>
      </c>
      <c r="J4" s="749"/>
      <c r="N4" s="1194"/>
    </row>
    <row r="5" spans="1:18" s="2" customFormat="1" x14ac:dyDescent="0.35">
      <c r="A5" s="894"/>
      <c r="B5" s="197"/>
      <c r="D5" s="328"/>
      <c r="F5" s="843"/>
      <c r="G5" s="843"/>
      <c r="N5" s="1194"/>
    </row>
    <row r="6" spans="1:18" s="2" customFormat="1" x14ac:dyDescent="0.35">
      <c r="A6" s="894"/>
      <c r="B6" s="197"/>
      <c r="D6" s="328"/>
      <c r="G6" s="756"/>
      <c r="N6" s="1194"/>
    </row>
    <row r="7" spans="1:18" s="118" customFormat="1" collapsed="1" x14ac:dyDescent="0.35">
      <c r="A7" s="895"/>
      <c r="B7" s="1609" t="s">
        <v>1198</v>
      </c>
      <c r="C7" s="1610"/>
      <c r="D7" s="1610"/>
      <c r="E7" s="1610"/>
      <c r="F7" s="1610"/>
      <c r="G7" s="1610"/>
      <c r="H7" s="1610"/>
      <c r="I7" s="1610"/>
      <c r="J7" s="1610"/>
      <c r="K7" s="1610"/>
      <c r="L7" s="1610"/>
      <c r="M7" s="864"/>
      <c r="N7" s="1195"/>
      <c r="O7" s="315"/>
      <c r="P7" s="315"/>
      <c r="Q7" s="315"/>
      <c r="R7" s="315"/>
    </row>
    <row r="8" spans="1:18" outlineLevel="1" x14ac:dyDescent="0.35">
      <c r="A8" s="894"/>
      <c r="B8" s="1604" t="s">
        <v>1155</v>
      </c>
      <c r="C8" s="1605"/>
      <c r="D8" s="1605"/>
      <c r="E8" s="847" t="s">
        <v>953</v>
      </c>
      <c r="F8" s="847" t="s">
        <v>123</v>
      </c>
      <c r="G8" s="847" t="s">
        <v>124</v>
      </c>
      <c r="H8" s="847" t="s">
        <v>125</v>
      </c>
      <c r="I8" s="847" t="s">
        <v>126</v>
      </c>
      <c r="J8" s="847" t="s">
        <v>954</v>
      </c>
      <c r="K8" s="847" t="s">
        <v>1309</v>
      </c>
      <c r="L8" s="847" t="s">
        <v>108</v>
      </c>
      <c r="M8" s="847" t="s">
        <v>108</v>
      </c>
      <c r="N8" s="1196" t="s">
        <v>1217</v>
      </c>
    </row>
    <row r="9" spans="1:18" outlineLevel="1" x14ac:dyDescent="0.35">
      <c r="A9" s="894"/>
      <c r="B9" s="1600" t="s">
        <v>115</v>
      </c>
      <c r="C9" s="1601"/>
      <c r="D9" s="1601"/>
      <c r="E9" s="842"/>
      <c r="F9" s="842"/>
      <c r="G9" s="842"/>
      <c r="H9" s="842"/>
      <c r="I9" s="842"/>
      <c r="J9" s="842"/>
      <c r="K9" s="842"/>
      <c r="L9" s="842"/>
      <c r="M9" s="842"/>
      <c r="N9" s="1197"/>
    </row>
    <row r="10" spans="1:18" s="858" customFormat="1" outlineLevel="1" x14ac:dyDescent="0.35">
      <c r="A10" s="896"/>
      <c r="B10" s="1135"/>
      <c r="C10" s="1136" t="s">
        <v>1159</v>
      </c>
      <c r="D10" s="988" t="s">
        <v>1262</v>
      </c>
      <c r="E10" s="988"/>
      <c r="F10" s="988"/>
      <c r="G10" s="988"/>
      <c r="H10" s="988"/>
      <c r="I10" s="1071"/>
      <c r="J10" s="1071"/>
      <c r="K10" s="988"/>
      <c r="L10" s="988"/>
      <c r="M10" s="988"/>
      <c r="N10" s="1198"/>
      <c r="O10" s="857"/>
      <c r="P10" s="857"/>
      <c r="Q10" s="857"/>
      <c r="R10" s="857"/>
    </row>
    <row r="11" spans="1:18" s="116" customFormat="1" outlineLevel="1" x14ac:dyDescent="0.35">
      <c r="A11" s="897"/>
      <c r="B11" s="891"/>
      <c r="C11" s="1073" t="s">
        <v>958</v>
      </c>
      <c r="D11" s="859" t="s">
        <v>1387</v>
      </c>
      <c r="E11" s="1072">
        <f>Soils!F7+Soils!F9</f>
        <v>61400000</v>
      </c>
      <c r="F11" s="1073" t="s">
        <v>129</v>
      </c>
      <c r="G11" s="860">
        <f>Soils!F12</f>
        <v>54.065146579804562</v>
      </c>
      <c r="H11" s="1074">
        <v>2017</v>
      </c>
      <c r="I11" s="861">
        <f>Soils!F13</f>
        <v>3319600000</v>
      </c>
      <c r="J11" s="861">
        <f>Soils!G14</f>
        <v>3800942000</v>
      </c>
      <c r="K11" s="844">
        <f>'Present Value'!I6</f>
        <v>117930420.32420768</v>
      </c>
      <c r="L11" s="1180">
        <f>K11/Assumptions!$C$3</f>
        <v>4.8998845074043411E-5</v>
      </c>
      <c r="M11" s="1351" t="str">
        <f>IF(Master!L11&lt;0.01%,"&lt; 0.01%", Master!L11)</f>
        <v>&lt; 0.01%</v>
      </c>
      <c r="N11" s="1199"/>
      <c r="O11" s="314"/>
      <c r="P11" s="314"/>
      <c r="Q11" s="314"/>
      <c r="R11" s="314"/>
    </row>
    <row r="12" spans="1:18" s="116" customFormat="1" outlineLevel="1" x14ac:dyDescent="0.35">
      <c r="A12" s="897"/>
      <c r="B12" s="891"/>
      <c r="C12" s="1073" t="s">
        <v>959</v>
      </c>
      <c r="D12" s="859" t="s">
        <v>1263</v>
      </c>
      <c r="E12" s="1072">
        <f>Soils!F16</f>
        <v>250000</v>
      </c>
      <c r="F12" s="1073" t="s">
        <v>129</v>
      </c>
      <c r="G12" s="860">
        <f>Soils!F17</f>
        <v>250</v>
      </c>
      <c r="H12" s="1074">
        <v>2011</v>
      </c>
      <c r="I12" s="861">
        <f>Soils!F18</f>
        <v>62500000</v>
      </c>
      <c r="J12" s="861">
        <f>Soils!G19</f>
        <v>80125000</v>
      </c>
      <c r="K12" s="844">
        <f>'Present Value'!I7</f>
        <v>2344912.7273222641</v>
      </c>
      <c r="L12" s="1180">
        <f>K12/Assumptions!$C$3</f>
        <v>9.7428649132552106E-7</v>
      </c>
      <c r="M12" s="1351" t="str">
        <f>IF(Master!L12&lt;0.01%,"&lt; 0.01%", Master!L12)</f>
        <v>&lt; 0.01%</v>
      </c>
      <c r="N12" s="1199"/>
      <c r="O12" s="314"/>
      <c r="P12" s="314"/>
      <c r="Q12" s="314"/>
      <c r="R12" s="314"/>
    </row>
    <row r="13" spans="1:18" s="116" customFormat="1" ht="15" customHeight="1" outlineLevel="1" x14ac:dyDescent="0.35">
      <c r="A13" s="897"/>
      <c r="B13" s="891"/>
      <c r="C13" s="1073" t="s">
        <v>960</v>
      </c>
      <c r="D13" s="859" t="s">
        <v>1264</v>
      </c>
      <c r="E13" s="1072">
        <f>Soils!F21</f>
        <v>845000</v>
      </c>
      <c r="F13" s="1073" t="s">
        <v>129</v>
      </c>
      <c r="G13" s="860">
        <f>Soils!F22</f>
        <v>200</v>
      </c>
      <c r="H13" s="1074">
        <v>2000</v>
      </c>
      <c r="I13" s="861">
        <f>Soils!F23</f>
        <v>169000000</v>
      </c>
      <c r="J13" s="861">
        <f>Soils!G24</f>
        <v>300989000</v>
      </c>
      <c r="K13" s="844">
        <f>'Present Value'!I8</f>
        <v>7057013.7690042015</v>
      </c>
      <c r="L13" s="1180">
        <f>K13/Assumptions!$C$3</f>
        <v>2.9321147453067147E-6</v>
      </c>
      <c r="M13" s="1351" t="str">
        <f>IF(Master!L13&lt;0.01%,"&lt; 0.01%", Master!L13)</f>
        <v>&lt; 0.01%</v>
      </c>
      <c r="N13" s="1199"/>
      <c r="O13" s="314"/>
      <c r="P13" s="314"/>
      <c r="Q13" s="314"/>
      <c r="R13" s="314"/>
    </row>
    <row r="14" spans="1:18" s="858" customFormat="1" outlineLevel="1" x14ac:dyDescent="0.35">
      <c r="A14" s="896"/>
      <c r="B14" s="1135"/>
      <c r="C14" s="1136" t="s">
        <v>1157</v>
      </c>
      <c r="D14" s="988" t="s">
        <v>1156</v>
      </c>
      <c r="E14" s="988"/>
      <c r="F14" s="988"/>
      <c r="G14" s="988"/>
      <c r="H14" s="988"/>
      <c r="I14" s="1071"/>
      <c r="J14" s="1071"/>
      <c r="K14" s="1071"/>
      <c r="L14" s="988"/>
      <c r="M14" s="1352"/>
      <c r="N14" s="1198"/>
      <c r="O14" s="857"/>
      <c r="P14" s="857"/>
      <c r="Q14" s="857"/>
      <c r="R14" s="857"/>
    </row>
    <row r="15" spans="1:18" s="116" customFormat="1" outlineLevel="1" x14ac:dyDescent="0.35">
      <c r="A15" s="897"/>
      <c r="B15" s="891"/>
      <c r="C15" s="1073" t="s">
        <v>961</v>
      </c>
      <c r="D15" s="859" t="s">
        <v>1265</v>
      </c>
      <c r="E15" s="1072">
        <f>Soils!F27</f>
        <v>6500</v>
      </c>
      <c r="F15" s="1073" t="s">
        <v>517</v>
      </c>
      <c r="G15" s="860">
        <f>Soils!F28</f>
        <v>66200</v>
      </c>
      <c r="H15" s="1074">
        <v>2016</v>
      </c>
      <c r="I15" s="861">
        <f>Soils!F29</f>
        <v>430300000</v>
      </c>
      <c r="J15" s="861">
        <f>Soils!G30</f>
        <v>502160100</v>
      </c>
      <c r="K15" s="844">
        <f>'Present Value'!I10</f>
        <v>14696057.530651117</v>
      </c>
      <c r="L15" s="1180">
        <f>K15/Assumptions!$C$3</f>
        <v>6.1060568101425613E-6</v>
      </c>
      <c r="M15" s="1351" t="str">
        <f>IF(Master!L15&lt;0.01%,"&lt; 0.01%", Master!L15)</f>
        <v>&lt; 0.01%</v>
      </c>
      <c r="N15" s="1199"/>
      <c r="O15" s="314"/>
      <c r="P15" s="314"/>
      <c r="Q15" s="314"/>
      <c r="R15" s="314"/>
    </row>
    <row r="16" spans="1:18" s="116" customFormat="1" outlineLevel="1" x14ac:dyDescent="0.35">
      <c r="A16" s="897"/>
      <c r="B16" s="891"/>
      <c r="C16" s="1073" t="s">
        <v>962</v>
      </c>
      <c r="D16" s="859" t="s">
        <v>1266</v>
      </c>
      <c r="E16" s="1072">
        <f>Soils!F32</f>
        <v>318500</v>
      </c>
      <c r="F16" s="1073" t="s">
        <v>517</v>
      </c>
      <c r="G16" s="860">
        <f>Soils!F33</f>
        <v>36200</v>
      </c>
      <c r="H16" s="1074">
        <v>2016</v>
      </c>
      <c r="I16" s="861">
        <f>Soils!F34</f>
        <v>11529700000</v>
      </c>
      <c r="J16" s="861">
        <f>Soils!G35</f>
        <v>13455159900</v>
      </c>
      <c r="K16" s="844">
        <f>'Present Value'!I11</f>
        <v>393774423.68382102</v>
      </c>
      <c r="L16" s="1180">
        <f>K16/Assumptions!$C$3</f>
        <v>1.6360911736904647E-4</v>
      </c>
      <c r="M16" s="1351">
        <f>IF(Master!L16&lt;0.01%,"&lt; 0.01%", Master!L16)</f>
        <v>1.6360911736904647E-4</v>
      </c>
      <c r="N16" s="1199"/>
      <c r="O16" s="314"/>
      <c r="P16" s="314"/>
      <c r="Q16" s="314"/>
      <c r="R16" s="314"/>
    </row>
    <row r="17" spans="1:18" s="858" customFormat="1" outlineLevel="1" x14ac:dyDescent="0.35">
      <c r="A17" s="896"/>
      <c r="B17" s="1135"/>
      <c r="C17" s="1136" t="s">
        <v>1158</v>
      </c>
      <c r="D17" s="988" t="s">
        <v>1267</v>
      </c>
      <c r="E17" s="988"/>
      <c r="F17" s="988"/>
      <c r="G17" s="988"/>
      <c r="H17" s="988"/>
      <c r="I17" s="1071"/>
      <c r="J17" s="1071"/>
      <c r="K17" s="1071"/>
      <c r="L17" s="988"/>
      <c r="M17" s="1352"/>
      <c r="N17" s="1198"/>
      <c r="O17" s="857"/>
      <c r="P17" s="857"/>
      <c r="Q17" s="857"/>
      <c r="R17" s="857"/>
    </row>
    <row r="18" spans="1:18" s="116" customFormat="1" outlineLevel="1" x14ac:dyDescent="0.35">
      <c r="A18" s="897"/>
      <c r="B18" s="891"/>
      <c r="C18" s="1073" t="s">
        <v>963</v>
      </c>
      <c r="D18" s="859" t="s">
        <v>1383</v>
      </c>
      <c r="E18" s="1072">
        <f>Soils!F39+Soils!F42</f>
        <v>371837000</v>
      </c>
      <c r="F18" s="1073" t="s">
        <v>129</v>
      </c>
      <c r="G18" s="875"/>
      <c r="H18" s="1074">
        <v>2016</v>
      </c>
      <c r="I18" s="861">
        <f>Soils!G45</f>
        <v>1509054592.302</v>
      </c>
      <c r="J18" s="861">
        <f>Soils!G45</f>
        <v>1509054592.302</v>
      </c>
      <c r="K18" s="844">
        <f>'Present Value'!I13</f>
        <v>42467916.719203345</v>
      </c>
      <c r="L18" s="1180">
        <f>K18/Assumptions!$C$3</f>
        <v>1.7644971214560139E-5</v>
      </c>
      <c r="M18" s="1351" t="str">
        <f>IF(Master!L18&lt;0.01%,"&lt; 0.01%", Master!L18)</f>
        <v>&lt; 0.01%</v>
      </c>
      <c r="N18" s="1199"/>
      <c r="O18" s="314"/>
      <c r="P18" s="314"/>
      <c r="Q18" s="314"/>
      <c r="R18" s="314"/>
    </row>
    <row r="19" spans="1:18" outlineLevel="1" x14ac:dyDescent="0.35">
      <c r="A19" s="894"/>
      <c r="B19" s="989"/>
      <c r="C19" s="1075"/>
      <c r="D19" s="1076" t="s">
        <v>110</v>
      </c>
      <c r="E19" s="1077"/>
      <c r="F19" s="1078"/>
      <c r="G19" s="990"/>
      <c r="H19" s="1078"/>
      <c r="I19" s="991"/>
      <c r="J19" s="1079">
        <f>SUM(J11:J13,J15:J16,J18:J18)</f>
        <v>19648430592.302002</v>
      </c>
      <c r="K19" s="1079">
        <f>SUM(K11:K13,K15:K16,K18:K18)</f>
        <v>578270744.75420964</v>
      </c>
      <c r="L19" s="1181">
        <f>SUM(L11:L13,L15:L16,L18:L18)</f>
        <v>2.4026539170442484E-4</v>
      </c>
      <c r="M19" s="1353">
        <f>IF(Master!L19&lt;0.01%,"&lt; 0.01%", Master!L19)</f>
        <v>2.4026539170442484E-4</v>
      </c>
      <c r="N19" s="1200"/>
    </row>
    <row r="20" spans="1:18" outlineLevel="1" x14ac:dyDescent="0.35">
      <c r="A20" s="894"/>
      <c r="B20" s="891"/>
      <c r="C20" s="888"/>
      <c r="D20" s="1066" t="s">
        <v>113</v>
      </c>
      <c r="E20" s="1066"/>
      <c r="F20" s="1066"/>
      <c r="G20" s="1066"/>
      <c r="H20" s="1066"/>
      <c r="I20" s="1066"/>
      <c r="J20" s="844">
        <f>J19*Assumptions!$C$7</f>
        <v>1964843059.2302003</v>
      </c>
      <c r="K20" s="844">
        <f>'Present Value'!I14</f>
        <v>57827074.475420967</v>
      </c>
      <c r="L20" s="1182">
        <f>K20/Assumptions!$C$3</f>
        <v>2.4026539170442481E-5</v>
      </c>
      <c r="M20" s="1354" t="str">
        <f>IF(Master!L20&lt;0.01%,"&lt; 0.01%", Master!L20)</f>
        <v>&lt; 0.01%</v>
      </c>
      <c r="N20" s="1201"/>
    </row>
    <row r="21" spans="1:18" outlineLevel="1" x14ac:dyDescent="0.35">
      <c r="A21" s="894"/>
      <c r="B21" s="989"/>
      <c r="C21" s="1075"/>
      <c r="D21" s="1080" t="s">
        <v>975</v>
      </c>
      <c r="E21" s="1080"/>
      <c r="F21" s="1080"/>
      <c r="G21" s="1080"/>
      <c r="H21" s="1080"/>
      <c r="I21" s="1080"/>
      <c r="J21" s="1081">
        <f>J19+J20</f>
        <v>21613273651.532204</v>
      </c>
      <c r="K21" s="1081">
        <f>K19+K20</f>
        <v>636097819.22963059</v>
      </c>
      <c r="L21" s="1181">
        <f>L20+L19</f>
        <v>2.6429193087486731E-4</v>
      </c>
      <c r="M21" s="1353">
        <f>IF(Master!L21&lt;0.01%,"&lt; 0.01%", Master!L21)</f>
        <v>2.6429193087486731E-4</v>
      </c>
      <c r="N21" s="1200"/>
    </row>
    <row r="22" spans="1:18" outlineLevel="1" x14ac:dyDescent="0.35">
      <c r="A22" s="894"/>
      <c r="B22" s="1600" t="s">
        <v>116</v>
      </c>
      <c r="C22" s="1601"/>
      <c r="D22" s="1601"/>
      <c r="E22" s="842"/>
      <c r="F22" s="842"/>
      <c r="G22" s="842"/>
      <c r="H22" s="842"/>
      <c r="I22" s="842"/>
      <c r="J22" s="842"/>
      <c r="K22" s="842"/>
      <c r="L22" s="842"/>
      <c r="M22" s="1355"/>
      <c r="N22" s="1197"/>
      <c r="O22" s="329"/>
      <c r="P22" s="329"/>
    </row>
    <row r="23" spans="1:18" outlineLevel="1" x14ac:dyDescent="0.35">
      <c r="A23" s="894"/>
      <c r="B23" s="891"/>
      <c r="C23" s="888" t="s">
        <v>964</v>
      </c>
      <c r="D23" s="707" t="s">
        <v>135</v>
      </c>
      <c r="E23" s="1082">
        <f>Soils!F51</f>
        <v>325000</v>
      </c>
      <c r="F23" s="14" t="s">
        <v>517</v>
      </c>
      <c r="G23" s="1082">
        <f>Soils!F54</f>
        <v>515.20000000000005</v>
      </c>
      <c r="H23" s="1083">
        <v>2016</v>
      </c>
      <c r="I23" s="861">
        <f>Soils!F53</f>
        <v>167440000</v>
      </c>
      <c r="J23" s="861">
        <f>Soils!G55</f>
        <v>195402480</v>
      </c>
      <c r="K23" s="844">
        <f>'Present Value'!I15</f>
        <v>137442696.42985973</v>
      </c>
      <c r="L23" s="1182">
        <f>K23/Assumptions!$C$3</f>
        <v>5.7105989874463908E-5</v>
      </c>
      <c r="M23" s="1354" t="str">
        <f>IF(Master!L23&lt;0.01%,"&lt; 0.01%", Master!L23)</f>
        <v>&lt; 0.01%</v>
      </c>
      <c r="N23" s="1201"/>
    </row>
    <row r="24" spans="1:18" outlineLevel="1" x14ac:dyDescent="0.35">
      <c r="A24" s="894"/>
      <c r="B24" s="989"/>
      <c r="C24" s="1075"/>
      <c r="D24" s="1076" t="s">
        <v>976</v>
      </c>
      <c r="E24" s="1077"/>
      <c r="F24" s="1078"/>
      <c r="G24" s="990"/>
      <c r="H24" s="1078"/>
      <c r="I24" s="991"/>
      <c r="J24" s="1081">
        <f>SUM(J23:J23)</f>
        <v>195402480</v>
      </c>
      <c r="K24" s="1081">
        <f>SUM(K23:K23)</f>
        <v>137442696.42985973</v>
      </c>
      <c r="L24" s="1181">
        <f>SUM(L23:L23)</f>
        <v>5.7105989874463908E-5</v>
      </c>
      <c r="M24" s="1353" t="str">
        <f>IF(Master!L24&lt;0.01%,"&lt; 0.01%", Master!L24)</f>
        <v>&lt; 0.01%</v>
      </c>
      <c r="N24" s="1200"/>
    </row>
    <row r="25" spans="1:18" outlineLevel="1" x14ac:dyDescent="0.35">
      <c r="A25" s="894"/>
      <c r="B25" s="892"/>
      <c r="C25" s="1084"/>
      <c r="D25" s="1085" t="s">
        <v>107</v>
      </c>
      <c r="E25" s="1085"/>
      <c r="F25" s="1085"/>
      <c r="G25" s="1085"/>
      <c r="H25" s="1085"/>
      <c r="I25" s="1085"/>
      <c r="J25" s="1086">
        <f>SUM(J21,J24)</f>
        <v>21808676131.532204</v>
      </c>
      <c r="K25" s="1086">
        <f>SUM(K21,K24)</f>
        <v>773540515.65949035</v>
      </c>
      <c r="L25" s="1183">
        <f>SUM(L21,L24)</f>
        <v>3.2139792074933123E-4</v>
      </c>
      <c r="M25" s="1356">
        <f>IF(Master!L25&lt;0.01%,"&lt; 0.01%", Master!L25)</f>
        <v>3.2139792074933123E-4</v>
      </c>
      <c r="N25" s="1202"/>
    </row>
    <row r="26" spans="1:18" s="2" customFormat="1" x14ac:dyDescent="0.35">
      <c r="A26" s="894"/>
      <c r="B26" s="197"/>
      <c r="D26" s="328"/>
      <c r="M26" s="1357"/>
      <c r="N26" s="1194"/>
    </row>
    <row r="27" spans="1:18" s="116" customFormat="1" collapsed="1" x14ac:dyDescent="0.35">
      <c r="A27" s="897"/>
      <c r="B27" s="1602" t="s">
        <v>1044</v>
      </c>
      <c r="C27" s="1603"/>
      <c r="D27" s="1603"/>
      <c r="E27" s="1087"/>
      <c r="F27" s="1087"/>
      <c r="G27" s="1087"/>
      <c r="H27" s="1087"/>
      <c r="I27" s="1087"/>
      <c r="J27" s="1087"/>
      <c r="K27" s="1087"/>
      <c r="L27" s="1087"/>
      <c r="M27" s="1358"/>
      <c r="N27" s="1203"/>
      <c r="O27" s="314"/>
      <c r="P27" s="314"/>
      <c r="Q27" s="314"/>
      <c r="R27" s="314"/>
    </row>
    <row r="28" spans="1:18" outlineLevel="1" x14ac:dyDescent="0.35">
      <c r="A28" s="894"/>
      <c r="B28" s="1604" t="s">
        <v>934</v>
      </c>
      <c r="C28" s="1605"/>
      <c r="D28" s="1605"/>
      <c r="E28" s="847" t="s">
        <v>953</v>
      </c>
      <c r="F28" s="847" t="s">
        <v>123</v>
      </c>
      <c r="G28" s="847" t="s">
        <v>124</v>
      </c>
      <c r="H28" s="847" t="s">
        <v>125</v>
      </c>
      <c r="I28" s="847" t="s">
        <v>126</v>
      </c>
      <c r="J28" s="847" t="s">
        <v>954</v>
      </c>
      <c r="K28" s="847" t="s">
        <v>1309</v>
      </c>
      <c r="L28" s="847" t="s">
        <v>108</v>
      </c>
      <c r="M28" s="1359" t="str">
        <f>IF(Master!L28&lt;0.01%,"&lt; 0.01%", Master!L28)</f>
        <v>% of GDP</v>
      </c>
      <c r="N28" s="1196"/>
    </row>
    <row r="29" spans="1:18" outlineLevel="1" x14ac:dyDescent="0.35">
      <c r="A29" s="894"/>
      <c r="B29" s="1600" t="s">
        <v>115</v>
      </c>
      <c r="C29" s="1601"/>
      <c r="D29" s="1601"/>
      <c r="E29" s="842"/>
      <c r="F29" s="842"/>
      <c r="G29" s="842"/>
      <c r="H29" s="842"/>
      <c r="I29" s="842"/>
      <c r="J29" s="842"/>
      <c r="K29" s="842"/>
      <c r="L29" s="842"/>
      <c r="M29" s="1355"/>
      <c r="N29" s="1197"/>
    </row>
    <row r="30" spans="1:18" s="858" customFormat="1" ht="14.5" customHeight="1" outlineLevel="1" x14ac:dyDescent="0.35">
      <c r="A30" s="896"/>
      <c r="B30" s="977"/>
      <c r="C30" s="976" t="s">
        <v>1160</v>
      </c>
      <c r="D30" s="976" t="s">
        <v>1257</v>
      </c>
      <c r="E30" s="976"/>
      <c r="F30" s="976"/>
      <c r="G30" s="976"/>
      <c r="H30" s="976"/>
      <c r="I30" s="1088"/>
      <c r="J30" s="1088"/>
      <c r="K30" s="976"/>
      <c r="L30" s="976"/>
      <c r="M30" s="1360"/>
      <c r="N30" s="1204"/>
      <c r="O30" s="857"/>
      <c r="P30" s="857"/>
      <c r="Q30" s="857"/>
      <c r="R30" s="857"/>
    </row>
    <row r="31" spans="1:18" s="116" customFormat="1" ht="14.5" customHeight="1" outlineLevel="1" x14ac:dyDescent="0.35">
      <c r="A31" s="897"/>
      <c r="B31" s="891"/>
      <c r="C31" s="888" t="s">
        <v>984</v>
      </c>
      <c r="D31" s="859" t="s">
        <v>1223</v>
      </c>
      <c r="E31" s="1072">
        <f>'Inland Water'!F7+'Inland Water'!F10+'Inland Water'!F13</f>
        <v>18094785.577201046</v>
      </c>
      <c r="F31" s="1073" t="s">
        <v>129</v>
      </c>
      <c r="G31" s="860">
        <f>AVERAGE('Inland Water'!F8,'Inland Water'!F11,'Inland Water'!F14)</f>
        <v>8112.0986701594275</v>
      </c>
      <c r="H31" s="1074">
        <v>2018</v>
      </c>
      <c r="I31" s="861">
        <f>SUM('Inland Water'!F9,'Inland Water'!F12,'Inland Water'!F15)</f>
        <v>90921168313.167419</v>
      </c>
      <c r="J31" s="861">
        <f>'Inland Water'!G16</f>
        <v>102195393184.00018</v>
      </c>
      <c r="K31" s="844">
        <f>'Present Value'!I19</f>
        <v>2396081906.0772572</v>
      </c>
      <c r="L31" s="1180">
        <f>K31/Assumptions!$C$3</f>
        <v>9.9554674508777505E-4</v>
      </c>
      <c r="M31" s="1351">
        <f>IF(Master!L31&lt;0.01%,"&lt; 0.01%", Master!L31)</f>
        <v>9.9554674508777505E-4</v>
      </c>
      <c r="N31" s="1199"/>
      <c r="O31" s="314"/>
      <c r="P31" s="314"/>
      <c r="Q31" s="314"/>
      <c r="R31" s="314"/>
    </row>
    <row r="32" spans="1:18" s="116" customFormat="1" outlineLevel="1" x14ac:dyDescent="0.35">
      <c r="A32" s="897"/>
      <c r="B32" s="891"/>
      <c r="C32" s="888" t="s">
        <v>985</v>
      </c>
      <c r="D32" s="859" t="s">
        <v>986</v>
      </c>
      <c r="E32" s="1072">
        <f>'Inland Water'!F7+'Inland Water'!F10+'Inland Water'!F13</f>
        <v>18094785.577201046</v>
      </c>
      <c r="F32" s="1073" t="s">
        <v>129</v>
      </c>
      <c r="G32" s="860" t="s">
        <v>1041</v>
      </c>
      <c r="H32" s="1074">
        <v>2014</v>
      </c>
      <c r="I32" s="861">
        <f>'Inland Water'!F21</f>
        <v>6398060180.5046892</v>
      </c>
      <c r="J32" s="861">
        <f>'Inland Water'!G22</f>
        <v>7677672216.6056271</v>
      </c>
      <c r="K32" s="844">
        <f>'Present Value'!I20</f>
        <v>200634601.34394893</v>
      </c>
      <c r="L32" s="1180">
        <f>K32/Assumptions!$C$3</f>
        <v>8.3361559474800123E-5</v>
      </c>
      <c r="M32" s="1351" t="str">
        <f>IF(Master!L32&lt;0.01%,"&lt; 0.01%", Master!L32)</f>
        <v>&lt; 0.01%</v>
      </c>
      <c r="N32" s="1199"/>
      <c r="O32" s="314"/>
      <c r="P32" s="314"/>
      <c r="Q32" s="314"/>
      <c r="R32" s="314"/>
    </row>
    <row r="33" spans="1:18" s="858" customFormat="1" ht="14.5" customHeight="1" outlineLevel="1" x14ac:dyDescent="0.35">
      <c r="A33" s="896"/>
      <c r="B33" s="977"/>
      <c r="C33" s="976" t="s">
        <v>1161</v>
      </c>
      <c r="D33" s="976" t="s">
        <v>1150</v>
      </c>
      <c r="E33" s="976"/>
      <c r="F33" s="976"/>
      <c r="G33" s="976"/>
      <c r="H33" s="976"/>
      <c r="I33" s="1088"/>
      <c r="J33" s="1088"/>
      <c r="K33" s="976"/>
      <c r="L33" s="976"/>
      <c r="M33" s="1360"/>
      <c r="N33" s="1204"/>
      <c r="O33" s="857"/>
      <c r="P33" s="857"/>
      <c r="Q33" s="857"/>
      <c r="R33" s="857"/>
    </row>
    <row r="34" spans="1:18" s="116" customFormat="1" ht="14.5" customHeight="1" outlineLevel="1" x14ac:dyDescent="0.35">
      <c r="A34" s="897"/>
      <c r="B34" s="891"/>
      <c r="C34" s="888" t="s">
        <v>987</v>
      </c>
      <c r="D34" s="859" t="s">
        <v>1227</v>
      </c>
      <c r="E34" s="1072">
        <f>'Inland Water'!$F$27</f>
        <v>726000</v>
      </c>
      <c r="F34" s="1073" t="s">
        <v>1035</v>
      </c>
      <c r="G34" s="860">
        <f>'Inland Water'!F28</f>
        <v>5100</v>
      </c>
      <c r="H34" s="1074">
        <v>2017</v>
      </c>
      <c r="I34" s="861">
        <f>'Inland Water'!F29</f>
        <v>3702600000</v>
      </c>
      <c r="J34" s="861">
        <f>'Inland Water'!G30</f>
        <v>4239477000</v>
      </c>
      <c r="K34" s="844">
        <f>'Present Value'!I22</f>
        <v>104289012.65100275</v>
      </c>
      <c r="L34" s="1180">
        <f>K34/Assumptions!$C$3</f>
        <v>4.3330984149494246E-5</v>
      </c>
      <c r="M34" s="1351" t="str">
        <f>IF(Master!L34&lt;0.01%,"&lt; 0.01%", Master!L34)</f>
        <v>&lt; 0.01%</v>
      </c>
      <c r="N34" s="1199"/>
      <c r="O34" s="314"/>
      <c r="P34" s="314"/>
      <c r="Q34" s="314"/>
      <c r="R34" s="314"/>
    </row>
    <row r="35" spans="1:18" s="858" customFormat="1" ht="14.5" customHeight="1" outlineLevel="1" x14ac:dyDescent="0.35">
      <c r="A35" s="896"/>
      <c r="B35" s="977"/>
      <c r="C35" s="976" t="s">
        <v>1162</v>
      </c>
      <c r="D35" s="976" t="s">
        <v>1258</v>
      </c>
      <c r="E35" s="976"/>
      <c r="F35" s="976"/>
      <c r="G35" s="976"/>
      <c r="H35" s="976"/>
      <c r="I35" s="1088"/>
      <c r="J35" s="1088"/>
      <c r="K35" s="976"/>
      <c r="L35" s="976"/>
      <c r="M35" s="1360"/>
      <c r="N35" s="1204"/>
      <c r="O35" s="857"/>
      <c r="P35" s="857"/>
      <c r="Q35" s="857"/>
      <c r="R35" s="857"/>
    </row>
    <row r="36" spans="1:18" s="116" customFormat="1" outlineLevel="1" x14ac:dyDescent="0.35">
      <c r="A36" s="897"/>
      <c r="B36" s="891"/>
      <c r="C36" s="888" t="s">
        <v>991</v>
      </c>
      <c r="D36" s="859" t="s">
        <v>1229</v>
      </c>
      <c r="E36" s="1072">
        <f>'Inland Water'!$F$33</f>
        <v>5</v>
      </c>
      <c r="F36" s="1073" t="s">
        <v>1036</v>
      </c>
      <c r="G36" s="860">
        <f>'Inland Water'!F34/'Inland Water'!F33</f>
        <v>132800000</v>
      </c>
      <c r="H36" s="1074">
        <v>2020</v>
      </c>
      <c r="I36" s="861">
        <f>'Inland Water'!$F$34</f>
        <v>664000000</v>
      </c>
      <c r="J36" s="861">
        <f>'Inland Water'!$G$35</f>
        <v>727744000</v>
      </c>
      <c r="K36" s="844">
        <f>'Present Value'!I24</f>
        <v>22848168.935954317</v>
      </c>
      <c r="L36" s="1180">
        <f>K36/Assumptions!$C$3</f>
        <v>9.4931730662931356E-6</v>
      </c>
      <c r="M36" s="1351" t="str">
        <f>IF(Master!L36&lt;0.01%,"&lt; 0.01%", Master!L36)</f>
        <v>&lt; 0.01%</v>
      </c>
      <c r="N36" s="1199"/>
      <c r="O36" s="314"/>
      <c r="P36" s="314"/>
      <c r="Q36" s="314"/>
      <c r="R36" s="314"/>
    </row>
    <row r="37" spans="1:18" s="116" customFormat="1" ht="14.5" customHeight="1" outlineLevel="1" x14ac:dyDescent="0.35">
      <c r="A37" s="897"/>
      <c r="B37" s="891"/>
      <c r="C37" s="888" t="s">
        <v>990</v>
      </c>
      <c r="D37" s="859" t="s">
        <v>1230</v>
      </c>
      <c r="E37" s="1072">
        <f>'Inland Water'!F38</f>
        <v>2000</v>
      </c>
      <c r="F37" s="1073" t="s">
        <v>1037</v>
      </c>
      <c r="G37" s="860">
        <f>'Inland Water'!F43/'Inland Water'!F38</f>
        <v>242500</v>
      </c>
      <c r="H37" s="1074">
        <v>2022</v>
      </c>
      <c r="I37" s="861">
        <f>'Inland Water'!G45+'Inland Water'!G50</f>
        <v>3684130000</v>
      </c>
      <c r="J37" s="861">
        <f>'Inland Water'!G45+'Inland Water'!G50</f>
        <v>3684130000</v>
      </c>
      <c r="K37" s="844">
        <f>'Present Value'!I25</f>
        <v>107818575.05285206</v>
      </c>
      <c r="L37" s="1180">
        <f>K37/Assumptions!$C$3</f>
        <v>4.479748007846604E-5</v>
      </c>
      <c r="M37" s="1351" t="str">
        <f>IF(Master!L37&lt;0.01%,"&lt; 0.01%", Master!L37)</f>
        <v>&lt; 0.01%</v>
      </c>
      <c r="N37" s="1199"/>
      <c r="O37" s="314"/>
      <c r="P37" s="314"/>
      <c r="Q37" s="314"/>
      <c r="R37" s="314"/>
    </row>
    <row r="38" spans="1:18" s="116" customFormat="1" outlineLevel="1" x14ac:dyDescent="0.35">
      <c r="A38" s="897"/>
      <c r="B38" s="891"/>
      <c r="C38" s="888" t="s">
        <v>1033</v>
      </c>
      <c r="D38" s="859" t="s">
        <v>988</v>
      </c>
      <c r="E38" s="1072">
        <f>'Inland Water'!F52</f>
        <v>75</v>
      </c>
      <c r="F38" s="1073" t="s">
        <v>1038</v>
      </c>
      <c r="G38" s="860">
        <f>'Inland Water'!F53</f>
        <v>8500000</v>
      </c>
      <c r="H38" s="1074">
        <v>2020</v>
      </c>
      <c r="I38" s="861">
        <f>'Inland Water'!F54</f>
        <v>637500000</v>
      </c>
      <c r="J38" s="861">
        <f>'Inland Water'!G55</f>
        <v>698700000</v>
      </c>
      <c r="K38" s="844">
        <f>'Present Value'!I26</f>
        <v>20447931.639064793</v>
      </c>
      <c r="L38" s="1180">
        <f>K38/Assumptions!$C$3</f>
        <v>8.4958998001764975E-6</v>
      </c>
      <c r="M38" s="1351" t="str">
        <f>IF(Master!L38&lt;0.01%,"&lt; 0.01%", Master!L38)</f>
        <v>&lt; 0.01%</v>
      </c>
      <c r="N38" s="1199"/>
      <c r="O38" s="314"/>
      <c r="P38" s="314"/>
      <c r="Q38" s="314"/>
      <c r="R38" s="314"/>
    </row>
    <row r="39" spans="1:18" s="116" customFormat="1" outlineLevel="1" x14ac:dyDescent="0.35">
      <c r="A39" s="897"/>
      <c r="B39" s="891"/>
      <c r="C39" s="888" t="s">
        <v>1143</v>
      </c>
      <c r="D39" s="859" t="s">
        <v>989</v>
      </c>
      <c r="E39" s="1072">
        <f>'Inland Water'!F57</f>
        <v>11418</v>
      </c>
      <c r="F39" s="1073" t="s">
        <v>1039</v>
      </c>
      <c r="G39" s="860">
        <f>'Inland Water'!F58</f>
        <v>187000</v>
      </c>
      <c r="H39" s="1074">
        <v>2022</v>
      </c>
      <c r="I39" s="861">
        <f>'Inland Water'!G61</f>
        <v>2095666000</v>
      </c>
      <c r="J39" s="861">
        <f>'Inland Water'!G61</f>
        <v>2095666000</v>
      </c>
      <c r="K39" s="844">
        <f>'Present Value'!I27</f>
        <v>61331093.611438863</v>
      </c>
      <c r="L39" s="1180">
        <f>K39/Assumptions!$C$3</f>
        <v>2.5482422142030439E-5</v>
      </c>
      <c r="M39" s="1351" t="str">
        <f>IF(Master!L39&lt;0.01%,"&lt; 0.01%", Master!L39)</f>
        <v>&lt; 0.01%</v>
      </c>
      <c r="N39" s="1199"/>
      <c r="O39" s="314"/>
      <c r="P39" s="314"/>
      <c r="Q39" s="314"/>
      <c r="R39" s="314"/>
    </row>
    <row r="40" spans="1:18" s="858" customFormat="1" ht="14.5" customHeight="1" outlineLevel="1" x14ac:dyDescent="0.35">
      <c r="A40" s="896"/>
      <c r="B40" s="977"/>
      <c r="C40" s="976" t="s">
        <v>1163</v>
      </c>
      <c r="D40" s="976" t="s">
        <v>1043</v>
      </c>
      <c r="E40" s="976"/>
      <c r="F40" s="976"/>
      <c r="G40" s="976"/>
      <c r="H40" s="976"/>
      <c r="I40" s="1088"/>
      <c r="J40" s="1088"/>
      <c r="K40" s="976"/>
      <c r="L40" s="976"/>
      <c r="M40" s="1360"/>
      <c r="N40" s="1204"/>
      <c r="O40" s="857"/>
      <c r="P40" s="857"/>
      <c r="Q40" s="857"/>
      <c r="R40" s="857"/>
    </row>
    <row r="41" spans="1:18" s="116" customFormat="1" outlineLevel="1" x14ac:dyDescent="0.35">
      <c r="A41" s="897"/>
      <c r="B41" s="891"/>
      <c r="C41" s="888" t="s">
        <v>1144</v>
      </c>
      <c r="D41" s="859" t="s">
        <v>1244</v>
      </c>
      <c r="E41" s="1072">
        <f>'Inland Water'!F64</f>
        <v>331</v>
      </c>
      <c r="F41" s="1073" t="s">
        <v>1040</v>
      </c>
      <c r="G41" s="860">
        <f>'Inland Water'!F65</f>
        <v>346529</v>
      </c>
      <c r="H41" s="1074">
        <v>2018</v>
      </c>
      <c r="I41" s="861">
        <f>'Inland Water'!F66</f>
        <v>114701099</v>
      </c>
      <c r="J41" s="861">
        <f>'Inland Water'!G74</f>
        <v>144813393.676</v>
      </c>
      <c r="K41" s="844">
        <f>'Present Value'!I29</f>
        <v>4493071.5556263784</v>
      </c>
      <c r="L41" s="1180">
        <f>K41/Assumptions!$C$3</f>
        <v>1.8668238140378836E-6</v>
      </c>
      <c r="M41" s="1351" t="str">
        <f>IF(Master!L41&lt;0.01%,"&lt; 0.01%", Master!L41)</f>
        <v>&lt; 0.01%</v>
      </c>
      <c r="N41" s="1199"/>
      <c r="O41" s="314"/>
      <c r="P41" s="314"/>
      <c r="Q41" s="314"/>
      <c r="R41" s="314"/>
    </row>
    <row r="42" spans="1:18" s="116" customFormat="1" outlineLevel="1" x14ac:dyDescent="0.35">
      <c r="A42" s="897"/>
      <c r="B42" s="891"/>
      <c r="C42" s="888" t="s">
        <v>1146</v>
      </c>
      <c r="D42" s="859" t="s">
        <v>1028</v>
      </c>
      <c r="E42" s="1072">
        <f>'Inland Water'!F78</f>
        <v>3250</v>
      </c>
      <c r="F42" s="1073" t="s">
        <v>1035</v>
      </c>
      <c r="G42" s="860">
        <f>'Inland Water'!F79</f>
        <v>1906.9</v>
      </c>
      <c r="H42" s="1074">
        <v>2018</v>
      </c>
      <c r="I42" s="861">
        <f>'Inland Water'!F80</f>
        <v>6197425</v>
      </c>
      <c r="J42" s="861">
        <f>'Inland Water'!G81</f>
        <v>6965905.7000000011</v>
      </c>
      <c r="K42" s="844">
        <f>'Present Value'!I30</f>
        <v>216128.57737365999</v>
      </c>
      <c r="L42" s="1180">
        <f>K42/Assumptions!$C$3</f>
        <v>8.9799143000523518E-8</v>
      </c>
      <c r="M42" s="1351" t="str">
        <f>IF(Master!L42&lt;0.01%,"&lt; 0.01%", Master!L42)</f>
        <v>&lt; 0.01%</v>
      </c>
      <c r="N42" s="1199"/>
      <c r="O42" s="314"/>
      <c r="P42" s="314"/>
      <c r="Q42" s="314"/>
      <c r="R42" s="314"/>
    </row>
    <row r="43" spans="1:18" outlineLevel="1" x14ac:dyDescent="0.35">
      <c r="A43" s="894"/>
      <c r="B43" s="978"/>
      <c r="C43" s="1089"/>
      <c r="D43" s="1090" t="s">
        <v>110</v>
      </c>
      <c r="E43" s="1091"/>
      <c r="F43" s="1092"/>
      <c r="G43" s="979"/>
      <c r="H43" s="1092"/>
      <c r="I43" s="980"/>
      <c r="J43" s="1093">
        <f>SUM(J31:J32,J34:J39,J41:J42)</f>
        <v>121470561699.9818</v>
      </c>
      <c r="K43" s="1093">
        <f>SUM(K31:K42)</f>
        <v>2918160489.4445186</v>
      </c>
      <c r="L43" s="1184">
        <f>SUM(L31:L42)</f>
        <v>1.2124648867560739E-3</v>
      </c>
      <c r="M43" s="1361">
        <f>IF(Master!L43&lt;0.01%,"&lt; 0.01%", Master!L43)</f>
        <v>1.2124648867560739E-3</v>
      </c>
      <c r="N43" s="1205"/>
    </row>
    <row r="44" spans="1:18" outlineLevel="1" x14ac:dyDescent="0.35">
      <c r="A44" s="894"/>
      <c r="B44" s="891"/>
      <c r="C44" s="888"/>
      <c r="D44" s="1066" t="s">
        <v>113</v>
      </c>
      <c r="E44" s="1066"/>
      <c r="F44" s="1066"/>
      <c r="G44" s="1066"/>
      <c r="H44" s="1066"/>
      <c r="I44" s="1066"/>
      <c r="J44" s="844">
        <f>J43*Assumptions!$C$7</f>
        <v>12147056169.99818</v>
      </c>
      <c r="K44" s="844">
        <f>'Present Value'!I31</f>
        <v>291816048.94445193</v>
      </c>
      <c r="L44" s="1182">
        <f>K44/Assumptions!$C$3</f>
        <v>1.2124648867560741E-4</v>
      </c>
      <c r="M44" s="1354">
        <f>IF(Master!L44&lt;0.01%,"&lt; 0.01%", Master!L44)</f>
        <v>1.2124648867560741E-4</v>
      </c>
      <c r="N44" s="1201"/>
    </row>
    <row r="45" spans="1:18" outlineLevel="1" x14ac:dyDescent="0.35">
      <c r="A45" s="894"/>
      <c r="B45" s="978"/>
      <c r="C45" s="1089"/>
      <c r="D45" s="1094" t="s">
        <v>975</v>
      </c>
      <c r="E45" s="1094"/>
      <c r="F45" s="1094"/>
      <c r="G45" s="1094"/>
      <c r="H45" s="1094"/>
      <c r="I45" s="1094"/>
      <c r="J45" s="1095">
        <f>J43+J44</f>
        <v>133617617869.97998</v>
      </c>
      <c r="K45" s="1095">
        <f>K43+K44</f>
        <v>3209976538.3889704</v>
      </c>
      <c r="L45" s="1184">
        <f>L44+L43</f>
        <v>1.3337113754316812E-3</v>
      </c>
      <c r="M45" s="1361">
        <f>IF(Master!L45&lt;0.01%,"&lt; 0.01%", Master!L45)</f>
        <v>1.3337113754316812E-3</v>
      </c>
      <c r="N45" s="1205">
        <f>SUM(N31:N32,N34:N34,N36:N39,N41:N42)</f>
        <v>0</v>
      </c>
    </row>
    <row r="46" spans="1:18" outlineLevel="1" x14ac:dyDescent="0.35">
      <c r="A46" s="894"/>
      <c r="B46" s="1600" t="s">
        <v>116</v>
      </c>
      <c r="C46" s="1601"/>
      <c r="D46" s="1601"/>
      <c r="E46" s="842"/>
      <c r="F46" s="842"/>
      <c r="G46" s="842"/>
      <c r="H46" s="842"/>
      <c r="I46" s="842"/>
      <c r="J46" s="842"/>
      <c r="K46" s="842"/>
      <c r="L46" s="842"/>
      <c r="M46" s="1355"/>
      <c r="N46" s="1197"/>
      <c r="O46" s="329"/>
      <c r="P46" s="329"/>
    </row>
    <row r="47" spans="1:18" s="116" customFormat="1" ht="14.5" customHeight="1" outlineLevel="1" x14ac:dyDescent="0.35">
      <c r="A47" s="897"/>
      <c r="B47" s="891"/>
      <c r="C47" s="888" t="s">
        <v>993</v>
      </c>
      <c r="D47" s="859" t="s">
        <v>1248</v>
      </c>
      <c r="E47" s="1072">
        <f>'Inland Water'!F87+'Inland Water'!F91+'Inland Water'!F95</f>
        <v>603159.51924003486</v>
      </c>
      <c r="F47" s="1073" t="s">
        <v>1121</v>
      </c>
      <c r="G47" s="860">
        <f>'Inland Water'!F88</f>
        <v>4.7</v>
      </c>
      <c r="H47" s="1074">
        <v>2018</v>
      </c>
      <c r="I47" s="861">
        <f>'Inland Water'!F89+'Inland Water'!F93+'Inland Water'!F97</f>
        <v>2834849.7404281637</v>
      </c>
      <c r="J47" s="861">
        <f>'Inland Water'!G99</f>
        <v>3186371.1082412563</v>
      </c>
      <c r="K47" s="844">
        <f>'Present Value'!I32</f>
        <v>30727910.787565358</v>
      </c>
      <c r="L47" s="1180">
        <f>K47/Assumptions!$C$3</f>
        <v>1.2767122647318164E-5</v>
      </c>
      <c r="M47" s="1351" t="str">
        <f>IF(Master!L47&lt;0.01%,"&lt; 0.01%", Master!L47)</f>
        <v>&lt; 0.01%</v>
      </c>
      <c r="N47" s="1199">
        <f>'Carbon.Data'!E16</f>
        <v>0</v>
      </c>
      <c r="O47" s="314"/>
      <c r="P47" s="314"/>
      <c r="Q47" s="314"/>
      <c r="R47" s="314"/>
    </row>
    <row r="48" spans="1:18" s="116" customFormat="1" outlineLevel="1" x14ac:dyDescent="0.35">
      <c r="A48" s="897"/>
      <c r="B48" s="891"/>
      <c r="C48" s="888" t="s">
        <v>994</v>
      </c>
      <c r="D48" s="859" t="s">
        <v>1029</v>
      </c>
      <c r="E48" s="1072" t="s">
        <v>1041</v>
      </c>
      <c r="F48" s="1073"/>
      <c r="G48" s="860" t="s">
        <v>1041</v>
      </c>
      <c r="H48" s="1074" t="s">
        <v>1041</v>
      </c>
      <c r="I48" s="861">
        <f>'Inland Water'!G104</f>
        <v>4282000</v>
      </c>
      <c r="J48" s="861">
        <f>'Inland Water'!G104</f>
        <v>4282000</v>
      </c>
      <c r="K48" s="844">
        <f>'Present Value'!I33</f>
        <v>3011884.1179122161</v>
      </c>
      <c r="L48" s="1180">
        <f>K48/Assumptions!$C$3</f>
        <v>1.2514060652784677E-6</v>
      </c>
      <c r="M48" s="1351" t="str">
        <f>IF(Master!L48&lt;0.01%,"&lt; 0.01%", Master!L48)</f>
        <v>&lt; 0.01%</v>
      </c>
      <c r="N48" s="1199">
        <f>'Carbon.Data'!E17</f>
        <v>0</v>
      </c>
      <c r="O48" s="314"/>
      <c r="P48" s="314"/>
      <c r="Q48" s="314"/>
      <c r="R48" s="314"/>
    </row>
    <row r="49" spans="1:18" s="116" customFormat="1" outlineLevel="1" x14ac:dyDescent="0.35">
      <c r="A49" s="897"/>
      <c r="B49" s="891"/>
      <c r="C49" s="888" t="s">
        <v>1148</v>
      </c>
      <c r="D49" s="859" t="s">
        <v>1259</v>
      </c>
      <c r="E49" s="1072" t="s">
        <v>1261</v>
      </c>
      <c r="F49" s="1073"/>
      <c r="G49" s="860" t="s">
        <v>1041</v>
      </c>
      <c r="H49" s="1074" t="s">
        <v>1041</v>
      </c>
      <c r="I49" s="861">
        <f>'Inland Water'!G108</f>
        <v>12750000</v>
      </c>
      <c r="J49" s="861">
        <f>'Inland Water'!G108</f>
        <v>12750000</v>
      </c>
      <c r="K49" s="844">
        <f>'Present Value'!I34</f>
        <v>8968127.6280664988</v>
      </c>
      <c r="L49" s="1180">
        <f>K49/Assumptions!$C$3</f>
        <v>3.726162384937053E-6</v>
      </c>
      <c r="M49" s="1351" t="str">
        <f>IF(Master!L49&lt;0.01%,"&lt; 0.01%", Master!L49)</f>
        <v>&lt; 0.01%</v>
      </c>
      <c r="N49" s="1199">
        <f>'Carbon.Data'!E18</f>
        <v>0</v>
      </c>
      <c r="O49" s="314"/>
      <c r="P49" s="314"/>
      <c r="Q49" s="314"/>
      <c r="R49" s="314"/>
    </row>
    <row r="50" spans="1:18" s="116" customFormat="1" outlineLevel="1" x14ac:dyDescent="0.35">
      <c r="A50" s="897"/>
      <c r="B50" s="891"/>
      <c r="C50" s="888" t="s">
        <v>1149</v>
      </c>
      <c r="D50" s="859" t="s">
        <v>143</v>
      </c>
      <c r="E50" s="860" t="s">
        <v>1041</v>
      </c>
      <c r="F50" s="1073"/>
      <c r="G50" s="860" t="s">
        <v>1041</v>
      </c>
      <c r="H50" s="939"/>
      <c r="I50" s="939">
        <f>'Inland Water'!G113</f>
        <v>47110571.680000007</v>
      </c>
      <c r="J50" s="861">
        <f>'Inland Water'!G113</f>
        <v>47110571.680000007</v>
      </c>
      <c r="K50" s="844">
        <f>'Present Value'!I35</f>
        <v>33136754.46724825</v>
      </c>
      <c r="L50" s="1180">
        <f>K50/Assumptions!$C$3</f>
        <v>1.3767971774658571E-5</v>
      </c>
      <c r="M50" s="1351" t="str">
        <f>IF(Master!L50&lt;0.01%,"&lt; 0.01%", Master!L50)</f>
        <v>&lt; 0.01%</v>
      </c>
      <c r="N50" s="1199"/>
      <c r="O50" s="314"/>
      <c r="P50" s="314"/>
      <c r="Q50" s="314"/>
      <c r="R50" s="314"/>
    </row>
    <row r="51" spans="1:18" s="116" customFormat="1" outlineLevel="1" x14ac:dyDescent="0.35">
      <c r="A51" s="897"/>
      <c r="B51" s="891"/>
      <c r="C51" s="888" t="s">
        <v>1147</v>
      </c>
      <c r="D51" s="859" t="s">
        <v>1260</v>
      </c>
      <c r="E51" s="860" t="s">
        <v>1041</v>
      </c>
      <c r="F51" s="1073"/>
      <c r="G51" s="860" t="s">
        <v>1041</v>
      </c>
      <c r="H51" s="939" t="s">
        <v>1041</v>
      </c>
      <c r="I51" s="861">
        <f>'Inland Water'!G118</f>
        <v>3255405.0898364801</v>
      </c>
      <c r="J51" s="861">
        <f>'Inland Water'!G118</f>
        <v>3255405.0898364801</v>
      </c>
      <c r="K51" s="844">
        <f>'Present Value'!I36</f>
        <v>2289795.1628792812</v>
      </c>
      <c r="L51" s="1180">
        <f>K51/Assumptions!$C$3</f>
        <v>9.5138572497892688E-7</v>
      </c>
      <c r="M51" s="1351" t="str">
        <f>IF(Master!L51&lt;0.01%,"&lt; 0.01%", Master!L51)</f>
        <v>&lt; 0.01%</v>
      </c>
      <c r="N51" s="1199"/>
      <c r="O51" s="314"/>
      <c r="P51" s="314"/>
      <c r="Q51" s="314"/>
      <c r="R51" s="314"/>
    </row>
    <row r="52" spans="1:18" outlineLevel="1" x14ac:dyDescent="0.35">
      <c r="A52" s="894"/>
      <c r="B52" s="978"/>
      <c r="C52" s="1089"/>
      <c r="D52" s="1090" t="s">
        <v>976</v>
      </c>
      <c r="E52" s="1091"/>
      <c r="F52" s="1092"/>
      <c r="G52" s="979"/>
      <c r="H52" s="1092"/>
      <c r="I52" s="980"/>
      <c r="J52" s="1095">
        <f t="shared" ref="J52:N52" si="0">SUM(J47:J51)</f>
        <v>70584347.878077745</v>
      </c>
      <c r="K52" s="1095">
        <f>SUM(K47:K51)</f>
        <v>78134472.163671613</v>
      </c>
      <c r="L52" s="1184">
        <f t="shared" si="0"/>
        <v>3.2464048597171181E-5</v>
      </c>
      <c r="M52" s="1361" t="str">
        <f>IF(Master!L52&lt;0.01%,"&lt; 0.01%", Master!L52)</f>
        <v>&lt; 0.01%</v>
      </c>
      <c r="N52" s="1205">
        <f t="shared" si="0"/>
        <v>0</v>
      </c>
    </row>
    <row r="53" spans="1:18" outlineLevel="1" x14ac:dyDescent="0.35">
      <c r="A53" s="894"/>
      <c r="B53" s="938"/>
      <c r="C53" s="1096"/>
      <c r="D53" s="1097" t="s">
        <v>107</v>
      </c>
      <c r="E53" s="1097"/>
      <c r="F53" s="1097"/>
      <c r="G53" s="1097"/>
      <c r="H53" s="1097"/>
      <c r="I53" s="1097"/>
      <c r="J53" s="1098">
        <f t="shared" ref="J53:N53" si="1">SUM(J45,J52)</f>
        <v>133688202217.85806</v>
      </c>
      <c r="K53" s="1098">
        <f>SUM(K45,K52)</f>
        <v>3288111010.5526419</v>
      </c>
      <c r="L53" s="1185">
        <f t="shared" si="1"/>
        <v>1.3661754240288525E-3</v>
      </c>
      <c r="M53" s="1362">
        <f>IF(Master!L53&lt;0.01%,"&lt; 0.01%", Master!L53)</f>
        <v>1.3661754240288525E-3</v>
      </c>
      <c r="N53" s="1218">
        <f t="shared" si="1"/>
        <v>0</v>
      </c>
    </row>
    <row r="54" spans="1:18" x14ac:dyDescent="0.35">
      <c r="A54" s="894"/>
      <c r="B54" s="197"/>
      <c r="C54" s="2"/>
      <c r="D54" s="38"/>
      <c r="E54" s="329"/>
      <c r="F54" s="14"/>
      <c r="G54" s="39"/>
      <c r="H54" s="14"/>
      <c r="I54" s="40"/>
      <c r="J54" s="218"/>
      <c r="K54" s="41"/>
      <c r="L54" s="42"/>
      <c r="M54" s="1363"/>
      <c r="N54" s="1206"/>
    </row>
    <row r="55" spans="1:18" s="118" customFormat="1" collapsed="1" x14ac:dyDescent="0.35">
      <c r="A55" s="895"/>
      <c r="B55" s="1613" t="s">
        <v>144</v>
      </c>
      <c r="C55" s="1614"/>
      <c r="D55" s="1614"/>
      <c r="E55" s="1614"/>
      <c r="F55" s="1614"/>
      <c r="G55" s="1614"/>
      <c r="H55" s="1614"/>
      <c r="I55" s="1614"/>
      <c r="J55" s="1614"/>
      <c r="K55" s="1614"/>
      <c r="L55" s="1614"/>
      <c r="M55" s="1615"/>
      <c r="N55" s="1614"/>
      <c r="O55" s="315"/>
      <c r="P55" s="315"/>
      <c r="Q55" s="315"/>
      <c r="R55" s="315"/>
    </row>
    <row r="56" spans="1:18" outlineLevel="1" x14ac:dyDescent="0.35">
      <c r="A56" s="894"/>
      <c r="B56" s="1604" t="s">
        <v>934</v>
      </c>
      <c r="C56" s="1605"/>
      <c r="D56" s="1605"/>
      <c r="E56" s="847" t="s">
        <v>953</v>
      </c>
      <c r="F56" s="847" t="s">
        <v>123</v>
      </c>
      <c r="G56" s="847" t="s">
        <v>124</v>
      </c>
      <c r="H56" s="847" t="s">
        <v>125</v>
      </c>
      <c r="I56" s="847" t="s">
        <v>126</v>
      </c>
      <c r="J56" s="847" t="s">
        <v>954</v>
      </c>
      <c r="K56" s="847" t="s">
        <v>1309</v>
      </c>
      <c r="L56" s="847" t="s">
        <v>108</v>
      </c>
      <c r="M56" s="1359" t="str">
        <f>IF(Master!L56&lt;0.01%,"&lt; 0.01%", Master!L56)</f>
        <v>% of GDP</v>
      </c>
      <c r="N56" s="1196"/>
    </row>
    <row r="57" spans="1:18" outlineLevel="1" x14ac:dyDescent="0.35">
      <c r="A57" s="894"/>
      <c r="B57" s="1600" t="s">
        <v>115</v>
      </c>
      <c r="C57" s="1601"/>
      <c r="D57" s="1601"/>
      <c r="E57" s="842"/>
      <c r="F57" s="842"/>
      <c r="G57" s="842"/>
      <c r="H57" s="842"/>
      <c r="I57" s="842"/>
      <c r="J57" s="842"/>
      <c r="K57" s="842"/>
      <c r="L57" s="842"/>
      <c r="M57" s="1355"/>
      <c r="N57" s="1197"/>
    </row>
    <row r="58" spans="1:18" s="858" customFormat="1" ht="14.5" customHeight="1" outlineLevel="1" x14ac:dyDescent="0.35">
      <c r="A58" s="896"/>
      <c r="B58" s="1047"/>
      <c r="C58" s="1099" t="s">
        <v>1164</v>
      </c>
      <c r="D58" s="1099" t="s">
        <v>1405</v>
      </c>
      <c r="E58" s="1099"/>
      <c r="F58" s="1099"/>
      <c r="G58" s="1099"/>
      <c r="H58" s="1099"/>
      <c r="I58" s="1100"/>
      <c r="J58" s="1100"/>
      <c r="K58" s="1099"/>
      <c r="L58" s="1099"/>
      <c r="M58" s="1364"/>
      <c r="N58" s="1207"/>
      <c r="O58" s="857"/>
      <c r="P58" s="857"/>
      <c r="Q58" s="857"/>
      <c r="R58" s="857"/>
    </row>
    <row r="59" spans="1:18" s="116" customFormat="1" ht="14.5" customHeight="1" outlineLevel="1" x14ac:dyDescent="0.35">
      <c r="A59" s="897"/>
      <c r="B59" s="891"/>
      <c r="C59" s="888" t="s">
        <v>978</v>
      </c>
      <c r="D59" s="859" t="s">
        <v>983</v>
      </c>
      <c r="E59" s="1072">
        <f>'Native vegetation'!F7</f>
        <v>1318457.8434231251</v>
      </c>
      <c r="F59" s="1073" t="s">
        <v>129</v>
      </c>
      <c r="G59" s="860">
        <f>'Native vegetation'!F8</f>
        <v>3071.8579924988603</v>
      </c>
      <c r="H59" s="1074">
        <v>2020</v>
      </c>
      <c r="I59" s="861">
        <f>'Native vegetation'!F9</f>
        <v>4050115264.0921378</v>
      </c>
      <c r="J59" s="861">
        <f>'Native vegetation'!G10</f>
        <v>4438926329.4449835</v>
      </c>
      <c r="K59" s="844">
        <f>'Present Value'!I40</f>
        <v>104075445.37005852</v>
      </c>
      <c r="L59" s="1180">
        <f>K59/Assumptions!$C$3</f>
        <v>4.3242249198129685E-5</v>
      </c>
      <c r="M59" s="1351" t="str">
        <f>IF(Master!L59&lt;0.01%,"&lt; 0.01%", Master!L59)</f>
        <v>&lt; 0.01%</v>
      </c>
      <c r="N59" s="1199" t="s">
        <v>1041</v>
      </c>
      <c r="O59" s="314"/>
      <c r="P59" s="314"/>
      <c r="Q59" s="314"/>
      <c r="R59" s="314"/>
    </row>
    <row r="60" spans="1:18" s="116" customFormat="1" outlineLevel="1" x14ac:dyDescent="0.35">
      <c r="A60" s="897"/>
      <c r="B60" s="891"/>
      <c r="C60" s="888" t="s">
        <v>980</v>
      </c>
      <c r="D60" s="859" t="s">
        <v>1136</v>
      </c>
      <c r="E60" s="1072">
        <f>'Native vegetation'!F12</f>
        <v>11591524.165640462</v>
      </c>
      <c r="F60" s="1073" t="s">
        <v>129</v>
      </c>
      <c r="G60" s="860">
        <f>'Native vegetation'!F13</f>
        <v>3004.3682676782805</v>
      </c>
      <c r="H60" s="1074">
        <v>2020</v>
      </c>
      <c r="I60" s="861">
        <f>'Native vegetation'!F14</f>
        <v>34825207377.276161</v>
      </c>
      <c r="J60" s="861">
        <f>'Native vegetation'!G15</f>
        <v>38168427285.494675</v>
      </c>
      <c r="K60" s="844">
        <f>'Present Value'!I41</f>
        <v>894900201.9840318</v>
      </c>
      <c r="L60" s="1180">
        <f>K60/Assumptions!$C$3</f>
        <v>3.7182158965598793E-4</v>
      </c>
      <c r="M60" s="1351">
        <f>IF(Master!L60&lt;0.01%,"&lt; 0.01%", Master!L60)</f>
        <v>3.7182158965598793E-4</v>
      </c>
      <c r="N60" s="1199">
        <f>'Carbon.Data'!E9</f>
        <v>819475035.65971327</v>
      </c>
      <c r="O60" s="314"/>
      <c r="P60" s="314"/>
      <c r="Q60" s="314"/>
      <c r="R60" s="314"/>
    </row>
    <row r="61" spans="1:18" s="116" customFormat="1" outlineLevel="1" x14ac:dyDescent="0.35">
      <c r="A61" s="897"/>
      <c r="B61" s="891"/>
      <c r="C61" s="888" t="s">
        <v>1106</v>
      </c>
      <c r="D61" s="859" t="s">
        <v>979</v>
      </c>
      <c r="E61" s="1072" t="s">
        <v>1041</v>
      </c>
      <c r="F61" s="1073"/>
      <c r="G61" s="860" t="s">
        <v>1041</v>
      </c>
      <c r="H61" s="1074">
        <v>2020</v>
      </c>
      <c r="I61" s="861">
        <f>'Native vegetation'!F17</f>
        <v>24300174425.099998</v>
      </c>
      <c r="J61" s="861">
        <f>'Native vegetation'!G18</f>
        <v>26632991169.909599</v>
      </c>
      <c r="K61" s="844">
        <f>'Present Value'!I42</f>
        <v>624439382.8206991</v>
      </c>
      <c r="L61" s="1180">
        <f>K61/Assumptions!$C$3</f>
        <v>2.5944797358347144E-4</v>
      </c>
      <c r="M61" s="1351">
        <f>IF(Master!L61&lt;0.01%,"&lt; 0.01%", Master!L61)</f>
        <v>2.5944797358347144E-4</v>
      </c>
      <c r="N61" s="1199"/>
      <c r="O61" s="314"/>
      <c r="P61" s="314"/>
      <c r="Q61" s="314"/>
      <c r="R61" s="314"/>
    </row>
    <row r="62" spans="1:18" s="858" customFormat="1" ht="14.5" customHeight="1" outlineLevel="1" x14ac:dyDescent="0.35">
      <c r="A62" s="896"/>
      <c r="B62" s="1047"/>
      <c r="C62" s="1099" t="s">
        <v>1165</v>
      </c>
      <c r="D62" s="1099" t="s">
        <v>1138</v>
      </c>
      <c r="E62" s="1099"/>
      <c r="F62" s="1099"/>
      <c r="G62" s="1099"/>
      <c r="H62" s="1099"/>
      <c r="I62" s="1100"/>
      <c r="J62" s="1100"/>
      <c r="K62" s="1099"/>
      <c r="L62" s="1099"/>
      <c r="M62" s="1364"/>
      <c r="N62" s="1207">
        <f>SUM(N59:N61)</f>
        <v>819475035.65971327</v>
      </c>
      <c r="O62" s="857"/>
      <c r="P62" s="857"/>
      <c r="Q62" s="857"/>
      <c r="R62" s="857"/>
    </row>
    <row r="63" spans="1:18" s="116" customFormat="1" ht="14.5" customHeight="1" outlineLevel="1" x14ac:dyDescent="0.35">
      <c r="A63" s="897"/>
      <c r="B63" s="891"/>
      <c r="C63" s="888" t="s">
        <v>981</v>
      </c>
      <c r="D63" s="859" t="s">
        <v>1402</v>
      </c>
      <c r="E63" s="1072">
        <f>'Native vegetation'!F21</f>
        <v>55780000</v>
      </c>
      <c r="F63" s="1073" t="s">
        <v>129</v>
      </c>
      <c r="G63" s="860">
        <f>'Native vegetation'!F22</f>
        <v>55</v>
      </c>
      <c r="H63" s="1074">
        <v>2016</v>
      </c>
      <c r="I63" s="861">
        <f>'Native vegetation'!F23</f>
        <v>3067900000</v>
      </c>
      <c r="J63" s="861">
        <f>'Native vegetation'!G24</f>
        <v>3362418400.0000005</v>
      </c>
      <c r="K63" s="844">
        <f>'Present Value'!I44</f>
        <v>78835548.627867073</v>
      </c>
      <c r="L63" s="1180">
        <f>K63/Assumptions!$C$3</f>
        <v>3.2755338469281649E-5</v>
      </c>
      <c r="M63" s="1351" t="str">
        <f>IF(Master!L63&lt;0.01%,"&lt; 0.01%", Master!L63)</f>
        <v>&lt; 0.01%</v>
      </c>
      <c r="N63" s="1199"/>
      <c r="O63" s="314"/>
      <c r="P63" s="314"/>
      <c r="Q63" s="314"/>
      <c r="R63" s="314"/>
    </row>
    <row r="64" spans="1:18" outlineLevel="1" x14ac:dyDescent="0.35">
      <c r="A64" s="894"/>
      <c r="B64" s="1048"/>
      <c r="C64" s="1101"/>
      <c r="D64" s="1102" t="s">
        <v>110</v>
      </c>
      <c r="E64" s="1103"/>
      <c r="F64" s="1104"/>
      <c r="G64" s="1049"/>
      <c r="H64" s="1104"/>
      <c r="I64" s="1050"/>
      <c r="J64" s="1105">
        <f>SUM(J59:J63)</f>
        <v>72602763184.849258</v>
      </c>
      <c r="K64" s="1105">
        <f>SUM(K59:K61,K63)</f>
        <v>1702250578.8026564</v>
      </c>
      <c r="L64" s="1186">
        <f>SUM(L59:L61)</f>
        <v>6.7451181243758903E-4</v>
      </c>
      <c r="M64" s="1365">
        <f>IF(Master!L64&lt;0.01%,"&lt; 0.01%", Master!L64)</f>
        <v>6.7451181243758903E-4</v>
      </c>
      <c r="N64" s="1208"/>
    </row>
    <row r="65" spans="1:18" outlineLevel="1" x14ac:dyDescent="0.35">
      <c r="A65" s="894"/>
      <c r="B65" s="891"/>
      <c r="C65" s="888"/>
      <c r="D65" s="1066" t="s">
        <v>113</v>
      </c>
      <c r="E65" s="1066"/>
      <c r="F65" s="1066"/>
      <c r="G65" s="1066"/>
      <c r="H65" s="1066"/>
      <c r="I65" s="1066"/>
      <c r="J65" s="844">
        <f>J64*Assumptions!$C$7</f>
        <v>7260276318.4849262</v>
      </c>
      <c r="K65" s="844">
        <f>'Present Value'!I45</f>
        <v>170225057.88026565</v>
      </c>
      <c r="L65" s="1182">
        <f>K65/Assumptions!$C$3</f>
        <v>7.0726715090687077E-5</v>
      </c>
      <c r="M65" s="1354" t="str">
        <f>IF(Master!L65&lt;0.01%,"&lt; 0.01%", Master!L65)</f>
        <v>&lt; 0.01%</v>
      </c>
      <c r="N65" s="1201"/>
    </row>
    <row r="66" spans="1:18" outlineLevel="1" x14ac:dyDescent="0.35">
      <c r="A66" s="894"/>
      <c r="B66" s="1048"/>
      <c r="C66" s="1101"/>
      <c r="D66" s="1106" t="s">
        <v>975</v>
      </c>
      <c r="E66" s="1106"/>
      <c r="F66" s="1106"/>
      <c r="G66" s="1106"/>
      <c r="H66" s="1106"/>
      <c r="I66" s="1106"/>
      <c r="J66" s="1107">
        <f>J64+J65</f>
        <v>79863039503.334183</v>
      </c>
      <c r="K66" s="1107">
        <f>K64+K65</f>
        <v>1872475636.6829221</v>
      </c>
      <c r="L66" s="1186">
        <f>L65+L64</f>
        <v>7.4523852752827612E-4</v>
      </c>
      <c r="M66" s="1365">
        <f>IF(Master!L66&lt;0.01%,"&lt; 0.01%", Master!L66)</f>
        <v>7.4523852752827612E-4</v>
      </c>
      <c r="N66" s="1208"/>
    </row>
    <row r="67" spans="1:18" outlineLevel="1" x14ac:dyDescent="0.35">
      <c r="A67" s="894"/>
      <c r="B67" s="1600" t="s">
        <v>116</v>
      </c>
      <c r="C67" s="1601"/>
      <c r="D67" s="1601"/>
      <c r="E67" s="842"/>
      <c r="F67" s="842"/>
      <c r="G67" s="842"/>
      <c r="H67" s="842"/>
      <c r="I67" s="842"/>
      <c r="J67" s="842"/>
      <c r="K67" s="842"/>
      <c r="L67" s="842"/>
      <c r="M67" s="1355"/>
      <c r="N67" s="1197"/>
      <c r="O67" s="329"/>
      <c r="P67" s="329"/>
    </row>
    <row r="68" spans="1:18" s="116" customFormat="1" outlineLevel="1" x14ac:dyDescent="0.35">
      <c r="A68" s="897"/>
      <c r="B68" s="891"/>
      <c r="C68" s="888" t="s">
        <v>982</v>
      </c>
      <c r="D68" s="859" t="s">
        <v>1274</v>
      </c>
      <c r="E68" s="1072">
        <f>'Native vegetation'!F30</f>
        <v>12909982.009063587</v>
      </c>
      <c r="F68" s="1073" t="s">
        <v>129</v>
      </c>
      <c r="G68" s="860">
        <f>'Native vegetation'!F32</f>
        <v>6.25</v>
      </c>
      <c r="H68" s="1074">
        <v>2020</v>
      </c>
      <c r="I68" s="861">
        <f>'Native vegetation'!F33</f>
        <v>2689579.5852215802</v>
      </c>
      <c r="J68" s="861">
        <f>'Native vegetation'!G34</f>
        <v>2947779.2254028521</v>
      </c>
      <c r="K68" s="844">
        <f>'Present Value'!I46</f>
        <v>28427039.407099452</v>
      </c>
      <c r="L68" s="1180">
        <f>K68/Assumptions!$C$3</f>
        <v>1.1811134870824103E-5</v>
      </c>
      <c r="M68" s="1351" t="str">
        <f>IF(Master!L68&lt;0.01%,"&lt; 0.01%", Master!L68)</f>
        <v>&lt; 0.01%</v>
      </c>
      <c r="N68" s="1199"/>
      <c r="O68" s="314"/>
      <c r="P68" s="314"/>
      <c r="Q68" s="314"/>
      <c r="R68" s="314"/>
    </row>
    <row r="69" spans="1:18" s="116" customFormat="1" outlineLevel="1" x14ac:dyDescent="0.35">
      <c r="A69" s="897"/>
      <c r="B69" s="891"/>
      <c r="C69" s="888" t="s">
        <v>1201</v>
      </c>
      <c r="D69" s="859" t="s">
        <v>1275</v>
      </c>
      <c r="E69" s="1072">
        <f>'Native vegetation'!F36</f>
        <v>55780000</v>
      </c>
      <c r="F69" s="1073" t="s">
        <v>129</v>
      </c>
      <c r="G69" s="1250">
        <f>'Native vegetation'!F38</f>
        <v>0.05</v>
      </c>
      <c r="H69" s="1074">
        <v>2020</v>
      </c>
      <c r="I69" s="861">
        <f>'Native vegetation'!F39</f>
        <v>92966.666666666672</v>
      </c>
      <c r="J69" s="861">
        <f>'Native vegetation'!G40</f>
        <v>101891.46666666667</v>
      </c>
      <c r="K69" s="844">
        <f>'Present Value'!I47</f>
        <v>982594.86776342732</v>
      </c>
      <c r="L69" s="1180">
        <f>K69/Assumptions!$C$3</f>
        <v>4.0825779780763975E-7</v>
      </c>
      <c r="M69" s="1351" t="str">
        <f>IF(Master!L69&lt;0.01%,"&lt; 0.01%", Master!L69)</f>
        <v>&lt; 0.01%</v>
      </c>
      <c r="N69" s="1199"/>
      <c r="O69" s="314"/>
      <c r="P69" s="314"/>
      <c r="Q69" s="314"/>
      <c r="R69" s="314"/>
    </row>
    <row r="70" spans="1:18" outlineLevel="1" x14ac:dyDescent="0.35">
      <c r="A70" s="894"/>
      <c r="B70" s="1048"/>
      <c r="C70" s="1101"/>
      <c r="D70" s="1102" t="s">
        <v>976</v>
      </c>
      <c r="E70" s="1103"/>
      <c r="F70" s="1104"/>
      <c r="G70" s="1049"/>
      <c r="H70" s="1104"/>
      <c r="I70" s="1050"/>
      <c r="J70" s="1107">
        <f>SUM(J68:J68)</f>
        <v>2947779.2254028521</v>
      </c>
      <c r="K70" s="1107">
        <f>SUM(K68:K69)</f>
        <v>29409634.274862878</v>
      </c>
      <c r="L70" s="1186">
        <f>SUM(L68:L68)</f>
        <v>1.1811134870824103E-5</v>
      </c>
      <c r="M70" s="1365" t="str">
        <f>IF(Master!L70&lt;0.01%,"&lt; 0.01%", Master!L70)</f>
        <v>&lt; 0.01%</v>
      </c>
      <c r="N70" s="1208"/>
    </row>
    <row r="71" spans="1:18" outlineLevel="1" x14ac:dyDescent="0.35">
      <c r="A71" s="894"/>
      <c r="B71" s="1051"/>
      <c r="C71" s="1108"/>
      <c r="D71" s="1109" t="s">
        <v>107</v>
      </c>
      <c r="E71" s="1109"/>
      <c r="F71" s="1109"/>
      <c r="G71" s="1109"/>
      <c r="H71" s="1109"/>
      <c r="I71" s="1109"/>
      <c r="J71" s="1110">
        <f>SUM(J66,J70)</f>
        <v>79865987282.559586</v>
      </c>
      <c r="K71" s="1110">
        <f>SUM(K66,K70)</f>
        <v>1901885270.9577849</v>
      </c>
      <c r="L71" s="1187">
        <f>SUM(L66,L70)</f>
        <v>7.5704966239910018E-4</v>
      </c>
      <c r="M71" s="1366">
        <f>IF(Master!L71&lt;0.01%,"&lt; 0.01%", Master!L71)</f>
        <v>7.5704966239910018E-4</v>
      </c>
      <c r="N71" s="1209">
        <f>SUM(N59:N61,N63,N65,N68)</f>
        <v>819475035.65971327</v>
      </c>
    </row>
    <row r="72" spans="1:18" x14ac:dyDescent="0.35">
      <c r="A72" s="894"/>
      <c r="B72" s="197"/>
      <c r="C72" s="2"/>
      <c r="D72" s="346"/>
      <c r="E72" s="1111"/>
      <c r="F72" s="2"/>
      <c r="G72" s="2"/>
      <c r="H72" s="2"/>
      <c r="I72" s="2"/>
      <c r="J72" s="2"/>
      <c r="K72" s="41"/>
      <c r="L72" s="1188"/>
      <c r="M72" s="1367"/>
      <c r="N72" s="1206"/>
    </row>
    <row r="73" spans="1:18" x14ac:dyDescent="0.35">
      <c r="A73" s="894"/>
      <c r="B73" s="1606" t="s">
        <v>145</v>
      </c>
      <c r="C73" s="1607"/>
      <c r="D73" s="1607"/>
      <c r="E73" s="1607"/>
      <c r="F73" s="1607"/>
      <c r="G73" s="1607"/>
      <c r="H73" s="1607"/>
      <c r="I73" s="1607"/>
      <c r="J73" s="1607"/>
      <c r="K73" s="1607"/>
      <c r="L73" s="1607"/>
      <c r="M73" s="1608"/>
      <c r="N73" s="1607"/>
    </row>
    <row r="74" spans="1:18" outlineLevel="1" x14ac:dyDescent="0.35">
      <c r="A74" s="894"/>
      <c r="B74" s="1604" t="s">
        <v>934</v>
      </c>
      <c r="C74" s="1605"/>
      <c r="D74" s="1605"/>
      <c r="E74" s="847" t="s">
        <v>953</v>
      </c>
      <c r="F74" s="847" t="s">
        <v>123</v>
      </c>
      <c r="G74" s="847" t="s">
        <v>124</v>
      </c>
      <c r="H74" s="847" t="s">
        <v>125</v>
      </c>
      <c r="I74" s="847" t="s">
        <v>126</v>
      </c>
      <c r="J74" s="847" t="s">
        <v>954</v>
      </c>
      <c r="K74" s="847" t="s">
        <v>1309</v>
      </c>
      <c r="L74" s="847" t="s">
        <v>108</v>
      </c>
      <c r="M74" s="1359" t="str">
        <f>IF(Master!L74&lt;0.01%,"&lt; 0.01%", Master!L74)</f>
        <v>% of GDP</v>
      </c>
      <c r="N74" s="1196"/>
    </row>
    <row r="75" spans="1:18" outlineLevel="1" x14ac:dyDescent="0.35">
      <c r="A75" s="894"/>
      <c r="B75" s="1600" t="s">
        <v>115</v>
      </c>
      <c r="C75" s="1601"/>
      <c r="D75" s="1601"/>
      <c r="E75" s="842"/>
      <c r="F75" s="842"/>
      <c r="G75" s="842"/>
      <c r="H75" s="842"/>
      <c r="I75" s="842"/>
      <c r="J75" s="842"/>
      <c r="K75" s="842"/>
      <c r="L75" s="842"/>
      <c r="M75" s="1355"/>
      <c r="N75" s="1197"/>
    </row>
    <row r="76" spans="1:18" s="858" customFormat="1" ht="14.5" customHeight="1" outlineLevel="1" x14ac:dyDescent="0.35">
      <c r="A76" s="896"/>
      <c r="B76" s="1026"/>
      <c r="C76" s="1112" t="s">
        <v>1166</v>
      </c>
      <c r="D76" s="1112" t="s">
        <v>1337</v>
      </c>
      <c r="E76" s="1112"/>
      <c r="F76" s="1112"/>
      <c r="G76" s="1112"/>
      <c r="H76" s="1112"/>
      <c r="I76" s="1113"/>
      <c r="J76" s="1113"/>
      <c r="K76" s="1112"/>
      <c r="L76" s="1112"/>
      <c r="M76" s="1368"/>
      <c r="N76" s="1210"/>
      <c r="O76" s="857"/>
      <c r="P76" s="857"/>
      <c r="Q76" s="857"/>
      <c r="R76" s="857"/>
    </row>
    <row r="77" spans="1:18" s="116" customFormat="1" outlineLevel="1" x14ac:dyDescent="0.35">
      <c r="A77" s="897"/>
      <c r="B77" s="891"/>
      <c r="C77" s="888" t="s">
        <v>1065</v>
      </c>
      <c r="D77" s="1114" t="s">
        <v>1384</v>
      </c>
      <c r="E77" s="1072"/>
      <c r="F77" s="1073"/>
      <c r="G77" s="860"/>
      <c r="H77" s="1074">
        <v>2022</v>
      </c>
      <c r="I77" s="861">
        <f>'Threatened Species'!$F$7</f>
        <v>1347306194.7185886</v>
      </c>
      <c r="J77" s="861">
        <f>'Threatened Species'!$G$8</f>
        <v>1347306194.7185886</v>
      </c>
      <c r="K77" s="844">
        <f>'Present Value'!I51</f>
        <v>1173969390.9578581</v>
      </c>
      <c r="L77" s="1180">
        <f>K77/Assumptions!$C$3</f>
        <v>4.8777189253691961E-4</v>
      </c>
      <c r="M77" s="1351">
        <f>IF(Master!L77&lt;0.01%,"&lt; 0.01%", Master!L77)</f>
        <v>4.8777189253691961E-4</v>
      </c>
      <c r="N77" s="1199"/>
      <c r="O77" s="314"/>
      <c r="P77" s="314"/>
      <c r="Q77" s="314"/>
      <c r="R77" s="314"/>
    </row>
    <row r="78" spans="1:18" outlineLevel="1" x14ac:dyDescent="0.35">
      <c r="A78" s="894"/>
      <c r="B78" s="1027"/>
      <c r="C78" s="1115"/>
      <c r="D78" s="1116" t="s">
        <v>110</v>
      </c>
      <c r="E78" s="1117"/>
      <c r="F78" s="1118"/>
      <c r="G78" s="1028"/>
      <c r="H78" s="1118"/>
      <c r="I78" s="1029"/>
      <c r="J78" s="1119">
        <f>SUM(J77:J77)</f>
        <v>1347306194.7185886</v>
      </c>
      <c r="K78" s="1119">
        <f>SUM(K77:K77)</f>
        <v>1173969390.9578581</v>
      </c>
      <c r="L78" s="1189">
        <f>SUM(L77:L77)</f>
        <v>4.8777189253691961E-4</v>
      </c>
      <c r="M78" s="1369">
        <f>IF(Master!L78&lt;0.01%,"&lt; 0.01%", Master!L78)</f>
        <v>4.8777189253691961E-4</v>
      </c>
      <c r="N78" s="1211"/>
    </row>
    <row r="79" spans="1:18" outlineLevel="1" x14ac:dyDescent="0.35">
      <c r="A79" s="894"/>
      <c r="B79" s="891"/>
      <c r="C79" s="888"/>
      <c r="D79" s="1066" t="s">
        <v>113</v>
      </c>
      <c r="E79" s="1066"/>
      <c r="F79" s="1066"/>
      <c r="G79" s="1066"/>
      <c r="H79" s="1066"/>
      <c r="I79" s="1066"/>
      <c r="J79" s="844">
        <f>J78*Assumptions!$C$7</f>
        <v>134730619.47185886</v>
      </c>
      <c r="K79" s="844">
        <f>'Present Value'!I52</f>
        <v>117396939.09578581</v>
      </c>
      <c r="L79" s="1182">
        <f>K79/Assumptions!$C$3</f>
        <v>4.8777189253691959E-5</v>
      </c>
      <c r="M79" s="1354" t="str">
        <f>IF(Master!L79&lt;0.01%,"&lt; 0.01%", Master!L79)</f>
        <v>&lt; 0.01%</v>
      </c>
      <c r="N79" s="1201"/>
    </row>
    <row r="80" spans="1:18" outlineLevel="1" x14ac:dyDescent="0.35">
      <c r="A80" s="894"/>
      <c r="B80" s="1027"/>
      <c r="C80" s="1115"/>
      <c r="D80" s="1120" t="s">
        <v>975</v>
      </c>
      <c r="E80" s="1120"/>
      <c r="F80" s="1120"/>
      <c r="G80" s="1120"/>
      <c r="H80" s="1120"/>
      <c r="I80" s="1120"/>
      <c r="J80" s="1121">
        <f>J78+J79</f>
        <v>1482036814.1904473</v>
      </c>
      <c r="K80" s="1121">
        <f>K78+K79</f>
        <v>1291366330.0536439</v>
      </c>
      <c r="L80" s="1189">
        <f>L79+L78</f>
        <v>5.365490817906116E-4</v>
      </c>
      <c r="M80" s="1369">
        <f>IF(Master!L80&lt;0.01%,"&lt; 0.01%", Master!L80)</f>
        <v>5.365490817906116E-4</v>
      </c>
      <c r="N80" s="1211"/>
    </row>
    <row r="81" spans="1:18" outlineLevel="1" x14ac:dyDescent="0.35">
      <c r="A81" s="894"/>
      <c r="B81" s="1600" t="s">
        <v>116</v>
      </c>
      <c r="C81" s="1601"/>
      <c r="D81" s="1601"/>
      <c r="E81" s="842"/>
      <c r="F81" s="842"/>
      <c r="G81" s="842"/>
      <c r="H81" s="842"/>
      <c r="I81" s="842"/>
      <c r="J81" s="842"/>
      <c r="K81" s="842"/>
      <c r="L81" s="842"/>
      <c r="M81" s="1355"/>
      <c r="N81" s="1197"/>
      <c r="O81" s="329"/>
      <c r="P81" s="329"/>
    </row>
    <row r="82" spans="1:18" s="116" customFormat="1" outlineLevel="1" x14ac:dyDescent="0.35">
      <c r="A82" s="897"/>
      <c r="B82" s="891"/>
      <c r="C82" s="888"/>
      <c r="D82" s="859" t="s">
        <v>1064</v>
      </c>
      <c r="E82" s="956"/>
      <c r="F82" s="1073"/>
      <c r="G82" s="860"/>
      <c r="H82" s="1074"/>
      <c r="I82" s="939"/>
      <c r="J82" s="861"/>
      <c r="K82" s="844">
        <f>J82/Assumptions!$C$4</f>
        <v>0</v>
      </c>
      <c r="L82" s="1180">
        <f>K82/Assumptions!$C$3</f>
        <v>0</v>
      </c>
      <c r="M82" s="1351" t="str">
        <f>IF(Master!L82&lt;0.01%,"&lt; 0.01%", Master!L82)</f>
        <v>&lt; 0.01%</v>
      </c>
      <c r="N82" s="1199"/>
      <c r="O82" s="314"/>
      <c r="P82" s="314"/>
      <c r="Q82" s="314"/>
      <c r="R82" s="314"/>
    </row>
    <row r="83" spans="1:18" outlineLevel="1" x14ac:dyDescent="0.35">
      <c r="A83" s="894"/>
      <c r="B83" s="1027"/>
      <c r="C83" s="1115"/>
      <c r="D83" s="1116" t="s">
        <v>976</v>
      </c>
      <c r="E83" s="1117"/>
      <c r="F83" s="1118"/>
      <c r="G83" s="1028"/>
      <c r="H83" s="1118"/>
      <c r="I83" s="1029"/>
      <c r="J83" s="1121">
        <f>SUM(J82:J82)</f>
        <v>0</v>
      </c>
      <c r="K83" s="1121">
        <f>SUM(K82:K82)</f>
        <v>0</v>
      </c>
      <c r="L83" s="1189">
        <f>SUM(L82:L82)</f>
        <v>0</v>
      </c>
      <c r="M83" s="1369" t="str">
        <f>IF(Master!L83&lt;0.01%,"&lt; 0.01%", Master!L83)</f>
        <v>&lt; 0.01%</v>
      </c>
      <c r="N83" s="1211"/>
    </row>
    <row r="84" spans="1:18" outlineLevel="1" x14ac:dyDescent="0.35">
      <c r="A84" s="894"/>
      <c r="B84" s="1122"/>
      <c r="C84" s="1122"/>
      <c r="D84" s="1123" t="s">
        <v>107</v>
      </c>
      <c r="E84" s="1123"/>
      <c r="F84" s="1123"/>
      <c r="G84" s="1123"/>
      <c r="H84" s="1123"/>
      <c r="I84" s="1123"/>
      <c r="J84" s="1124">
        <f>SUM(J80,J83)</f>
        <v>1482036814.1904473</v>
      </c>
      <c r="K84" s="1124">
        <f>SUM(K80,K83)</f>
        <v>1291366330.0536439</v>
      </c>
      <c r="L84" s="1190">
        <f>SUM(L80,L83)</f>
        <v>5.365490817906116E-4</v>
      </c>
      <c r="M84" s="1370">
        <f>IF(Master!L84&lt;0.01%,"&lt; 0.01%", Master!L84)</f>
        <v>5.365490817906116E-4</v>
      </c>
      <c r="N84" s="1212"/>
    </row>
    <row r="85" spans="1:18" s="2" customFormat="1" x14ac:dyDescent="0.35">
      <c r="B85" s="197"/>
      <c r="M85" s="1357"/>
      <c r="N85" s="1194"/>
    </row>
    <row r="86" spans="1:18" s="116" customFormat="1" collapsed="1" x14ac:dyDescent="0.35">
      <c r="A86" s="897"/>
      <c r="B86" s="1611" t="s">
        <v>1062</v>
      </c>
      <c r="C86" s="1612"/>
      <c r="D86" s="1612"/>
      <c r="E86" s="1125"/>
      <c r="F86" s="1125"/>
      <c r="G86" s="1125"/>
      <c r="H86" s="1125"/>
      <c r="I86" s="1125"/>
      <c r="J86" s="1125"/>
      <c r="K86" s="1125"/>
      <c r="L86" s="1125"/>
      <c r="M86" s="1371"/>
      <c r="N86" s="1213"/>
      <c r="O86" s="314"/>
      <c r="P86" s="314"/>
      <c r="Q86" s="314"/>
      <c r="R86" s="314"/>
    </row>
    <row r="87" spans="1:18" outlineLevel="1" x14ac:dyDescent="0.35">
      <c r="A87" s="894"/>
      <c r="B87" s="1604" t="s">
        <v>934</v>
      </c>
      <c r="C87" s="1605"/>
      <c r="D87" s="1605"/>
      <c r="E87" s="847" t="s">
        <v>953</v>
      </c>
      <c r="F87" s="847" t="s">
        <v>123</v>
      </c>
      <c r="G87" s="847" t="s">
        <v>124</v>
      </c>
      <c r="H87" s="847" t="s">
        <v>125</v>
      </c>
      <c r="I87" s="847" t="s">
        <v>126</v>
      </c>
      <c r="J87" s="847" t="s">
        <v>954</v>
      </c>
      <c r="K87" s="847" t="s">
        <v>1309</v>
      </c>
      <c r="L87" s="847" t="s">
        <v>108</v>
      </c>
      <c r="M87" s="1359" t="str">
        <f>IF(Master!L87&lt;0.01%,"&lt; 0.01%", Master!L87)</f>
        <v>% of GDP</v>
      </c>
      <c r="N87" s="1196"/>
    </row>
    <row r="88" spans="1:18" outlineLevel="1" x14ac:dyDescent="0.35">
      <c r="A88" s="894"/>
      <c r="B88" s="1600" t="s">
        <v>115</v>
      </c>
      <c r="C88" s="1601"/>
      <c r="D88" s="1601"/>
      <c r="E88" s="842"/>
      <c r="F88" s="842"/>
      <c r="G88" s="842"/>
      <c r="H88" s="842"/>
      <c r="I88" s="842"/>
      <c r="J88" s="842"/>
      <c r="K88" s="842"/>
      <c r="L88" s="842"/>
      <c r="M88" s="1355"/>
      <c r="N88" s="1197"/>
    </row>
    <row r="89" spans="1:18" s="858" customFormat="1" ht="14.5" customHeight="1" outlineLevel="1" x14ac:dyDescent="0.35">
      <c r="A89" s="896"/>
      <c r="B89" s="1000"/>
      <c r="C89" s="999" t="s">
        <v>1214</v>
      </c>
      <c r="D89" s="999" t="s">
        <v>1140</v>
      </c>
      <c r="E89" s="999"/>
      <c r="F89" s="999"/>
      <c r="G89" s="999"/>
      <c r="H89" s="999"/>
      <c r="I89" s="1126"/>
      <c r="J89" s="1126"/>
      <c r="K89" s="999"/>
      <c r="L89" s="999"/>
      <c r="M89" s="1372"/>
      <c r="N89" s="1214"/>
      <c r="O89" s="857"/>
      <c r="P89" s="857"/>
      <c r="Q89" s="857"/>
      <c r="R89" s="857"/>
    </row>
    <row r="90" spans="1:18" s="116" customFormat="1" outlineLevel="1" x14ac:dyDescent="0.35">
      <c r="A90" s="897"/>
      <c r="B90" s="891"/>
      <c r="C90" s="888" t="s">
        <v>1204</v>
      </c>
      <c r="D90" s="859" t="s">
        <v>1379</v>
      </c>
      <c r="E90" s="1072">
        <f>'Coastal Environments'!G7</f>
        <v>140954</v>
      </c>
      <c r="F90" s="1073" t="s">
        <v>129</v>
      </c>
      <c r="G90" s="860">
        <f>'Coastal Environments'!$G$8</f>
        <v>5217.391304347826</v>
      </c>
      <c r="H90" s="1074">
        <v>2012</v>
      </c>
      <c r="I90" s="861">
        <f>'Coastal Environments'!$G$9</f>
        <v>735412173.9130435</v>
      </c>
      <c r="J90" s="861">
        <f>'Coastal Environments'!$H$10</f>
        <v>926619339.13043487</v>
      </c>
      <c r="K90" s="844">
        <f>'Present Value'!I57</f>
        <v>21725596.067859802</v>
      </c>
      <c r="L90" s="1180">
        <f>K90/Assumptions!$C$3</f>
        <v>9.0267558865962282E-6</v>
      </c>
      <c r="M90" s="1351" t="str">
        <f>IF(Master!L90&lt;0.01%,"&lt; 0.01%", Master!L90)</f>
        <v>&lt; 0.01%</v>
      </c>
      <c r="N90" s="1199"/>
      <c r="O90" s="314"/>
      <c r="P90" s="314"/>
      <c r="Q90" s="314"/>
      <c r="R90" s="314"/>
    </row>
    <row r="91" spans="1:18" s="116" customFormat="1" outlineLevel="1" x14ac:dyDescent="0.35">
      <c r="A91" s="897"/>
      <c r="B91" s="891"/>
      <c r="C91" s="888" t="s">
        <v>1205</v>
      </c>
      <c r="D91" s="859" t="s">
        <v>1380</v>
      </c>
      <c r="E91" s="1072" t="e">
        <f>'Coastal Environments'!#REF!</f>
        <v>#REF!</v>
      </c>
      <c r="F91" s="1073" t="s">
        <v>129</v>
      </c>
      <c r="G91" s="860" t="e">
        <f>'Coastal Environments'!#REF!</f>
        <v>#REF!</v>
      </c>
      <c r="H91" s="1074">
        <v>2014</v>
      </c>
      <c r="I91" s="861">
        <f>'Coastal Environments'!$G$13</f>
        <v>169928080.33500499</v>
      </c>
      <c r="J91" s="861">
        <f>'Coastal Environments'!$H$14</f>
        <v>203913696.40200597</v>
      </c>
      <c r="K91" s="844">
        <f>'Present Value'!I58</f>
        <v>5328717.0944470381</v>
      </c>
      <c r="L91" s="1180">
        <f>K91/Assumptions!$C$3</f>
        <v>2.2140257164895457E-6</v>
      </c>
      <c r="M91" s="1351" t="str">
        <f>IF(Master!L91&lt;0.01%,"&lt; 0.01%", Master!L91)</f>
        <v>&lt; 0.01%</v>
      </c>
      <c r="N91" s="1199"/>
      <c r="O91" s="314"/>
      <c r="P91" s="314"/>
      <c r="Q91" s="314"/>
      <c r="R91" s="314"/>
    </row>
    <row r="92" spans="1:18" s="116" customFormat="1" outlineLevel="1" x14ac:dyDescent="0.35">
      <c r="A92" s="897"/>
      <c r="B92" s="891"/>
      <c r="C92" s="888" t="s">
        <v>1206</v>
      </c>
      <c r="D92" s="859" t="s">
        <v>1381</v>
      </c>
      <c r="E92" s="1072">
        <f>'Coastal Environments'!$G$16</f>
        <v>1000</v>
      </c>
      <c r="F92" s="1073" t="s">
        <v>129</v>
      </c>
      <c r="G92" s="860">
        <f>'Coastal Environments'!$G$17</f>
        <v>145405.19999999998</v>
      </c>
      <c r="H92" s="1074">
        <v>2010</v>
      </c>
      <c r="I92" s="861">
        <f>'Coastal Environments'!$G$18</f>
        <v>145405199.99999997</v>
      </c>
      <c r="J92" s="861">
        <f>'Coastal Environments'!$H$19</f>
        <v>192661889.99999994</v>
      </c>
      <c r="K92" s="844">
        <f>'Present Value'!I59</f>
        <v>3944805.4321402968</v>
      </c>
      <c r="L92" s="1180">
        <f>K92/Assumptions!$C$3</f>
        <v>1.6390250258186376E-6</v>
      </c>
      <c r="M92" s="1351" t="str">
        <f>IF(Master!L92&lt;0.01%,"&lt; 0.01%", Master!L92)</f>
        <v>&lt; 0.01%</v>
      </c>
      <c r="N92" s="1199"/>
      <c r="O92" s="314"/>
      <c r="P92" s="314"/>
      <c r="Q92" s="314"/>
      <c r="R92" s="314"/>
    </row>
    <row r="93" spans="1:18" s="116" customFormat="1" outlineLevel="1" x14ac:dyDescent="0.35">
      <c r="A93" s="897"/>
      <c r="B93" s="891"/>
      <c r="C93" s="888" t="s">
        <v>1207</v>
      </c>
      <c r="D93" s="859" t="s">
        <v>1382</v>
      </c>
      <c r="E93" s="1072">
        <f>'Coastal Environments'!$G$21</f>
        <v>920</v>
      </c>
      <c r="F93" s="1073" t="s">
        <v>129</v>
      </c>
      <c r="G93" s="860">
        <f>'Coastal Environments'!$G$22</f>
        <v>165000</v>
      </c>
      <c r="H93" s="1074">
        <v>2018</v>
      </c>
      <c r="I93" s="861">
        <f>'Coastal Environments'!$G$23</f>
        <v>151800000</v>
      </c>
      <c r="J93" s="861">
        <f>'Coastal Environments'!$H$24</f>
        <v>170623200.00000003</v>
      </c>
      <c r="K93" s="844">
        <f>'Present Value'!I60</f>
        <v>3307173.0495744762</v>
      </c>
      <c r="L93" s="1180">
        <f>K93/Assumptions!$C$3</f>
        <v>1.374095500072493E-6</v>
      </c>
      <c r="M93" s="1351" t="str">
        <f>IF(Master!L93&lt;0.01%,"&lt; 0.01%", Master!L93)</f>
        <v>&lt; 0.01%</v>
      </c>
      <c r="N93" s="1199"/>
      <c r="O93" s="314"/>
      <c r="P93" s="314"/>
      <c r="Q93" s="314"/>
      <c r="R93" s="314"/>
    </row>
    <row r="94" spans="1:18" outlineLevel="1" x14ac:dyDescent="0.35">
      <c r="A94" s="894"/>
      <c r="B94" s="1001"/>
      <c r="C94" s="1127"/>
      <c r="D94" s="1128" t="s">
        <v>110</v>
      </c>
      <c r="E94" s="1129"/>
      <c r="F94" s="1130"/>
      <c r="G94" s="1002"/>
      <c r="H94" s="1130"/>
      <c r="I94" s="1003"/>
      <c r="J94" s="1131">
        <f>SUM(J90:J93)</f>
        <v>1493818125.5324409</v>
      </c>
      <c r="K94" s="1131">
        <f>SUM(K90:K93)</f>
        <v>34306291.644021615</v>
      </c>
      <c r="L94" s="1191">
        <f>SUM(L90:L93)</f>
        <v>1.4253902128976904E-5</v>
      </c>
      <c r="M94" s="1373" t="str">
        <f>IF(Master!L94&lt;0.01%,"&lt; 0.01%", Master!L94)</f>
        <v>&lt; 0.01%</v>
      </c>
      <c r="N94" s="1215"/>
    </row>
    <row r="95" spans="1:18" outlineLevel="1" x14ac:dyDescent="0.35">
      <c r="A95" s="894"/>
      <c r="B95" s="891"/>
      <c r="C95" s="888"/>
      <c r="D95" s="1066" t="s">
        <v>113</v>
      </c>
      <c r="E95" s="1066"/>
      <c r="F95" s="1066"/>
      <c r="G95" s="1066"/>
      <c r="H95" s="1066"/>
      <c r="I95" s="1066"/>
      <c r="J95" s="844">
        <f>J94*Assumptions!$C$7</f>
        <v>149381812.55324408</v>
      </c>
      <c r="K95" s="844">
        <f>'Present Value'!I61</f>
        <v>3430629.1644021613</v>
      </c>
      <c r="L95" s="1182">
        <f>K95/Assumptions!$C$3</f>
        <v>1.4253902128976904E-6</v>
      </c>
      <c r="M95" s="1354" t="str">
        <f>IF(Master!L95&lt;0.01%,"&lt; 0.01%", Master!L95)</f>
        <v>&lt; 0.01%</v>
      </c>
      <c r="N95" s="1201"/>
    </row>
    <row r="96" spans="1:18" outlineLevel="1" x14ac:dyDescent="0.35">
      <c r="A96" s="894"/>
      <c r="B96" s="1001"/>
      <c r="C96" s="1127"/>
      <c r="D96" s="1132" t="s">
        <v>975</v>
      </c>
      <c r="E96" s="1132"/>
      <c r="F96" s="1132"/>
      <c r="G96" s="1132"/>
      <c r="H96" s="1132"/>
      <c r="I96" s="1132"/>
      <c r="J96" s="1133">
        <f>J94+J95</f>
        <v>1643199938.085685</v>
      </c>
      <c r="K96" s="1133">
        <f>K94+K95</f>
        <v>37736920.80842378</v>
      </c>
      <c r="L96" s="1191">
        <f>L95+L94</f>
        <v>1.5679292341874595E-5</v>
      </c>
      <c r="M96" s="1373" t="str">
        <f>IF(Master!L96&lt;0.01%,"&lt; 0.01%", Master!L96)</f>
        <v>&lt; 0.01%</v>
      </c>
      <c r="N96" s="1215"/>
    </row>
    <row r="97" spans="1:18" outlineLevel="1" x14ac:dyDescent="0.35">
      <c r="A97" s="894"/>
      <c r="B97" s="1600" t="s">
        <v>116</v>
      </c>
      <c r="C97" s="1601"/>
      <c r="D97" s="1601"/>
      <c r="E97" s="842"/>
      <c r="F97" s="842"/>
      <c r="G97" s="842"/>
      <c r="H97" s="842"/>
      <c r="I97" s="842"/>
      <c r="J97" s="842"/>
      <c r="K97" s="842"/>
      <c r="L97" s="842"/>
      <c r="M97" s="1355"/>
      <c r="N97" s="1197"/>
      <c r="O97" s="329"/>
      <c r="P97" s="329"/>
    </row>
    <row r="98" spans="1:18" s="116" customFormat="1" outlineLevel="1" x14ac:dyDescent="0.35">
      <c r="A98" s="897"/>
      <c r="B98" s="891"/>
      <c r="C98" s="888" t="s">
        <v>1208</v>
      </c>
      <c r="D98" s="859" t="s">
        <v>1057</v>
      </c>
      <c r="E98" s="1072">
        <f>'Coastal Environments'!$G$30</f>
        <v>140954</v>
      </c>
      <c r="F98" s="1073" t="s">
        <v>129</v>
      </c>
      <c r="G98" s="860">
        <f>'Coastal Environments'!$G$31</f>
        <v>4.5514082675438594</v>
      </c>
      <c r="H98" s="1074">
        <v>2016</v>
      </c>
      <c r="I98" s="861">
        <f>'Coastal Environments'!$G$32</f>
        <v>641539.2009433771</v>
      </c>
      <c r="J98" s="861">
        <f>'Coastal Environments'!$H$33</f>
        <v>748676.24750092113</v>
      </c>
      <c r="K98" s="844">
        <f>'Present Value'!I62</f>
        <v>455407.47670856275</v>
      </c>
      <c r="L98" s="1180">
        <f>K98/Assumptions!$C$3</f>
        <v>1.8921700046059613E-7</v>
      </c>
      <c r="M98" s="1351" t="str">
        <f>IF(Master!L98&lt;0.01%,"&lt; 0.01%", Master!L98)</f>
        <v>&lt; 0.01%</v>
      </c>
      <c r="N98" s="1199"/>
      <c r="O98" s="314"/>
      <c r="P98" s="314"/>
      <c r="Q98" s="314"/>
      <c r="R98" s="314"/>
    </row>
    <row r="99" spans="1:18" s="116" customFormat="1" outlineLevel="1" x14ac:dyDescent="0.35">
      <c r="A99" s="897"/>
      <c r="B99" s="891"/>
      <c r="C99" s="888" t="s">
        <v>1210</v>
      </c>
      <c r="D99" s="859" t="s">
        <v>1219</v>
      </c>
      <c r="E99" s="1072" t="s">
        <v>1041</v>
      </c>
      <c r="F99" s="1073"/>
      <c r="G99" s="860" t="s">
        <v>1041</v>
      </c>
      <c r="H99" s="1134" t="s">
        <v>1041</v>
      </c>
      <c r="I99" s="939" t="s">
        <v>1041</v>
      </c>
      <c r="J99" s="939" t="s">
        <v>1041</v>
      </c>
      <c r="K99" s="939" t="s">
        <v>1041</v>
      </c>
      <c r="L99" s="939" t="s">
        <v>1041</v>
      </c>
      <c r="M99" s="1374" t="str">
        <f>IF(Master!L99&lt;0.01%,"&lt; 0.01%", Master!L99)</f>
        <v>n/a</v>
      </c>
      <c r="N99" s="1216"/>
      <c r="O99" s="314"/>
      <c r="P99" s="314"/>
      <c r="Q99" s="314"/>
      <c r="R99" s="314"/>
    </row>
    <row r="100" spans="1:18" s="116" customFormat="1" outlineLevel="1" x14ac:dyDescent="0.35">
      <c r="A100" s="897"/>
      <c r="B100" s="891"/>
      <c r="C100" s="888" t="s">
        <v>1211</v>
      </c>
      <c r="D100" s="859" t="s">
        <v>147</v>
      </c>
      <c r="E100" s="1072">
        <f>'Coastal Environments'!$G$35</f>
        <v>34800.259999999995</v>
      </c>
      <c r="F100" s="1073" t="s">
        <v>129</v>
      </c>
      <c r="G100" s="860">
        <f>'Coastal Environments'!$G$36</f>
        <v>16</v>
      </c>
      <c r="H100" s="1074">
        <v>2018</v>
      </c>
      <c r="I100" s="861">
        <f>'Coastal Environments'!$G$37</f>
        <v>556804.15999999992</v>
      </c>
      <c r="J100" s="861">
        <f>'Coastal Environments'!$H$38</f>
        <v>625847.87583999999</v>
      </c>
      <c r="K100" s="844">
        <f>'Present Value'!I64</f>
        <v>200808.48242758942</v>
      </c>
      <c r="L100" s="1180">
        <f>K100/Assumptions!$C$3</f>
        <v>8.3433805230010565E-8</v>
      </c>
      <c r="M100" s="1351" t="str">
        <f>IF(Master!L100&lt;0.01%,"&lt; 0.01%", Master!L100)</f>
        <v>&lt; 0.01%</v>
      </c>
      <c r="N100" s="1199"/>
      <c r="O100" s="314"/>
      <c r="P100" s="314"/>
      <c r="Q100" s="314"/>
      <c r="R100" s="314"/>
    </row>
    <row r="101" spans="1:18" s="116" customFormat="1" outlineLevel="1" x14ac:dyDescent="0.35">
      <c r="A101" s="897"/>
      <c r="B101" s="891"/>
      <c r="C101" s="888" t="s">
        <v>1213</v>
      </c>
      <c r="D101" s="859" t="s">
        <v>148</v>
      </c>
      <c r="E101" s="956">
        <f>'Coastal Environments'!$G$40*'Coastal Environments'!$G$41</f>
        <v>26.5</v>
      </c>
      <c r="F101" s="1073" t="s">
        <v>1063</v>
      </c>
      <c r="G101" s="860">
        <f>'Coastal Environments'!$G$42</f>
        <v>25000</v>
      </c>
      <c r="H101" s="1074">
        <v>2022</v>
      </c>
      <c r="I101" s="939">
        <f>'Coastal Environments'!$G$43</f>
        <v>662500</v>
      </c>
      <c r="J101" s="861">
        <f>'Coastal Environments'!$H$44</f>
        <v>662500</v>
      </c>
      <c r="K101" s="844">
        <f>'Present Value'!I65</f>
        <v>212568.62049698635</v>
      </c>
      <c r="L101" s="1180">
        <f>K101/Assumptions!$C$3</f>
        <v>8.8320018488028235E-8</v>
      </c>
      <c r="M101" s="1351" t="str">
        <f>IF(Master!L101&lt;0.01%,"&lt; 0.01%", Master!L101)</f>
        <v>&lt; 0.01%</v>
      </c>
      <c r="N101" s="1199"/>
      <c r="O101" s="314"/>
      <c r="P101" s="314"/>
      <c r="Q101" s="314"/>
      <c r="R101" s="314"/>
    </row>
    <row r="102" spans="1:18" outlineLevel="1" x14ac:dyDescent="0.35">
      <c r="A102" s="894"/>
      <c r="B102" s="1001"/>
      <c r="C102" s="1127"/>
      <c r="D102" s="1128" t="s">
        <v>976</v>
      </c>
      <c r="E102" s="1129"/>
      <c r="F102" s="1130"/>
      <c r="G102" s="1002"/>
      <c r="H102" s="1130"/>
      <c r="I102" s="1003"/>
      <c r="J102" s="1133">
        <f>SUM(J98:J101)</f>
        <v>2037024.123340921</v>
      </c>
      <c r="K102" s="1133">
        <f>SUM(K98:K101)</f>
        <v>868784.57963313849</v>
      </c>
      <c r="L102" s="1191">
        <f>SUM(L98:L101)</f>
        <v>3.6097082417863497E-7</v>
      </c>
      <c r="M102" s="1373" t="str">
        <f>IF(Master!L102&lt;0.01%,"&lt; 0.01%", Master!L102)</f>
        <v>&lt; 0.01%</v>
      </c>
      <c r="N102" s="1215"/>
    </row>
    <row r="103" spans="1:18" outlineLevel="1" x14ac:dyDescent="0.35">
      <c r="A103" s="894"/>
      <c r="B103" s="1225"/>
      <c r="C103" s="1220"/>
      <c r="D103" s="1221" t="s">
        <v>107</v>
      </c>
      <c r="E103" s="1221"/>
      <c r="F103" s="1221"/>
      <c r="G103" s="1221"/>
      <c r="H103" s="1221"/>
      <c r="I103" s="1221"/>
      <c r="J103" s="1222">
        <f>SUM(J96,J102)</f>
        <v>1645236962.2090259</v>
      </c>
      <c r="K103" s="1222">
        <f>SUM(K96,K102)</f>
        <v>38605705.388056919</v>
      </c>
      <c r="L103" s="1223">
        <f>SUM(L96,L102)</f>
        <v>1.6040263166053232E-5</v>
      </c>
      <c r="M103" s="1375" t="str">
        <f>IF(Master!L103&lt;0.01%,"&lt; 0.01%", Master!L103)</f>
        <v>&lt; 0.01%</v>
      </c>
      <c r="N103" s="1224"/>
    </row>
  </sheetData>
  <mergeCells count="20">
    <mergeCell ref="B7:L7"/>
    <mergeCell ref="B8:D8"/>
    <mergeCell ref="B9:D9"/>
    <mergeCell ref="B86:D86"/>
    <mergeCell ref="B87:D87"/>
    <mergeCell ref="B55:N55"/>
    <mergeCell ref="B97:D97"/>
    <mergeCell ref="B88:D88"/>
    <mergeCell ref="B22:D22"/>
    <mergeCell ref="B67:D67"/>
    <mergeCell ref="B27:D27"/>
    <mergeCell ref="B74:D74"/>
    <mergeCell ref="B75:D75"/>
    <mergeCell ref="B81:D81"/>
    <mergeCell ref="B28:D28"/>
    <mergeCell ref="B29:D29"/>
    <mergeCell ref="B46:D46"/>
    <mergeCell ref="B56:D56"/>
    <mergeCell ref="B57:D57"/>
    <mergeCell ref="B73:N73"/>
  </mergeCell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F7A36C-F5B2-4C34-A40E-BA7E8A32AAA3}">
  <sheetPr>
    <tabColor rgb="FFB17652"/>
  </sheetPr>
  <dimension ref="B2:G57"/>
  <sheetViews>
    <sheetView topLeftCell="A43" zoomScale="85" zoomScaleNormal="85" workbookViewId="0">
      <selection activeCell="F32" sqref="F32"/>
    </sheetView>
  </sheetViews>
  <sheetFormatPr defaultRowHeight="14.5" outlineLevelRow="1" x14ac:dyDescent="0.35"/>
  <cols>
    <col min="1" max="1" width="5.36328125" customWidth="1"/>
    <col min="2" max="2" width="1.1796875" customWidth="1"/>
    <col min="3" max="3" width="6.08984375" customWidth="1"/>
    <col min="4" max="4" width="4.36328125" customWidth="1"/>
    <col min="5" max="5" width="45.7265625" customWidth="1"/>
    <col min="6" max="6" width="20.1796875" style="856" bestFit="1" customWidth="1"/>
    <col min="7" max="7" width="21.81640625" bestFit="1" customWidth="1"/>
  </cols>
  <sheetData>
    <row r="2" spans="2:7" s="118" customFormat="1" collapsed="1" x14ac:dyDescent="0.35">
      <c r="B2" s="1618" t="s">
        <v>1198</v>
      </c>
      <c r="C2" s="1619"/>
      <c r="D2" s="1619"/>
      <c r="E2" s="1619"/>
      <c r="F2" s="1619"/>
      <c r="G2" s="1620"/>
    </row>
    <row r="3" spans="2:7" s="33" customFormat="1" outlineLevel="1" x14ac:dyDescent="0.35">
      <c r="B3" s="1616" t="s">
        <v>934</v>
      </c>
      <c r="C3" s="1617"/>
      <c r="D3" s="1617"/>
      <c r="E3" s="867"/>
      <c r="F3" s="867" t="s">
        <v>945</v>
      </c>
      <c r="G3" s="868" t="s">
        <v>938</v>
      </c>
    </row>
    <row r="4" spans="2:7" s="33" customFormat="1" outlineLevel="1" x14ac:dyDescent="0.35">
      <c r="B4" s="869" t="s">
        <v>119</v>
      </c>
      <c r="C4" s="853"/>
      <c r="D4" s="853"/>
      <c r="E4" s="842"/>
      <c r="F4" s="854"/>
      <c r="G4" s="870"/>
    </row>
    <row r="5" spans="2:7" s="865" customFormat="1" ht="28.5" customHeight="1" outlineLevel="1" x14ac:dyDescent="0.35">
      <c r="B5" s="1621" t="s">
        <v>1268</v>
      </c>
      <c r="C5" s="1622"/>
      <c r="D5" s="1622"/>
      <c r="E5" s="1622"/>
      <c r="F5" s="1622"/>
      <c r="G5" s="1623"/>
    </row>
    <row r="6" spans="2:7" s="866" customFormat="1" ht="33" customHeight="1" outlineLevel="1" x14ac:dyDescent="0.35">
      <c r="B6" s="965"/>
      <c r="C6" s="966" t="s">
        <v>958</v>
      </c>
      <c r="D6" s="1624" t="s">
        <v>1387</v>
      </c>
      <c r="E6" s="1625"/>
      <c r="F6" s="1625"/>
      <c r="G6" s="1626"/>
    </row>
    <row r="7" spans="2:7" s="33" customFormat="1" outlineLevel="1" x14ac:dyDescent="0.35">
      <c r="B7" s="266"/>
      <c r="C7" s="12"/>
      <c r="D7" s="12"/>
      <c r="E7" s="849" t="s">
        <v>955</v>
      </c>
      <c r="F7" s="855">
        <f>12300000</f>
        <v>12300000</v>
      </c>
      <c r="G7" s="841"/>
    </row>
    <row r="8" spans="2:7" s="33" customFormat="1" outlineLevel="1" x14ac:dyDescent="0.35">
      <c r="B8" s="266"/>
      <c r="C8" s="12"/>
      <c r="D8" s="12"/>
      <c r="E8" s="849" t="s">
        <v>935</v>
      </c>
      <c r="F8" s="855">
        <v>11600000</v>
      </c>
      <c r="G8" s="841"/>
    </row>
    <row r="9" spans="2:7" s="33" customFormat="1" outlineLevel="1" x14ac:dyDescent="0.35">
      <c r="B9" s="266"/>
      <c r="C9" s="12"/>
      <c r="D9" s="12"/>
      <c r="E9" s="849" t="s">
        <v>956</v>
      </c>
      <c r="F9" s="855">
        <v>49100000</v>
      </c>
      <c r="G9" s="841"/>
    </row>
    <row r="10" spans="2:7" s="33" customFormat="1" outlineLevel="1" x14ac:dyDescent="0.35">
      <c r="B10" s="266"/>
      <c r="C10" s="12"/>
      <c r="D10" s="12"/>
      <c r="E10" s="849" t="s">
        <v>935</v>
      </c>
      <c r="F10" s="855">
        <v>65600000</v>
      </c>
      <c r="G10" s="841"/>
    </row>
    <row r="11" spans="2:7" s="33" customFormat="1" outlineLevel="1" x14ac:dyDescent="0.35">
      <c r="B11" s="266"/>
      <c r="C11" s="12"/>
      <c r="D11" s="12"/>
      <c r="E11" s="849" t="s">
        <v>942</v>
      </c>
      <c r="F11" s="855">
        <v>43</v>
      </c>
      <c r="G11" s="841"/>
    </row>
    <row r="12" spans="2:7" s="33" customFormat="1" outlineLevel="1" x14ac:dyDescent="0.35">
      <c r="B12" s="266"/>
      <c r="C12" s="12"/>
      <c r="D12" s="12"/>
      <c r="E12" s="849" t="s">
        <v>957</v>
      </c>
      <c r="F12" s="855">
        <f>F13/(F7+F9)</f>
        <v>54.065146579804562</v>
      </c>
      <c r="G12" s="841"/>
    </row>
    <row r="13" spans="2:7" s="33" customFormat="1" outlineLevel="1" x14ac:dyDescent="0.35">
      <c r="B13" s="266"/>
      <c r="C13" s="12"/>
      <c r="D13" s="12"/>
      <c r="E13" s="849" t="s">
        <v>936</v>
      </c>
      <c r="F13" s="855">
        <f>(F8+F10)*F11</f>
        <v>3319600000</v>
      </c>
      <c r="G13" s="871"/>
    </row>
    <row r="14" spans="2:7" s="33" customFormat="1" outlineLevel="1" x14ac:dyDescent="0.35">
      <c r="B14" s="266"/>
      <c r="C14" s="12"/>
      <c r="D14" s="12"/>
      <c r="E14" s="862" t="s">
        <v>937</v>
      </c>
      <c r="F14" s="863"/>
      <c r="G14" s="872">
        <f>F13*'Inflation Rates'!C22</f>
        <v>3800942000</v>
      </c>
    </row>
    <row r="15" spans="2:7" s="866" customFormat="1" ht="30.5" customHeight="1" outlineLevel="1" x14ac:dyDescent="0.35">
      <c r="B15" s="965"/>
      <c r="C15" s="966" t="s">
        <v>959</v>
      </c>
      <c r="D15" s="1624" t="s">
        <v>1263</v>
      </c>
      <c r="E15" s="1625"/>
      <c r="F15" s="1625"/>
      <c r="G15" s="1626"/>
    </row>
    <row r="16" spans="2:7" s="33" customFormat="1" outlineLevel="1" x14ac:dyDescent="0.35">
      <c r="B16" s="873"/>
      <c r="C16" s="60"/>
      <c r="D16" s="12"/>
      <c r="E16" s="849" t="s">
        <v>939</v>
      </c>
      <c r="F16" s="855">
        <v>250000</v>
      </c>
      <c r="G16" s="841"/>
    </row>
    <row r="17" spans="2:7" s="33" customFormat="1" outlineLevel="1" x14ac:dyDescent="0.35">
      <c r="B17" s="873"/>
      <c r="C17" s="60"/>
      <c r="D17" s="12"/>
      <c r="E17" s="849" t="s">
        <v>940</v>
      </c>
      <c r="F17" s="855">
        <v>250</v>
      </c>
      <c r="G17" s="841"/>
    </row>
    <row r="18" spans="2:7" s="33" customFormat="1" outlineLevel="1" x14ac:dyDescent="0.35">
      <c r="B18" s="873"/>
      <c r="C18" s="60"/>
      <c r="D18" s="12"/>
      <c r="E18" s="849" t="s">
        <v>941</v>
      </c>
      <c r="F18" s="855">
        <f>F16*F17</f>
        <v>62500000</v>
      </c>
      <c r="G18" s="874"/>
    </row>
    <row r="19" spans="2:7" s="33" customFormat="1" outlineLevel="1" x14ac:dyDescent="0.35">
      <c r="B19" s="873"/>
      <c r="C19" s="60"/>
      <c r="D19" s="12"/>
      <c r="E19" s="862" t="s">
        <v>937</v>
      </c>
      <c r="F19" s="855"/>
      <c r="G19" s="872">
        <f>F18*'Inflation Rates'!C16</f>
        <v>80125000</v>
      </c>
    </row>
    <row r="20" spans="2:7" s="866" customFormat="1" ht="29" customHeight="1" outlineLevel="1" x14ac:dyDescent="0.35">
      <c r="B20" s="965"/>
      <c r="C20" s="966" t="s">
        <v>960</v>
      </c>
      <c r="D20" s="1624" t="s">
        <v>1264</v>
      </c>
      <c r="E20" s="1625"/>
      <c r="F20" s="1625"/>
      <c r="G20" s="1626"/>
    </row>
    <row r="21" spans="2:7" s="33" customFormat="1" outlineLevel="1" x14ac:dyDescent="0.35">
      <c r="B21" s="873"/>
      <c r="C21" s="60"/>
      <c r="D21" s="12"/>
      <c r="E21" s="849" t="s">
        <v>943</v>
      </c>
      <c r="F21" s="855">
        <v>845000</v>
      </c>
      <c r="G21" s="841"/>
    </row>
    <row r="22" spans="2:7" s="33" customFormat="1" outlineLevel="1" x14ac:dyDescent="0.35">
      <c r="B22" s="873"/>
      <c r="C22" s="60"/>
      <c r="D22" s="12"/>
      <c r="E22" s="849" t="s">
        <v>944</v>
      </c>
      <c r="F22" s="855">
        <v>200</v>
      </c>
      <c r="G22" s="841"/>
    </row>
    <row r="23" spans="2:7" s="33" customFormat="1" outlineLevel="1" x14ac:dyDescent="0.35">
      <c r="B23" s="873"/>
      <c r="C23" s="60"/>
      <c r="D23" s="12"/>
      <c r="E23" s="849" t="s">
        <v>946</v>
      </c>
      <c r="F23" s="855">
        <f>F21*F22</f>
        <v>169000000</v>
      </c>
      <c r="G23" s="841"/>
    </row>
    <row r="24" spans="2:7" s="33" customFormat="1" outlineLevel="1" x14ac:dyDescent="0.35">
      <c r="B24" s="873"/>
      <c r="C24" s="60"/>
      <c r="D24" s="12"/>
      <c r="E24" s="862" t="s">
        <v>937</v>
      </c>
      <c r="F24" s="855"/>
      <c r="G24" s="872">
        <f>F23*'Inflation Rates'!C5</f>
        <v>300989000</v>
      </c>
    </row>
    <row r="25" spans="2:7" s="865" customFormat="1" ht="28.5" customHeight="1" outlineLevel="1" x14ac:dyDescent="0.35">
      <c r="B25" s="1621" t="s">
        <v>1269</v>
      </c>
      <c r="C25" s="1622"/>
      <c r="D25" s="1622"/>
      <c r="E25" s="1622"/>
      <c r="F25" s="1622"/>
      <c r="G25" s="1623"/>
    </row>
    <row r="26" spans="2:7" s="866" customFormat="1" outlineLevel="1" x14ac:dyDescent="0.35">
      <c r="B26" s="965"/>
      <c r="C26" s="966" t="s">
        <v>961</v>
      </c>
      <c r="D26" s="1624" t="s">
        <v>1265</v>
      </c>
      <c r="E26" s="1625"/>
      <c r="F26" s="1625"/>
      <c r="G26" s="1626"/>
    </row>
    <row r="27" spans="2:7" s="33" customFormat="1" outlineLevel="1" x14ac:dyDescent="0.35">
      <c r="B27" s="873"/>
      <c r="C27" s="60"/>
      <c r="D27" s="12"/>
      <c r="E27" s="849" t="s">
        <v>947</v>
      </c>
      <c r="F27" s="855">
        <v>6500</v>
      </c>
      <c r="G27" s="841"/>
    </row>
    <row r="28" spans="2:7" s="33" customFormat="1" outlineLevel="1" x14ac:dyDescent="0.35">
      <c r="B28" s="873"/>
      <c r="C28" s="60"/>
      <c r="D28" s="12"/>
      <c r="E28" s="849" t="s">
        <v>948</v>
      </c>
      <c r="F28" s="855">
        <v>66200</v>
      </c>
      <c r="G28" s="841"/>
    </row>
    <row r="29" spans="2:7" s="33" customFormat="1" outlineLevel="1" x14ac:dyDescent="0.35">
      <c r="B29" s="873"/>
      <c r="C29" s="60"/>
      <c r="D29" s="12"/>
      <c r="E29" s="849" t="s">
        <v>949</v>
      </c>
      <c r="F29" s="855">
        <f>F27*F28</f>
        <v>430300000</v>
      </c>
      <c r="G29" s="841"/>
    </row>
    <row r="30" spans="2:7" s="33" customFormat="1" outlineLevel="1" x14ac:dyDescent="0.35">
      <c r="B30" s="873"/>
      <c r="C30" s="60"/>
      <c r="D30" s="12"/>
      <c r="E30" s="862" t="s">
        <v>937</v>
      </c>
      <c r="F30" s="855"/>
      <c r="G30" s="872">
        <f>F29*'Inflation Rates'!C21</f>
        <v>502160100</v>
      </c>
    </row>
    <row r="31" spans="2:7" s="866" customFormat="1" outlineLevel="1" x14ac:dyDescent="0.35">
      <c r="B31" s="965"/>
      <c r="C31" s="966" t="s">
        <v>962</v>
      </c>
      <c r="D31" s="1624" t="s">
        <v>1266</v>
      </c>
      <c r="E31" s="1625"/>
      <c r="F31" s="1625"/>
      <c r="G31" s="1626"/>
    </row>
    <row r="32" spans="2:7" s="33" customFormat="1" outlineLevel="1" x14ac:dyDescent="0.35">
      <c r="B32" s="873"/>
      <c r="C32" s="60"/>
      <c r="D32" s="12"/>
      <c r="E32" s="849" t="s">
        <v>950</v>
      </c>
      <c r="F32" s="855">
        <v>318500</v>
      </c>
      <c r="G32" s="841"/>
    </row>
    <row r="33" spans="2:7" s="33" customFormat="1" outlineLevel="1" x14ac:dyDescent="0.35">
      <c r="B33" s="873"/>
      <c r="C33" s="60"/>
      <c r="D33" s="12"/>
      <c r="E33" s="849" t="s">
        <v>948</v>
      </c>
      <c r="F33" s="855">
        <v>36200</v>
      </c>
      <c r="G33" s="841"/>
    </row>
    <row r="34" spans="2:7" s="33" customFormat="1" outlineLevel="1" x14ac:dyDescent="0.35">
      <c r="B34" s="873"/>
      <c r="C34" s="60"/>
      <c r="D34" s="12"/>
      <c r="E34" s="849" t="s">
        <v>951</v>
      </c>
      <c r="F34" s="855">
        <f>F32*F33</f>
        <v>11529700000</v>
      </c>
      <c r="G34" s="841"/>
    </row>
    <row r="35" spans="2:7" s="33" customFormat="1" outlineLevel="1" x14ac:dyDescent="0.35">
      <c r="B35" s="873"/>
      <c r="C35" s="60"/>
      <c r="D35" s="12"/>
      <c r="E35" s="862" t="s">
        <v>937</v>
      </c>
      <c r="F35" s="855"/>
      <c r="G35" s="872">
        <f>F34*'Inflation Rates'!C21</f>
        <v>13455159900</v>
      </c>
    </row>
    <row r="36" spans="2:7" s="865" customFormat="1" ht="31" customHeight="1" outlineLevel="1" x14ac:dyDescent="0.35">
      <c r="B36" s="1621" t="s">
        <v>1270</v>
      </c>
      <c r="C36" s="1622"/>
      <c r="D36" s="1622"/>
      <c r="E36" s="1622"/>
      <c r="F36" s="1622"/>
      <c r="G36" s="1623"/>
    </row>
    <row r="37" spans="2:7" s="866" customFormat="1" ht="46.5" customHeight="1" outlineLevel="1" x14ac:dyDescent="0.35">
      <c r="B37" s="965"/>
      <c r="C37" s="966" t="s">
        <v>963</v>
      </c>
      <c r="D37" s="1624" t="s">
        <v>1383</v>
      </c>
      <c r="E37" s="1625"/>
      <c r="F37" s="1625"/>
      <c r="G37" s="1626"/>
    </row>
    <row r="38" spans="2:7" s="33" customFormat="1" outlineLevel="1" x14ac:dyDescent="0.35">
      <c r="B38" s="873"/>
      <c r="C38" s="60"/>
      <c r="D38" s="12"/>
      <c r="E38" s="849" t="s">
        <v>1282</v>
      </c>
      <c r="F38" s="855">
        <f>AVERAGE(21.82,30.9, 21.8, 16.4)</f>
        <v>22.729999999999997</v>
      </c>
      <c r="G38" s="841"/>
    </row>
    <row r="39" spans="2:7" s="33" customFormat="1" outlineLevel="1" x14ac:dyDescent="0.35">
      <c r="B39" s="873"/>
      <c r="C39" s="60"/>
      <c r="D39" s="12"/>
      <c r="E39" s="849" t="s">
        <v>1283</v>
      </c>
      <c r="F39" s="855">
        <v>31074000</v>
      </c>
      <c r="G39" s="841"/>
    </row>
    <row r="40" spans="2:7" s="33" customFormat="1" outlineLevel="1" x14ac:dyDescent="0.35">
      <c r="B40" s="873"/>
      <c r="C40" s="60"/>
      <c r="D40" s="12"/>
      <c r="E40" s="849" t="s">
        <v>1287</v>
      </c>
      <c r="F40" s="855">
        <f>F38*F39</f>
        <v>706312019.99999988</v>
      </c>
      <c r="G40" s="841"/>
    </row>
    <row r="41" spans="2:7" s="33" customFormat="1" outlineLevel="1" x14ac:dyDescent="0.35">
      <c r="B41" s="873"/>
      <c r="C41" s="60"/>
      <c r="D41" s="12"/>
      <c r="E41" s="849" t="s">
        <v>1284</v>
      </c>
      <c r="F41" s="855">
        <f>AVERAGE(3.1, 0.31, 3.1, 0.9, 1.2)</f>
        <v>1.722</v>
      </c>
      <c r="G41" s="841"/>
    </row>
    <row r="42" spans="2:7" s="33" customFormat="1" outlineLevel="1" x14ac:dyDescent="0.35">
      <c r="B42" s="873"/>
      <c r="C42" s="60"/>
      <c r="D42" s="12"/>
      <c r="E42" s="849" t="s">
        <v>1285</v>
      </c>
      <c r="F42" s="855">
        <v>340763000</v>
      </c>
      <c r="G42" s="841"/>
    </row>
    <row r="43" spans="2:7" s="33" customFormat="1" outlineLevel="1" x14ac:dyDescent="0.35">
      <c r="B43" s="873"/>
      <c r="C43" s="60"/>
      <c r="D43" s="12"/>
      <c r="E43" s="849" t="s">
        <v>1286</v>
      </c>
      <c r="F43" s="855">
        <f>F41*F42</f>
        <v>586793886</v>
      </c>
      <c r="G43" s="841"/>
    </row>
    <row r="44" spans="2:7" s="33" customFormat="1" outlineLevel="1" x14ac:dyDescent="0.35">
      <c r="B44" s="873"/>
      <c r="C44" s="60"/>
      <c r="D44" s="12"/>
      <c r="E44" s="849" t="s">
        <v>1288</v>
      </c>
      <c r="F44" s="1229">
        <f>SUM(F40,F43)</f>
        <v>1293105906</v>
      </c>
      <c r="G44" s="872"/>
    </row>
    <row r="45" spans="2:7" s="33" customFormat="1" outlineLevel="1" x14ac:dyDescent="0.35">
      <c r="B45" s="873"/>
      <c r="C45" s="60"/>
      <c r="D45" s="12"/>
      <c r="E45" s="862" t="s">
        <v>937</v>
      </c>
      <c r="F45" s="1226"/>
      <c r="G45" s="767">
        <f>F44*'Inflation Rates'!C21</f>
        <v>1509054592.302</v>
      </c>
    </row>
    <row r="46" spans="2:7" s="33" customFormat="1" outlineLevel="1" x14ac:dyDescent="0.35">
      <c r="B46" s="981"/>
      <c r="C46" s="982" t="s">
        <v>110</v>
      </c>
      <c r="D46" s="983"/>
      <c r="E46" s="984"/>
      <c r="F46" s="985"/>
      <c r="G46" s="986">
        <f>SUM(G7:G45)</f>
        <v>19648430592.302002</v>
      </c>
    </row>
    <row r="47" spans="2:7" s="33" customFormat="1" outlineLevel="1" x14ac:dyDescent="0.35">
      <c r="B47" s="873"/>
      <c r="C47" s="60"/>
      <c r="D47" s="12"/>
      <c r="E47" s="849" t="s">
        <v>113</v>
      </c>
      <c r="F47" s="855"/>
      <c r="G47" s="872">
        <f>G46*Assumptions!C7</f>
        <v>1964843059.2302003</v>
      </c>
    </row>
    <row r="48" spans="2:7" s="33" customFormat="1" outlineLevel="1" x14ac:dyDescent="0.35">
      <c r="B48" s="882"/>
      <c r="C48" s="876" t="s">
        <v>965</v>
      </c>
      <c r="D48" s="877"/>
      <c r="E48" s="878"/>
      <c r="F48" s="879"/>
      <c r="G48" s="881">
        <f>SUM(G46,G47)</f>
        <v>21613273651.532204</v>
      </c>
    </row>
    <row r="49" spans="2:7" s="33" customFormat="1" outlineLevel="1" x14ac:dyDescent="0.35">
      <c r="B49" s="869" t="s">
        <v>1030</v>
      </c>
      <c r="C49" s="853"/>
      <c r="D49" s="853"/>
      <c r="E49" s="842"/>
      <c r="F49" s="854"/>
      <c r="G49" s="870"/>
    </row>
    <row r="50" spans="2:7" s="866" customFormat="1" outlineLevel="1" x14ac:dyDescent="0.35">
      <c r="B50" s="965"/>
      <c r="C50" s="966" t="s">
        <v>995</v>
      </c>
      <c r="D50" s="1624" t="s">
        <v>135</v>
      </c>
      <c r="E50" s="1625"/>
      <c r="F50" s="1625"/>
      <c r="G50" s="1626"/>
    </row>
    <row r="51" spans="2:7" s="33" customFormat="1" outlineLevel="1" x14ac:dyDescent="0.35">
      <c r="B51" s="873"/>
      <c r="C51" s="60"/>
      <c r="D51" s="12"/>
      <c r="E51" s="849" t="s">
        <v>968</v>
      </c>
      <c r="F51" s="855">
        <f>(F27+F32)</f>
        <v>325000</v>
      </c>
      <c r="G51" s="872"/>
    </row>
    <row r="52" spans="2:7" s="33" customFormat="1" outlineLevel="1" x14ac:dyDescent="0.35">
      <c r="B52" s="873"/>
      <c r="C52" s="60"/>
      <c r="D52" s="12"/>
      <c r="E52" s="849" t="s">
        <v>1215</v>
      </c>
      <c r="F52" s="1269">
        <v>1.4E-2</v>
      </c>
      <c r="G52" s="872"/>
    </row>
    <row r="53" spans="2:7" s="33" customFormat="1" outlineLevel="1" x14ac:dyDescent="0.35">
      <c r="B53" s="873"/>
      <c r="C53" s="60"/>
      <c r="D53" s="12"/>
      <c r="E53" s="849" t="s">
        <v>970</v>
      </c>
      <c r="F53" s="846">
        <f>(F29+F34)*F52</f>
        <v>167440000</v>
      </c>
      <c r="G53" s="872"/>
    </row>
    <row r="54" spans="2:7" s="33" customFormat="1" outlineLevel="1" x14ac:dyDescent="0.35">
      <c r="B54" s="873"/>
      <c r="C54" s="60"/>
      <c r="D54" s="12"/>
      <c r="E54" s="849" t="s">
        <v>973</v>
      </c>
      <c r="F54" s="855">
        <f>F53/F51</f>
        <v>515.20000000000005</v>
      </c>
      <c r="G54" s="872"/>
    </row>
    <row r="55" spans="2:7" s="33" customFormat="1" outlineLevel="1" x14ac:dyDescent="0.35">
      <c r="B55" s="873"/>
      <c r="C55" s="60"/>
      <c r="D55" s="12"/>
      <c r="E55" s="862" t="s">
        <v>971</v>
      </c>
      <c r="F55" s="855"/>
      <c r="G55" s="872">
        <f>F53*'Inflation Rates'!C21</f>
        <v>195402480</v>
      </c>
    </row>
    <row r="56" spans="2:7" s="33" customFormat="1" outlineLevel="1" x14ac:dyDescent="0.35">
      <c r="B56" s="882"/>
      <c r="C56" s="880" t="s">
        <v>966</v>
      </c>
      <c r="D56" s="877"/>
      <c r="E56" s="877"/>
      <c r="F56" s="848"/>
      <c r="G56" s="881">
        <f>SUM(G50:G55)</f>
        <v>195402480</v>
      </c>
    </row>
    <row r="57" spans="2:7" s="33" customFormat="1" outlineLevel="1" x14ac:dyDescent="0.35">
      <c r="B57" s="883"/>
      <c r="C57" s="884" t="s">
        <v>967</v>
      </c>
      <c r="D57" s="884"/>
      <c r="E57" s="885"/>
      <c r="F57" s="886"/>
      <c r="G57" s="887">
        <f>SUM(G48+G56)</f>
        <v>21808676131.532204</v>
      </c>
    </row>
  </sheetData>
  <mergeCells count="12">
    <mergeCell ref="D50:G50"/>
    <mergeCell ref="D37:G37"/>
    <mergeCell ref="B36:G36"/>
    <mergeCell ref="D15:G15"/>
    <mergeCell ref="D20:G20"/>
    <mergeCell ref="D26:G26"/>
    <mergeCell ref="D31:G31"/>
    <mergeCell ref="B3:D3"/>
    <mergeCell ref="B2:G2"/>
    <mergeCell ref="B5:G5"/>
    <mergeCell ref="D6:G6"/>
    <mergeCell ref="B25:G25"/>
  </mergeCells>
  <pageMargins left="0.7" right="0.7" top="0.75" bottom="0.75" header="0.3" footer="0.3"/>
  <legacy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DEE409-3CFB-4A80-A277-76823F4BCE10}">
  <sheetPr>
    <tabColor rgb="FF47829A"/>
  </sheetPr>
  <dimension ref="B2:H120"/>
  <sheetViews>
    <sheetView topLeftCell="C59" zoomScale="85" zoomScaleNormal="85" workbookViewId="0">
      <selection activeCell="E99" sqref="E99"/>
    </sheetView>
  </sheetViews>
  <sheetFormatPr defaultRowHeight="14.5" outlineLevelRow="1" x14ac:dyDescent="0.35"/>
  <cols>
    <col min="1" max="1" width="5.36328125" customWidth="1"/>
    <col min="2" max="2" width="1.36328125" customWidth="1"/>
    <col min="3" max="3" width="6.54296875" bestFit="1" customWidth="1"/>
    <col min="4" max="4" width="4.36328125" customWidth="1"/>
    <col min="5" max="5" width="106.26953125" customWidth="1"/>
    <col min="6" max="6" width="18.7265625" style="856" customWidth="1"/>
    <col min="7" max="7" width="20" customWidth="1"/>
    <col min="8" max="8" width="12.7265625" bestFit="1" customWidth="1"/>
    <col min="9" max="9" width="10.453125" bestFit="1" customWidth="1"/>
    <col min="10" max="10" width="7.54296875" bestFit="1" customWidth="1"/>
    <col min="11" max="11" width="13.7265625" customWidth="1"/>
    <col min="12" max="12" width="15.6328125" customWidth="1"/>
    <col min="13" max="13" width="17.08984375" bestFit="1" customWidth="1"/>
    <col min="14" max="14" width="17.1796875" bestFit="1" customWidth="1"/>
    <col min="16" max="16" width="16.7265625" bestFit="1" customWidth="1"/>
    <col min="17" max="17" width="18.1796875" bestFit="1" customWidth="1"/>
    <col min="19" max="19" width="16.7265625" bestFit="1" customWidth="1"/>
  </cols>
  <sheetData>
    <row r="2" spans="2:7" s="118" customFormat="1" collapsed="1" x14ac:dyDescent="0.35">
      <c r="B2" s="1633" t="s">
        <v>1044</v>
      </c>
      <c r="C2" s="1634"/>
      <c r="D2" s="1634"/>
      <c r="E2" s="1634"/>
      <c r="F2" s="1634"/>
      <c r="G2" s="1635"/>
    </row>
    <row r="3" spans="2:7" s="33" customFormat="1" outlineLevel="1" x14ac:dyDescent="0.35">
      <c r="B3" s="1616" t="s">
        <v>934</v>
      </c>
      <c r="C3" s="1617"/>
      <c r="D3" s="1617"/>
      <c r="E3" s="867"/>
      <c r="F3" s="867" t="s">
        <v>945</v>
      </c>
      <c r="G3" s="868" t="s">
        <v>938</v>
      </c>
    </row>
    <row r="4" spans="2:7" s="33" customFormat="1" outlineLevel="1" x14ac:dyDescent="0.35">
      <c r="B4" s="869" t="s">
        <v>115</v>
      </c>
      <c r="C4" s="853"/>
      <c r="D4" s="853"/>
      <c r="E4" s="842"/>
      <c r="F4" s="854"/>
      <c r="G4" s="870"/>
    </row>
    <row r="5" spans="2:7" s="865" customFormat="1" ht="43" customHeight="1" outlineLevel="1" x14ac:dyDescent="0.35">
      <c r="B5" s="1630" t="s">
        <v>1222</v>
      </c>
      <c r="C5" s="1631"/>
      <c r="D5" s="1631"/>
      <c r="E5" s="1631"/>
      <c r="F5" s="1631"/>
      <c r="G5" s="1632"/>
    </row>
    <row r="6" spans="2:7" s="866" customFormat="1" outlineLevel="1" x14ac:dyDescent="0.35">
      <c r="B6" s="967"/>
      <c r="C6" s="968" t="s">
        <v>984</v>
      </c>
      <c r="D6" s="1627" t="s">
        <v>1223</v>
      </c>
      <c r="E6" s="1627"/>
      <c r="F6" s="1627"/>
      <c r="G6" s="1636"/>
    </row>
    <row r="7" spans="2:7" s="33" customFormat="1" outlineLevel="1" x14ac:dyDescent="0.35">
      <c r="B7" s="266"/>
      <c r="C7" s="12"/>
      <c r="D7" s="12"/>
      <c r="E7" s="849" t="s">
        <v>1224</v>
      </c>
      <c r="F7" s="855">
        <f>MajorRiv.Data!D61</f>
        <v>1518420.5772010454</v>
      </c>
      <c r="G7" s="841"/>
    </row>
    <row r="8" spans="2:7" s="33" customFormat="1" outlineLevel="1" x14ac:dyDescent="0.35">
      <c r="B8" s="266"/>
      <c r="C8" s="12"/>
      <c r="D8" s="12"/>
      <c r="E8" s="849" t="s">
        <v>1127</v>
      </c>
      <c r="F8" s="855">
        <f>F9/F7</f>
        <v>433.2810112334987</v>
      </c>
      <c r="G8" s="841"/>
    </row>
    <row r="9" spans="2:7" s="33" customFormat="1" outlineLevel="1" x14ac:dyDescent="0.35">
      <c r="B9" s="266"/>
      <c r="C9" s="12"/>
      <c r="D9" s="12"/>
      <c r="E9" s="849" t="s">
        <v>997</v>
      </c>
      <c r="F9" s="855">
        <f>MajorRiv.Data!F61</f>
        <v>657902803.1674217</v>
      </c>
      <c r="G9" s="841"/>
    </row>
    <row r="10" spans="2:7" s="33" customFormat="1" outlineLevel="1" x14ac:dyDescent="0.35">
      <c r="B10" s="266"/>
      <c r="C10" s="12"/>
      <c r="D10" s="12"/>
      <c r="E10" s="849" t="s">
        <v>1225</v>
      </c>
      <c r="F10" s="855">
        <f>Lakes.Data!C104</f>
        <v>1128405</v>
      </c>
      <c r="G10" s="841"/>
    </row>
    <row r="11" spans="2:7" s="33" customFormat="1" outlineLevel="1" x14ac:dyDescent="0.35">
      <c r="B11" s="266"/>
      <c r="C11" s="12"/>
      <c r="D11" s="12"/>
      <c r="E11" s="849" t="s">
        <v>1128</v>
      </c>
      <c r="F11" s="855">
        <f>F12/F10</f>
        <v>19483.116205617665</v>
      </c>
      <c r="G11" s="841"/>
    </row>
    <row r="12" spans="2:7" s="33" customFormat="1" outlineLevel="1" x14ac:dyDescent="0.35">
      <c r="B12" s="873"/>
      <c r="C12" s="60"/>
      <c r="D12" s="12"/>
      <c r="E12" s="849" t="s">
        <v>997</v>
      </c>
      <c r="F12" s="855">
        <f>Lakes.Data!E104</f>
        <v>21984845742</v>
      </c>
      <c r="G12" s="874"/>
    </row>
    <row r="13" spans="2:7" s="33" customFormat="1" outlineLevel="1" x14ac:dyDescent="0.35">
      <c r="B13" s="266"/>
      <c r="C13" s="12"/>
      <c r="D13" s="12"/>
      <c r="E13" s="849" t="s">
        <v>1226</v>
      </c>
      <c r="F13" s="855">
        <f>MinorRiv.Data!D88</f>
        <v>15447960</v>
      </c>
      <c r="G13" s="841"/>
    </row>
    <row r="14" spans="2:7" s="33" customFormat="1" outlineLevel="1" x14ac:dyDescent="0.35">
      <c r="B14" s="266"/>
      <c r="C14" s="12"/>
      <c r="D14" s="12"/>
      <c r="E14" s="849" t="s">
        <v>1128</v>
      </c>
      <c r="F14" s="855">
        <f>F15/F13</f>
        <v>4419.8987936271196</v>
      </c>
      <c r="G14" s="841"/>
    </row>
    <row r="15" spans="2:7" s="33" customFormat="1" outlineLevel="1" x14ac:dyDescent="0.35">
      <c r="B15" s="873"/>
      <c r="C15" s="60"/>
      <c r="D15" s="12"/>
      <c r="E15" s="849" t="s">
        <v>997</v>
      </c>
      <c r="F15" s="855">
        <f>MinorRiv.Data!F88</f>
        <v>68278419768</v>
      </c>
      <c r="G15" s="841"/>
    </row>
    <row r="16" spans="2:7" s="33" customFormat="1" outlineLevel="1" x14ac:dyDescent="0.35">
      <c r="B16" s="266"/>
      <c r="C16" s="12"/>
      <c r="D16" s="12"/>
      <c r="E16" s="862" t="s">
        <v>937</v>
      </c>
      <c r="F16" s="855"/>
      <c r="G16" s="872">
        <f>SUM(F9,F12,F15)*'Inflation Rates'!C23</f>
        <v>102195393184.00018</v>
      </c>
    </row>
    <row r="17" spans="2:7" s="866" customFormat="1" outlineLevel="1" x14ac:dyDescent="0.35">
      <c r="B17" s="967"/>
      <c r="C17" s="968" t="s">
        <v>985</v>
      </c>
      <c r="D17" s="1627" t="s">
        <v>986</v>
      </c>
      <c r="E17" s="1628"/>
      <c r="F17" s="1628"/>
      <c r="G17" s="1629"/>
    </row>
    <row r="18" spans="2:7" s="866" customFormat="1" outlineLevel="1" x14ac:dyDescent="0.35">
      <c r="B18" s="932"/>
      <c r="C18" s="918"/>
      <c r="D18" s="707"/>
      <c r="E18" s="933" t="s">
        <v>1001</v>
      </c>
      <c r="F18" s="934">
        <f>MajorRiv.Data!E61</f>
        <v>151500360.5046888</v>
      </c>
      <c r="G18" s="935"/>
    </row>
    <row r="19" spans="2:7" s="866" customFormat="1" outlineLevel="1" x14ac:dyDescent="0.35">
      <c r="B19" s="932"/>
      <c r="C19" s="918"/>
      <c r="D19" s="707"/>
      <c r="E19" s="933" t="s">
        <v>1002</v>
      </c>
      <c r="F19" s="934">
        <f>Lakes.Data!D104</f>
        <v>201724940</v>
      </c>
      <c r="G19" s="935"/>
    </row>
    <row r="20" spans="2:7" s="866" customFormat="1" outlineLevel="1" x14ac:dyDescent="0.35">
      <c r="B20" s="932"/>
      <c r="C20" s="918"/>
      <c r="D20" s="707"/>
      <c r="E20" s="933" t="s">
        <v>1003</v>
      </c>
      <c r="F20" s="934">
        <f>MinorRiv.Data!E88</f>
        <v>6044834880</v>
      </c>
      <c r="G20" s="935"/>
    </row>
    <row r="21" spans="2:7" s="866" customFormat="1" outlineLevel="1" x14ac:dyDescent="0.35">
      <c r="B21" s="932"/>
      <c r="C21" s="918"/>
      <c r="D21" s="707"/>
      <c r="E21" s="933" t="s">
        <v>1034</v>
      </c>
      <c r="F21" s="934">
        <f>SUM(F18:F20)</f>
        <v>6398060180.5046892</v>
      </c>
      <c r="G21" s="935"/>
    </row>
    <row r="22" spans="2:7" s="33" customFormat="1" outlineLevel="1" x14ac:dyDescent="0.35">
      <c r="B22" s="873"/>
      <c r="C22" s="60"/>
      <c r="D22" s="12"/>
      <c r="E22" s="862" t="s">
        <v>937</v>
      </c>
      <c r="F22" s="855"/>
      <c r="G22" s="872">
        <f>SUM(F18:F20)*'Inflation Rates'!C19</f>
        <v>7677672216.6056271</v>
      </c>
    </row>
    <row r="23" spans="2:7" s="865" customFormat="1" outlineLevel="1" x14ac:dyDescent="0.35">
      <c r="B23" s="1630" t="s">
        <v>1142</v>
      </c>
      <c r="C23" s="1631"/>
      <c r="D23" s="1631"/>
      <c r="E23" s="1631"/>
      <c r="F23" s="1631"/>
      <c r="G23" s="1632"/>
    </row>
    <row r="24" spans="2:7" s="866" customFormat="1" outlineLevel="1" x14ac:dyDescent="0.35">
      <c r="B24" s="967"/>
      <c r="C24" s="968" t="s">
        <v>987</v>
      </c>
      <c r="D24" s="1627" t="s">
        <v>1227</v>
      </c>
      <c r="E24" s="1628"/>
      <c r="F24" s="1628"/>
      <c r="G24" s="1629"/>
    </row>
    <row r="25" spans="2:7" s="33" customFormat="1" outlineLevel="1" x14ac:dyDescent="0.35">
      <c r="B25" s="873"/>
      <c r="C25" s="60"/>
      <c r="D25" s="12"/>
      <c r="E25" s="849" t="s">
        <v>1129</v>
      </c>
      <c r="F25" s="855">
        <f>3130000</f>
        <v>3130000</v>
      </c>
      <c r="G25" s="841"/>
    </row>
    <row r="26" spans="2:7" s="33" customFormat="1" outlineLevel="1" x14ac:dyDescent="0.35">
      <c r="B26" s="873"/>
      <c r="C26" s="60"/>
      <c r="D26" s="12"/>
      <c r="E26" s="849" t="s">
        <v>1141</v>
      </c>
      <c r="F26" s="855">
        <v>3856000</v>
      </c>
      <c r="G26" s="841"/>
    </row>
    <row r="27" spans="2:7" s="33" customFormat="1" outlineLevel="1" x14ac:dyDescent="0.35">
      <c r="B27" s="873"/>
      <c r="C27" s="60"/>
      <c r="D27" s="12"/>
      <c r="E27" s="849" t="s">
        <v>1004</v>
      </c>
      <c r="F27" s="855">
        <f>F26-F25</f>
        <v>726000</v>
      </c>
      <c r="G27" s="841"/>
    </row>
    <row r="28" spans="2:7" s="33" customFormat="1" outlineLevel="1" x14ac:dyDescent="0.35">
      <c r="B28" s="873"/>
      <c r="C28" s="60"/>
      <c r="D28" s="12"/>
      <c r="E28" s="849" t="s">
        <v>1005</v>
      </c>
      <c r="F28" s="855">
        <v>5100</v>
      </c>
      <c r="G28" s="841"/>
    </row>
    <row r="29" spans="2:7" s="33" customFormat="1" outlineLevel="1" x14ac:dyDescent="0.35">
      <c r="B29" s="873"/>
      <c r="C29" s="60"/>
      <c r="D29" s="12"/>
      <c r="E29" s="849" t="s">
        <v>936</v>
      </c>
      <c r="F29" s="855">
        <f>F27*F28</f>
        <v>3702600000</v>
      </c>
      <c r="G29" s="841"/>
    </row>
    <row r="30" spans="2:7" s="33" customFormat="1" outlineLevel="1" x14ac:dyDescent="0.35">
      <c r="B30" s="873"/>
      <c r="C30" s="60"/>
      <c r="D30" s="12"/>
      <c r="E30" s="862" t="s">
        <v>937</v>
      </c>
      <c r="F30" s="855"/>
      <c r="G30" s="872">
        <f>F29*'Inflation Rates'!C22</f>
        <v>4239477000</v>
      </c>
    </row>
    <row r="31" spans="2:7" s="865" customFormat="1" outlineLevel="1" x14ac:dyDescent="0.35">
      <c r="B31" s="1630" t="s">
        <v>1228</v>
      </c>
      <c r="C31" s="1631"/>
      <c r="D31" s="1631"/>
      <c r="E31" s="1631"/>
      <c r="F31" s="1631"/>
      <c r="G31" s="1632"/>
    </row>
    <row r="32" spans="2:7" s="866" customFormat="1" ht="32.5" customHeight="1" outlineLevel="1" x14ac:dyDescent="0.35">
      <c r="B32" s="967"/>
      <c r="C32" s="968" t="s">
        <v>991</v>
      </c>
      <c r="D32" s="1627" t="s">
        <v>1229</v>
      </c>
      <c r="E32" s="1628"/>
      <c r="F32" s="1628"/>
      <c r="G32" s="1629"/>
    </row>
    <row r="33" spans="2:7" s="33" customFormat="1" outlineLevel="1" x14ac:dyDescent="0.35">
      <c r="B33" s="873"/>
      <c r="C33" s="60"/>
      <c r="D33" s="12"/>
      <c r="E33" s="849" t="s">
        <v>1014</v>
      </c>
      <c r="F33" s="855">
        <v>5</v>
      </c>
      <c r="G33" s="841"/>
    </row>
    <row r="34" spans="2:7" s="33" customFormat="1" outlineLevel="1" x14ac:dyDescent="0.35">
      <c r="B34" s="873"/>
      <c r="C34" s="60"/>
      <c r="D34" s="12"/>
      <c r="E34" s="849" t="s">
        <v>1013</v>
      </c>
      <c r="F34" s="855">
        <f>'Other.Freshwater.Data'!$C$47</f>
        <v>664000000</v>
      </c>
      <c r="G34" s="841"/>
    </row>
    <row r="35" spans="2:7" s="33" customFormat="1" outlineLevel="1" x14ac:dyDescent="0.35">
      <c r="B35" s="873"/>
      <c r="C35" s="60"/>
      <c r="D35" s="12"/>
      <c r="E35" s="862" t="s">
        <v>937</v>
      </c>
      <c r="F35" s="855"/>
      <c r="G35" s="872">
        <f>F34*'Inflation Rates'!C25</f>
        <v>727744000</v>
      </c>
    </row>
    <row r="36" spans="2:7" s="866" customFormat="1" outlineLevel="1" x14ac:dyDescent="0.35">
      <c r="B36" s="967"/>
      <c r="C36" s="968" t="s">
        <v>990</v>
      </c>
      <c r="D36" s="1627" t="s">
        <v>1230</v>
      </c>
      <c r="E36" s="1628"/>
      <c r="F36" s="1628"/>
      <c r="G36" s="1629"/>
    </row>
    <row r="37" spans="2:7" s="33" customFormat="1" outlineLevel="1" x14ac:dyDescent="0.35">
      <c r="B37" s="873"/>
      <c r="C37" s="888" t="s">
        <v>1239</v>
      </c>
      <c r="D37" s="12"/>
      <c r="E37" s="862" t="s">
        <v>1134</v>
      </c>
      <c r="F37" s="855"/>
      <c r="G37" s="841"/>
    </row>
    <row r="38" spans="2:7" s="33" customFormat="1" outlineLevel="1" x14ac:dyDescent="0.35">
      <c r="B38" s="873"/>
      <c r="C38" s="60"/>
      <c r="D38" s="12"/>
      <c r="E38" s="849" t="s">
        <v>1231</v>
      </c>
      <c r="F38" s="855">
        <v>2000</v>
      </c>
      <c r="G38" s="841"/>
    </row>
    <row r="39" spans="2:7" s="33" customFormat="1" outlineLevel="1" x14ac:dyDescent="0.35">
      <c r="B39" s="873"/>
      <c r="C39" s="60"/>
      <c r="D39" s="12"/>
      <c r="E39" s="849" t="s">
        <v>1232</v>
      </c>
      <c r="F39" s="855">
        <v>150000</v>
      </c>
      <c r="G39" s="841"/>
    </row>
    <row r="40" spans="2:7" s="33" customFormat="1" outlineLevel="1" x14ac:dyDescent="0.35">
      <c r="B40" s="873"/>
      <c r="C40" s="60"/>
      <c r="D40" s="12"/>
      <c r="E40" s="849" t="s">
        <v>1233</v>
      </c>
      <c r="F40" s="855">
        <v>2000000</v>
      </c>
      <c r="G40" s="841"/>
    </row>
    <row r="41" spans="2:7" s="33" customFormat="1" outlineLevel="1" x14ac:dyDescent="0.35">
      <c r="B41" s="873"/>
      <c r="C41" s="60"/>
      <c r="D41" s="12"/>
      <c r="E41" s="849" t="s">
        <v>1234</v>
      </c>
      <c r="F41" s="855">
        <f>F39* (95/100*F38)</f>
        <v>285000000</v>
      </c>
      <c r="G41" s="841"/>
    </row>
    <row r="42" spans="2:7" s="33" customFormat="1" outlineLevel="1" x14ac:dyDescent="0.35">
      <c r="B42" s="873"/>
      <c r="C42" s="60"/>
      <c r="D42" s="12"/>
      <c r="E42" s="849" t="s">
        <v>1235</v>
      </c>
      <c r="F42" s="855">
        <f>F40*(5/100*F38)</f>
        <v>200000000</v>
      </c>
      <c r="G42" s="841"/>
    </row>
    <row r="43" spans="2:7" s="33" customFormat="1" outlineLevel="1" x14ac:dyDescent="0.35">
      <c r="B43" s="873"/>
      <c r="C43" s="60"/>
      <c r="D43" s="12"/>
      <c r="E43" s="862" t="s">
        <v>1236</v>
      </c>
      <c r="F43" s="1229">
        <f>F41 + F42</f>
        <v>485000000</v>
      </c>
      <c r="G43" s="841"/>
    </row>
    <row r="44" spans="2:7" s="33" customFormat="1" outlineLevel="1" x14ac:dyDescent="0.35">
      <c r="B44" s="873"/>
      <c r="C44" s="60"/>
      <c r="D44" s="12"/>
      <c r="E44" s="849" t="s">
        <v>1237</v>
      </c>
      <c r="F44" s="855">
        <v>56800000</v>
      </c>
      <c r="G44" s="841"/>
    </row>
    <row r="45" spans="2:7" s="33" customFormat="1" outlineLevel="1" x14ac:dyDescent="0.35">
      <c r="B45" s="873"/>
      <c r="C45" s="60"/>
      <c r="D45" s="12"/>
      <c r="E45" s="862" t="s">
        <v>937</v>
      </c>
      <c r="F45" s="855"/>
      <c r="G45" s="872">
        <f>F43-F44</f>
        <v>428200000</v>
      </c>
    </row>
    <row r="46" spans="2:7" s="33" customFormat="1" outlineLevel="1" x14ac:dyDescent="0.35">
      <c r="B46" s="873"/>
      <c r="C46" s="888" t="s">
        <v>1240</v>
      </c>
      <c r="D46" s="12"/>
      <c r="E46" s="862" t="s">
        <v>1132</v>
      </c>
      <c r="F46" s="855"/>
      <c r="G46" s="872"/>
    </row>
    <row r="47" spans="2:7" s="33" customFormat="1" outlineLevel="1" x14ac:dyDescent="0.35">
      <c r="B47" s="873"/>
      <c r="C47" s="60"/>
      <c r="D47" s="12"/>
      <c r="E47" s="849" t="s">
        <v>1018</v>
      </c>
      <c r="F47" s="855">
        <v>2790</v>
      </c>
      <c r="G47" s="841"/>
    </row>
    <row r="48" spans="2:7" s="33" customFormat="1" outlineLevel="1" x14ac:dyDescent="0.35">
      <c r="B48" s="873"/>
      <c r="C48" s="60"/>
      <c r="D48" s="12"/>
      <c r="E48" s="849" t="s">
        <v>1017</v>
      </c>
      <c r="F48" s="855">
        <v>1000000</v>
      </c>
      <c r="G48" s="841"/>
    </row>
    <row r="49" spans="2:7" s="33" customFormat="1" outlineLevel="1" x14ac:dyDescent="0.35">
      <c r="B49" s="873"/>
      <c r="C49" s="60"/>
      <c r="D49" s="12"/>
      <c r="E49" s="862" t="s">
        <v>951</v>
      </c>
      <c r="F49" s="1229">
        <f>F47*F48</f>
        <v>2790000000</v>
      </c>
      <c r="G49" s="841"/>
    </row>
    <row r="50" spans="2:7" s="33" customFormat="1" outlineLevel="1" x14ac:dyDescent="0.35">
      <c r="B50" s="873"/>
      <c r="C50" s="60"/>
      <c r="D50" s="12"/>
      <c r="E50" s="862" t="s">
        <v>937</v>
      </c>
      <c r="F50" s="855"/>
      <c r="G50" s="872">
        <f>F49*'Inflation Rates'!C21</f>
        <v>3255930000</v>
      </c>
    </row>
    <row r="51" spans="2:7" s="866" customFormat="1" ht="14.5" customHeight="1" outlineLevel="1" x14ac:dyDescent="0.35">
      <c r="B51" s="967"/>
      <c r="C51" s="968" t="s">
        <v>1033</v>
      </c>
      <c r="D51" s="1627" t="s">
        <v>988</v>
      </c>
      <c r="E51" s="1628"/>
      <c r="F51" s="1628"/>
      <c r="G51" s="1629"/>
    </row>
    <row r="52" spans="2:7" s="33" customFormat="1" outlineLevel="1" x14ac:dyDescent="0.35">
      <c r="B52" s="873"/>
      <c r="C52" s="60"/>
      <c r="D52" s="12"/>
      <c r="E52" s="849" t="s">
        <v>1019</v>
      </c>
      <c r="F52" s="855">
        <v>75</v>
      </c>
      <c r="G52" s="841"/>
    </row>
    <row r="53" spans="2:7" s="33" customFormat="1" outlineLevel="1" x14ac:dyDescent="0.35">
      <c r="B53" s="873"/>
      <c r="C53" s="60"/>
      <c r="D53" s="12"/>
      <c r="E53" s="849" t="s">
        <v>1238</v>
      </c>
      <c r="F53" s="855">
        <v>8500000</v>
      </c>
      <c r="G53" s="841"/>
    </row>
    <row r="54" spans="2:7" s="33" customFormat="1" outlineLevel="1" x14ac:dyDescent="0.35">
      <c r="B54" s="873"/>
      <c r="C54" s="60"/>
      <c r="D54" s="12"/>
      <c r="E54" s="849" t="s">
        <v>1013</v>
      </c>
      <c r="F54" s="855">
        <f>F52*F53</f>
        <v>637500000</v>
      </c>
      <c r="G54" s="841"/>
    </row>
    <row r="55" spans="2:7" s="33" customFormat="1" outlineLevel="1" x14ac:dyDescent="0.35">
      <c r="B55" s="873"/>
      <c r="C55" s="60"/>
      <c r="D55" s="12"/>
      <c r="E55" s="862" t="s">
        <v>937</v>
      </c>
      <c r="F55" s="855"/>
      <c r="G55" s="872">
        <f>F54*'Inflation Rates'!C25</f>
        <v>698700000</v>
      </c>
    </row>
    <row r="56" spans="2:7" s="866" customFormat="1" ht="14.5" customHeight="1" outlineLevel="1" x14ac:dyDescent="0.35">
      <c r="B56" s="967"/>
      <c r="C56" s="968" t="s">
        <v>1143</v>
      </c>
      <c r="D56" s="1627" t="s">
        <v>989</v>
      </c>
      <c r="E56" s="1628"/>
      <c r="F56" s="1628"/>
      <c r="G56" s="1629"/>
    </row>
    <row r="57" spans="2:7" s="33" customFormat="1" outlineLevel="1" x14ac:dyDescent="0.35">
      <c r="B57" s="873"/>
      <c r="C57" s="60"/>
      <c r="D57" s="12"/>
      <c r="E57" s="849" t="s">
        <v>1020</v>
      </c>
      <c r="F57" s="855">
        <v>11418</v>
      </c>
      <c r="G57" s="841"/>
    </row>
    <row r="58" spans="2:7" s="33" customFormat="1" outlineLevel="1" x14ac:dyDescent="0.35">
      <c r="B58" s="873"/>
      <c r="C58" s="60"/>
      <c r="D58" s="12"/>
      <c r="E58" s="849" t="s">
        <v>1241</v>
      </c>
      <c r="F58" s="855">
        <v>187000</v>
      </c>
      <c r="G58" s="841"/>
    </row>
    <row r="59" spans="2:7" s="33" customFormat="1" outlineLevel="1" x14ac:dyDescent="0.35">
      <c r="B59" s="873"/>
      <c r="C59" s="60"/>
      <c r="D59" s="12"/>
      <c r="E59" s="849" t="s">
        <v>1242</v>
      </c>
      <c r="F59" s="855">
        <f>F57*F58</f>
        <v>2135166000</v>
      </c>
      <c r="G59" s="841"/>
    </row>
    <row r="60" spans="2:7" s="33" customFormat="1" outlineLevel="1" x14ac:dyDescent="0.35">
      <c r="B60" s="873"/>
      <c r="C60" s="60"/>
      <c r="D60" s="12"/>
      <c r="E60" s="849" t="s">
        <v>1243</v>
      </c>
      <c r="F60" s="855">
        <v>39500000</v>
      </c>
      <c r="G60" s="841"/>
    </row>
    <row r="61" spans="2:7" s="33" customFormat="1" outlineLevel="1" x14ac:dyDescent="0.35">
      <c r="B61" s="873"/>
      <c r="C61" s="60"/>
      <c r="D61" s="12"/>
      <c r="E61" s="862" t="s">
        <v>937</v>
      </c>
      <c r="F61" s="855"/>
      <c r="G61" s="872">
        <f>F59-F60</f>
        <v>2095666000</v>
      </c>
    </row>
    <row r="62" spans="2:7" s="865" customFormat="1" outlineLevel="1" x14ac:dyDescent="0.35">
      <c r="B62" s="1630" t="s">
        <v>1145</v>
      </c>
      <c r="C62" s="1631"/>
      <c r="D62" s="1631"/>
      <c r="E62" s="1631"/>
      <c r="F62" s="1631"/>
      <c r="G62" s="1632"/>
    </row>
    <row r="63" spans="2:7" s="866" customFormat="1" ht="14.5" customHeight="1" outlineLevel="1" x14ac:dyDescent="0.35">
      <c r="B63" s="967"/>
      <c r="C63" s="968" t="s">
        <v>1144</v>
      </c>
      <c r="D63" s="1627" t="s">
        <v>1244</v>
      </c>
      <c r="E63" s="1628"/>
      <c r="F63" s="1628"/>
      <c r="G63" s="1629"/>
    </row>
    <row r="64" spans="2:7" s="33" customFormat="1" outlineLevel="1" x14ac:dyDescent="0.35">
      <c r="B64" s="873"/>
      <c r="C64" s="60"/>
      <c r="D64" s="12"/>
      <c r="E64" s="849" t="s">
        <v>1021</v>
      </c>
      <c r="F64" s="855">
        <v>331</v>
      </c>
      <c r="G64" s="841"/>
    </row>
    <row r="65" spans="2:7" s="33" customFormat="1" outlineLevel="1" x14ac:dyDescent="0.35">
      <c r="B65" s="873"/>
      <c r="C65" s="60"/>
      <c r="D65" s="12"/>
      <c r="E65" s="849" t="s">
        <v>1022</v>
      </c>
      <c r="F65" s="855">
        <v>346529</v>
      </c>
      <c r="G65" s="841"/>
    </row>
    <row r="66" spans="2:7" s="33" customFormat="1" outlineLevel="1" x14ac:dyDescent="0.35">
      <c r="B66" s="873"/>
      <c r="C66" s="60"/>
      <c r="D66" s="12"/>
      <c r="E66" s="849" t="s">
        <v>997</v>
      </c>
      <c r="F66" s="855">
        <f>F64*F65</f>
        <v>114701099</v>
      </c>
      <c r="G66" s="841"/>
    </row>
    <row r="67" spans="2:7" s="118" customFormat="1" outlineLevel="1" x14ac:dyDescent="0.35">
      <c r="B67" s="1227"/>
      <c r="C67" s="25"/>
      <c r="D67" s="1228"/>
      <c r="E67" s="862" t="s">
        <v>1246</v>
      </c>
      <c r="F67" s="1229">
        <f>F66*'Inflation Rates'!C23</f>
        <v>128924035.27600001</v>
      </c>
      <c r="G67" s="871"/>
    </row>
    <row r="68" spans="2:7" s="33" customFormat="1" outlineLevel="1" x14ac:dyDescent="0.35">
      <c r="B68" s="873"/>
      <c r="C68" s="60"/>
      <c r="D68" s="12"/>
      <c r="E68" s="849" t="s">
        <v>1023</v>
      </c>
      <c r="F68" s="855">
        <v>4560</v>
      </c>
      <c r="G68" s="841"/>
    </row>
    <row r="69" spans="2:7" s="33" customFormat="1" outlineLevel="1" x14ac:dyDescent="0.35">
      <c r="B69" s="873"/>
      <c r="C69" s="60"/>
      <c r="D69" s="12"/>
      <c r="E69" s="849" t="s">
        <v>1024</v>
      </c>
      <c r="F69" s="855">
        <v>8485</v>
      </c>
      <c r="G69" s="841"/>
    </row>
    <row r="70" spans="2:7" s="33" customFormat="1" outlineLevel="1" x14ac:dyDescent="0.35">
      <c r="B70" s="873"/>
      <c r="C70" s="60"/>
      <c r="D70" s="12"/>
      <c r="E70" s="849" t="s">
        <v>997</v>
      </c>
      <c r="F70" s="855">
        <f>F68*F69</f>
        <v>38691600</v>
      </c>
      <c r="G70" s="841"/>
    </row>
    <row r="71" spans="2:7" s="118" customFormat="1" outlineLevel="1" x14ac:dyDescent="0.35">
      <c r="B71" s="1227"/>
      <c r="C71" s="25"/>
      <c r="D71" s="1228"/>
      <c r="E71" s="862" t="s">
        <v>1247</v>
      </c>
      <c r="F71" s="1229">
        <f>F70*'Inflation Rates'!C23</f>
        <v>43489358.400000006</v>
      </c>
      <c r="G71" s="871"/>
    </row>
    <row r="72" spans="2:7" s="118" customFormat="1" outlineLevel="1" x14ac:dyDescent="0.35">
      <c r="B72" s="1227"/>
      <c r="C72" s="25"/>
      <c r="D72" s="1228"/>
      <c r="E72" s="862" t="s">
        <v>1242</v>
      </c>
      <c r="F72" s="1229">
        <f>F67+F71</f>
        <v>172413393.676</v>
      </c>
      <c r="G72" s="871"/>
    </row>
    <row r="73" spans="2:7" s="118" customFormat="1" outlineLevel="1" x14ac:dyDescent="0.35">
      <c r="B73" s="1227"/>
      <c r="C73" s="25"/>
      <c r="D73" s="1228"/>
      <c r="E73" s="849" t="s">
        <v>1245</v>
      </c>
      <c r="F73" s="855">
        <v>27600000</v>
      </c>
      <c r="G73" s="841"/>
    </row>
    <row r="74" spans="2:7" s="33" customFormat="1" outlineLevel="1" x14ac:dyDescent="0.35">
      <c r="B74" s="873"/>
      <c r="C74" s="60"/>
      <c r="D74" s="12"/>
      <c r="E74" s="862" t="s">
        <v>937</v>
      </c>
      <c r="F74" s="855"/>
      <c r="G74" s="872">
        <f>F72-F73</f>
        <v>144813393.676</v>
      </c>
    </row>
    <row r="75" spans="2:7" s="866" customFormat="1" outlineLevel="1" x14ac:dyDescent="0.35">
      <c r="B75" s="967"/>
      <c r="C75" s="968" t="s">
        <v>1146</v>
      </c>
      <c r="D75" s="1627" t="s">
        <v>1028</v>
      </c>
      <c r="E75" s="1628"/>
      <c r="F75" s="1628"/>
      <c r="G75" s="1629"/>
    </row>
    <row r="76" spans="2:7" s="33" customFormat="1" outlineLevel="1" x14ac:dyDescent="0.35">
      <c r="B76" s="873"/>
      <c r="C76" s="60"/>
      <c r="D76" s="12"/>
      <c r="E76" s="849" t="s">
        <v>1025</v>
      </c>
      <c r="F76" s="855">
        <v>35200</v>
      </c>
      <c r="G76" s="841"/>
    </row>
    <row r="77" spans="2:7" s="33" customFormat="1" outlineLevel="1" x14ac:dyDescent="0.35">
      <c r="B77" s="873"/>
      <c r="C77" s="60"/>
      <c r="D77" s="12"/>
      <c r="E77" s="849" t="s">
        <v>1026</v>
      </c>
      <c r="F77" s="855">
        <v>38450</v>
      </c>
      <c r="G77" s="841"/>
    </row>
    <row r="78" spans="2:7" s="33" customFormat="1" outlineLevel="1" x14ac:dyDescent="0.35">
      <c r="B78" s="873"/>
      <c r="C78" s="60"/>
      <c r="D78" s="12"/>
      <c r="E78" s="849" t="s">
        <v>1027</v>
      </c>
      <c r="F78" s="855">
        <f>F77-F76</f>
        <v>3250</v>
      </c>
      <c r="G78" s="841"/>
    </row>
    <row r="79" spans="2:7" s="33" customFormat="1" outlineLevel="1" x14ac:dyDescent="0.35">
      <c r="B79" s="873"/>
      <c r="C79" s="60"/>
      <c r="D79" s="12"/>
      <c r="E79" s="849" t="s">
        <v>1135</v>
      </c>
      <c r="F79" s="855">
        <v>1906.9</v>
      </c>
      <c r="G79" s="841"/>
    </row>
    <row r="80" spans="2:7" s="33" customFormat="1" outlineLevel="1" x14ac:dyDescent="0.35">
      <c r="B80" s="873"/>
      <c r="C80" s="60"/>
      <c r="D80" s="12"/>
      <c r="E80" s="849" t="s">
        <v>997</v>
      </c>
      <c r="F80" s="855">
        <f>F78*F79</f>
        <v>6197425</v>
      </c>
      <c r="G80" s="841"/>
    </row>
    <row r="81" spans="2:8" s="33" customFormat="1" outlineLevel="1" x14ac:dyDescent="0.35">
      <c r="B81" s="873"/>
      <c r="C81" s="60"/>
      <c r="D81" s="12"/>
      <c r="E81" s="862" t="s">
        <v>937</v>
      </c>
      <c r="F81" s="855"/>
      <c r="G81" s="872">
        <f>F80*'Inflation Rates'!C23</f>
        <v>6965905.7000000011</v>
      </c>
    </row>
    <row r="82" spans="2:8" s="33" customFormat="1" outlineLevel="1" x14ac:dyDescent="0.35">
      <c r="B82" s="969"/>
      <c r="C82" s="970" t="s">
        <v>110</v>
      </c>
      <c r="D82" s="971"/>
      <c r="E82" s="972"/>
      <c r="F82" s="973"/>
      <c r="G82" s="974">
        <f>SUM(G7:G81)</f>
        <v>121470561699.9818</v>
      </c>
    </row>
    <row r="83" spans="2:8" s="33" customFormat="1" outlineLevel="1" x14ac:dyDescent="0.35">
      <c r="B83" s="873"/>
      <c r="C83" s="60"/>
      <c r="D83" s="12"/>
      <c r="E83" s="849" t="s">
        <v>113</v>
      </c>
      <c r="F83" s="855"/>
      <c r="G83" s="872">
        <f>G82*Assumptions!C7</f>
        <v>12147056169.99818</v>
      </c>
    </row>
    <row r="84" spans="2:8" s="33" customFormat="1" outlineLevel="1" x14ac:dyDescent="0.35">
      <c r="B84" s="924"/>
      <c r="C84" s="925" t="s">
        <v>965</v>
      </c>
      <c r="D84" s="926"/>
      <c r="E84" s="927"/>
      <c r="F84" s="928"/>
      <c r="G84" s="929">
        <f>SUM(G82,G83)</f>
        <v>133617617869.97998</v>
      </c>
    </row>
    <row r="85" spans="2:8" s="33" customFormat="1" outlineLevel="1" x14ac:dyDescent="0.35">
      <c r="B85" s="869" t="s">
        <v>1030</v>
      </c>
      <c r="C85" s="853"/>
      <c r="D85" s="853"/>
      <c r="E85" s="842"/>
      <c r="F85" s="854"/>
      <c r="G85" s="870"/>
    </row>
    <row r="86" spans="2:8" s="866" customFormat="1" ht="14.5" customHeight="1" outlineLevel="1" x14ac:dyDescent="0.35">
      <c r="B86" s="967"/>
      <c r="C86" s="968" t="s">
        <v>993</v>
      </c>
      <c r="D86" s="1627" t="s">
        <v>1248</v>
      </c>
      <c r="E86" s="1628"/>
      <c r="F86" s="1628"/>
      <c r="G86" s="1629"/>
    </row>
    <row r="87" spans="2:8" s="33" customFormat="1" outlineLevel="1" x14ac:dyDescent="0.35">
      <c r="B87" s="873"/>
      <c r="C87" s="60"/>
      <c r="D87" s="12"/>
      <c r="E87" s="849" t="s">
        <v>1249</v>
      </c>
      <c r="F87" s="855">
        <f>MajorRiv.Data!D61/'Present Value'!E19</f>
        <v>50614.019240034846</v>
      </c>
      <c r="G87" s="872"/>
    </row>
    <row r="88" spans="2:8" s="33" customFormat="1" outlineLevel="1" x14ac:dyDescent="0.35">
      <c r="B88" s="873"/>
      <c r="C88" s="60"/>
      <c r="D88" s="12"/>
      <c r="E88" s="849" t="s">
        <v>969</v>
      </c>
      <c r="F88" s="855">
        <f>4.7</f>
        <v>4.7</v>
      </c>
      <c r="G88" s="872"/>
    </row>
    <row r="89" spans="2:8" s="33" customFormat="1" outlineLevel="1" x14ac:dyDescent="0.35">
      <c r="B89" s="873"/>
      <c r="C89" s="60"/>
      <c r="D89" s="12"/>
      <c r="E89" s="849" t="s">
        <v>1120</v>
      </c>
      <c r="F89" s="855">
        <f>F87*F88</f>
        <v>237885.89042816378</v>
      </c>
      <c r="G89" s="872"/>
    </row>
    <row r="90" spans="2:8" s="118" customFormat="1" outlineLevel="1" x14ac:dyDescent="0.35">
      <c r="B90" s="1227"/>
      <c r="C90" s="25"/>
      <c r="D90" s="1228"/>
      <c r="E90" s="862" t="s">
        <v>1122</v>
      </c>
      <c r="F90" s="1229">
        <f>F89*'Inflation Rates'!C23</f>
        <v>267383.74084125611</v>
      </c>
      <c r="G90" s="871"/>
    </row>
    <row r="91" spans="2:8" s="33" customFormat="1" outlineLevel="1" x14ac:dyDescent="0.35">
      <c r="B91" s="873"/>
      <c r="C91" s="60"/>
      <c r="D91" s="12"/>
      <c r="E91" s="849" t="s">
        <v>1250</v>
      </c>
      <c r="F91" s="855">
        <f>Lakes.Data!C104/'Present Value'!E19</f>
        <v>37613.5</v>
      </c>
      <c r="G91" s="872"/>
      <c r="H91" s="866"/>
    </row>
    <row r="92" spans="2:8" s="33" customFormat="1" outlineLevel="1" x14ac:dyDescent="0.35">
      <c r="B92" s="873"/>
      <c r="C92" s="60"/>
      <c r="D92" s="12"/>
      <c r="E92" s="849" t="s">
        <v>969</v>
      </c>
      <c r="F92" s="855">
        <f>4.7</f>
        <v>4.7</v>
      </c>
      <c r="G92" s="872"/>
      <c r="H92" s="866"/>
    </row>
    <row r="93" spans="2:8" s="33" customFormat="1" outlineLevel="1" x14ac:dyDescent="0.35">
      <c r="B93" s="873"/>
      <c r="C93" s="60"/>
      <c r="D93" s="12"/>
      <c r="E93" s="849" t="s">
        <v>1120</v>
      </c>
      <c r="F93" s="855">
        <f>F91*F92</f>
        <v>176783.45</v>
      </c>
      <c r="G93" s="872"/>
      <c r="H93" s="866"/>
    </row>
    <row r="94" spans="2:8" s="118" customFormat="1" outlineLevel="1" x14ac:dyDescent="0.35">
      <c r="B94" s="1227"/>
      <c r="C94" s="25"/>
      <c r="D94" s="1228"/>
      <c r="E94" s="862" t="s">
        <v>1122</v>
      </c>
      <c r="F94" s="1229">
        <f>F93*'Inflation Rates'!C23</f>
        <v>198704.59780000005</v>
      </c>
      <c r="G94" s="871"/>
    </row>
    <row r="95" spans="2:8" s="33" customFormat="1" outlineLevel="1" x14ac:dyDescent="0.35">
      <c r="B95" s="873"/>
      <c r="C95" s="60"/>
      <c r="D95" s="12"/>
      <c r="E95" s="849" t="s">
        <v>1251</v>
      </c>
      <c r="F95" s="855">
        <f>MinorRiv.Data!D88/'Present Value'!E19</f>
        <v>514932</v>
      </c>
      <c r="G95" s="872"/>
      <c r="H95" s="866"/>
    </row>
    <row r="96" spans="2:8" s="33" customFormat="1" outlineLevel="1" x14ac:dyDescent="0.35">
      <c r="B96" s="873"/>
      <c r="C96" s="60"/>
      <c r="D96" s="12"/>
      <c r="E96" s="849" t="s">
        <v>969</v>
      </c>
      <c r="F96" s="855">
        <f>4.7</f>
        <v>4.7</v>
      </c>
      <c r="G96" s="872"/>
      <c r="H96" s="866"/>
    </row>
    <row r="97" spans="2:8" s="33" customFormat="1" outlineLevel="1" x14ac:dyDescent="0.35">
      <c r="B97" s="873"/>
      <c r="C97" s="60"/>
      <c r="D97" s="12"/>
      <c r="E97" s="849" t="s">
        <v>1120</v>
      </c>
      <c r="F97" s="855">
        <f>F95*F96</f>
        <v>2420180.4</v>
      </c>
      <c r="G97" s="872"/>
      <c r="H97" s="866"/>
    </row>
    <row r="98" spans="2:8" s="118" customFormat="1" outlineLevel="1" x14ac:dyDescent="0.35">
      <c r="B98" s="1227"/>
      <c r="C98" s="25"/>
      <c r="D98" s="1228"/>
      <c r="E98" s="862" t="s">
        <v>1122</v>
      </c>
      <c r="F98" s="1229">
        <f>F97*'Inflation Rates'!C23</f>
        <v>2720282.7696000002</v>
      </c>
      <c r="G98" s="871"/>
    </row>
    <row r="99" spans="2:8" s="33" customFormat="1" outlineLevel="1" x14ac:dyDescent="0.35">
      <c r="B99" s="873"/>
      <c r="C99" s="60"/>
      <c r="D99" s="12"/>
      <c r="E99" s="862" t="s">
        <v>1252</v>
      </c>
      <c r="F99" s="855"/>
      <c r="G99" s="872">
        <f>SUM(F90,F94,F98)</f>
        <v>3186371.1082412563</v>
      </c>
      <c r="H99" s="866"/>
    </row>
    <row r="100" spans="2:8" s="866" customFormat="1" ht="14.5" customHeight="1" outlineLevel="1" x14ac:dyDescent="0.35">
      <c r="B100" s="967"/>
      <c r="C100" s="968" t="s">
        <v>994</v>
      </c>
      <c r="D100" s="1627" t="s">
        <v>1029</v>
      </c>
      <c r="E100" s="1628"/>
      <c r="F100" s="1628"/>
      <c r="G100" s="1629"/>
    </row>
    <row r="101" spans="2:8" s="33" customFormat="1" outlineLevel="1" x14ac:dyDescent="0.35">
      <c r="B101" s="873"/>
      <c r="C101" s="60"/>
      <c r="D101" s="12"/>
      <c r="E101" s="849" t="s">
        <v>1253</v>
      </c>
      <c r="F101" s="855">
        <f>G45</f>
        <v>428200000</v>
      </c>
      <c r="G101" s="872"/>
      <c r="H101" s="866"/>
    </row>
    <row r="102" spans="2:8" s="33" customFormat="1" outlineLevel="1" x14ac:dyDescent="0.35">
      <c r="B102" s="873"/>
      <c r="C102" s="60"/>
      <c r="D102" s="12"/>
      <c r="E102" s="849" t="s">
        <v>1254</v>
      </c>
      <c r="F102" s="855">
        <f>G48</f>
        <v>0</v>
      </c>
      <c r="G102" s="872"/>
      <c r="H102" s="866"/>
    </row>
    <row r="103" spans="2:8" s="33" customFormat="1" outlineLevel="1" x14ac:dyDescent="0.35">
      <c r="B103" s="873"/>
      <c r="C103" s="60"/>
      <c r="D103" s="12"/>
      <c r="E103" s="849" t="s">
        <v>1031</v>
      </c>
      <c r="F103" s="936">
        <v>0.01</v>
      </c>
      <c r="G103" s="872"/>
      <c r="H103" s="866"/>
    </row>
    <row r="104" spans="2:8" s="33" customFormat="1" outlineLevel="1" x14ac:dyDescent="0.35">
      <c r="B104" s="873"/>
      <c r="C104" s="60"/>
      <c r="D104" s="12"/>
      <c r="E104" s="862" t="s">
        <v>1255</v>
      </c>
      <c r="F104" s="855"/>
      <c r="G104" s="872">
        <f>F103*(F101+F102)</f>
        <v>4282000</v>
      </c>
      <c r="H104" s="866"/>
    </row>
    <row r="105" spans="2:8" s="866" customFormat="1" ht="14.5" customHeight="1" outlineLevel="1" x14ac:dyDescent="0.35">
      <c r="B105" s="967"/>
      <c r="C105" s="968" t="s">
        <v>1148</v>
      </c>
      <c r="D105" s="1627" t="s">
        <v>992</v>
      </c>
      <c r="E105" s="1628"/>
      <c r="F105" s="1628"/>
      <c r="G105" s="1629"/>
    </row>
    <row r="106" spans="2:8" s="33" customFormat="1" outlineLevel="1" x14ac:dyDescent="0.35">
      <c r="B106" s="873"/>
      <c r="C106" s="60"/>
      <c r="D106" s="12"/>
      <c r="E106" s="849" t="s">
        <v>1256</v>
      </c>
      <c r="F106" s="855">
        <f>F54</f>
        <v>637500000</v>
      </c>
      <c r="G106" s="872"/>
    </row>
    <row r="107" spans="2:8" s="33" customFormat="1" outlineLevel="1" x14ac:dyDescent="0.35">
      <c r="B107" s="873"/>
      <c r="C107" s="60"/>
      <c r="D107" s="12"/>
      <c r="E107" s="849" t="s">
        <v>1031</v>
      </c>
      <c r="F107" s="936">
        <f>0.02</f>
        <v>0.02</v>
      </c>
      <c r="G107" s="872"/>
    </row>
    <row r="108" spans="2:8" s="33" customFormat="1" outlineLevel="1" x14ac:dyDescent="0.35">
      <c r="B108" s="873"/>
      <c r="C108" s="60"/>
      <c r="D108" s="12"/>
      <c r="E108" s="862" t="s">
        <v>937</v>
      </c>
      <c r="F108" s="855"/>
      <c r="G108" s="937">
        <f>F106*F107</f>
        <v>12750000</v>
      </c>
    </row>
    <row r="109" spans="2:8" s="866" customFormat="1" ht="14.5" customHeight="1" outlineLevel="1" x14ac:dyDescent="0.35">
      <c r="B109" s="967"/>
      <c r="C109" s="968" t="s">
        <v>1149</v>
      </c>
      <c r="D109" s="1627" t="s">
        <v>143</v>
      </c>
      <c r="E109" s="1628"/>
      <c r="F109" s="1628"/>
      <c r="G109" s="1629"/>
    </row>
    <row r="110" spans="2:8" s="33" customFormat="1" outlineLevel="1" x14ac:dyDescent="0.35">
      <c r="B110" s="873"/>
      <c r="C110" s="60"/>
      <c r="D110" s="12"/>
      <c r="E110" s="849" t="s">
        <v>1032</v>
      </c>
      <c r="F110" s="855">
        <f>G61</f>
        <v>2095666000</v>
      </c>
      <c r="G110" s="872"/>
    </row>
    <row r="111" spans="2:8" s="33" customFormat="1" outlineLevel="1" x14ac:dyDescent="0.35">
      <c r="B111" s="873"/>
      <c r="C111" s="60"/>
      <c r="D111" s="12"/>
      <c r="E111" s="849" t="s">
        <v>1031</v>
      </c>
      <c r="F111" s="936">
        <v>0.02</v>
      </c>
      <c r="G111" s="872"/>
    </row>
    <row r="112" spans="2:8" s="33" customFormat="1" outlineLevel="1" x14ac:dyDescent="0.35">
      <c r="B112" s="873"/>
      <c r="C112" s="60"/>
      <c r="D112" s="12"/>
      <c r="E112" s="849" t="s">
        <v>997</v>
      </c>
      <c r="F112" s="855">
        <f>F110*F111</f>
        <v>41913320</v>
      </c>
      <c r="G112" s="872"/>
    </row>
    <row r="113" spans="2:7" s="33" customFormat="1" outlineLevel="1" x14ac:dyDescent="0.35">
      <c r="B113" s="873"/>
      <c r="C113" s="60"/>
      <c r="D113" s="12"/>
      <c r="E113" s="862" t="s">
        <v>937</v>
      </c>
      <c r="F113" s="855"/>
      <c r="G113" s="872">
        <f>F112*'Inflation Rates'!C23</f>
        <v>47110571.680000007</v>
      </c>
    </row>
    <row r="114" spans="2:7" s="866" customFormat="1" ht="14.5" customHeight="1" outlineLevel="1" x14ac:dyDescent="0.35">
      <c r="B114" s="967"/>
      <c r="C114" s="968" t="s">
        <v>1147</v>
      </c>
      <c r="D114" s="1627" t="s">
        <v>142</v>
      </c>
      <c r="E114" s="1628"/>
      <c r="F114" s="1628"/>
      <c r="G114" s="1629"/>
    </row>
    <row r="115" spans="2:7" s="33" customFormat="1" outlineLevel="1" x14ac:dyDescent="0.35">
      <c r="B115" s="873"/>
      <c r="C115" s="60"/>
      <c r="D115" s="12"/>
      <c r="E115" s="849" t="s">
        <v>1032</v>
      </c>
      <c r="F115" s="855">
        <f>G74</f>
        <v>144813393.676</v>
      </c>
      <c r="G115" s="872"/>
    </row>
    <row r="116" spans="2:7" s="33" customFormat="1" outlineLevel="1" x14ac:dyDescent="0.35">
      <c r="B116" s="873"/>
      <c r="C116" s="60"/>
      <c r="D116" s="12"/>
      <c r="E116" s="849" t="s">
        <v>1031</v>
      </c>
      <c r="F116" s="936">
        <v>0.02</v>
      </c>
      <c r="G116" s="872"/>
    </row>
    <row r="117" spans="2:7" s="33" customFormat="1" outlineLevel="1" x14ac:dyDescent="0.35">
      <c r="B117" s="873"/>
      <c r="C117" s="60"/>
      <c r="D117" s="12"/>
      <c r="E117" s="849" t="s">
        <v>997</v>
      </c>
      <c r="F117" s="855">
        <f>F115*F116</f>
        <v>2896267.8735199999</v>
      </c>
      <c r="G117" s="872"/>
    </row>
    <row r="118" spans="2:7" s="33" customFormat="1" outlineLevel="1" x14ac:dyDescent="0.35">
      <c r="B118" s="873"/>
      <c r="C118" s="60"/>
      <c r="D118" s="12"/>
      <c r="E118" s="862" t="s">
        <v>937</v>
      </c>
      <c r="F118" s="855"/>
      <c r="G118" s="872">
        <f>F117*'Inflation Rates'!C23</f>
        <v>3255405.0898364801</v>
      </c>
    </row>
    <row r="119" spans="2:7" s="33" customFormat="1" outlineLevel="1" x14ac:dyDescent="0.35">
      <c r="B119" s="924"/>
      <c r="C119" s="930" t="s">
        <v>966</v>
      </c>
      <c r="D119" s="926"/>
      <c r="E119" s="926"/>
      <c r="F119" s="931"/>
      <c r="G119" s="929">
        <f>SUM(G87:G118)</f>
        <v>70584347.878077745</v>
      </c>
    </row>
    <row r="120" spans="2:7" s="33" customFormat="1" outlineLevel="1" x14ac:dyDescent="0.35">
      <c r="B120" s="883"/>
      <c r="C120" s="884" t="s">
        <v>967</v>
      </c>
      <c r="D120" s="884"/>
      <c r="E120" s="885"/>
      <c r="F120" s="886"/>
      <c r="G120" s="887">
        <f>SUM(G84,G119)</f>
        <v>133688202217.85806</v>
      </c>
    </row>
  </sheetData>
  <mergeCells count="20">
    <mergeCell ref="B2:G2"/>
    <mergeCell ref="B3:D3"/>
    <mergeCell ref="B5:G5"/>
    <mergeCell ref="D6:G6"/>
    <mergeCell ref="B62:G62"/>
    <mergeCell ref="D17:G17"/>
    <mergeCell ref="D36:G36"/>
    <mergeCell ref="D51:G51"/>
    <mergeCell ref="D56:G56"/>
    <mergeCell ref="D114:G114"/>
    <mergeCell ref="D86:G86"/>
    <mergeCell ref="D100:G100"/>
    <mergeCell ref="B23:G23"/>
    <mergeCell ref="D24:G24"/>
    <mergeCell ref="D32:G32"/>
    <mergeCell ref="D105:G105"/>
    <mergeCell ref="D75:G75"/>
    <mergeCell ref="B31:G31"/>
    <mergeCell ref="D109:G109"/>
    <mergeCell ref="D63:G63"/>
  </mergeCells>
  <pageMargins left="0.7" right="0.7" top="0.75" bottom="0.75" header="0.3" footer="0.3"/>
  <legacy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3278F9-837E-4BD6-9E5D-1AB361FC40F0}">
  <sheetPr>
    <tabColor rgb="FF2A9D8F"/>
  </sheetPr>
  <dimension ref="B2:G42"/>
  <sheetViews>
    <sheetView topLeftCell="A27" zoomScale="85" zoomScaleNormal="85" workbookViewId="0">
      <selection activeCell="F33" sqref="F33"/>
    </sheetView>
  </sheetViews>
  <sheetFormatPr defaultRowHeight="14.5" outlineLevelRow="1" x14ac:dyDescent="0.35"/>
  <cols>
    <col min="1" max="1" width="5.36328125" customWidth="1"/>
    <col min="2" max="2" width="1.36328125" customWidth="1"/>
    <col min="3" max="3" width="6.54296875" bestFit="1" customWidth="1"/>
    <col min="4" max="4" width="4.36328125" customWidth="1"/>
    <col min="5" max="5" width="43.81640625" customWidth="1"/>
    <col min="6" max="6" width="18.7265625" style="856" customWidth="1"/>
    <col min="7" max="7" width="17.7265625" bestFit="1" customWidth="1"/>
  </cols>
  <sheetData>
    <row r="2" spans="2:7" s="118" customFormat="1" collapsed="1" x14ac:dyDescent="0.35">
      <c r="B2" s="1643" t="s">
        <v>977</v>
      </c>
      <c r="C2" s="1644"/>
      <c r="D2" s="1644"/>
      <c r="E2" s="1644"/>
      <c r="F2" s="1644"/>
      <c r="G2" s="1645"/>
    </row>
    <row r="3" spans="2:7" s="33" customFormat="1" outlineLevel="1" x14ac:dyDescent="0.35">
      <c r="B3" s="1616" t="s">
        <v>934</v>
      </c>
      <c r="C3" s="1617"/>
      <c r="D3" s="1617"/>
      <c r="E3" s="867"/>
      <c r="F3" s="867" t="s">
        <v>945</v>
      </c>
      <c r="G3" s="868" t="s">
        <v>938</v>
      </c>
    </row>
    <row r="4" spans="2:7" s="33" customFormat="1" outlineLevel="1" x14ac:dyDescent="0.35">
      <c r="B4" s="869" t="s">
        <v>119</v>
      </c>
      <c r="C4" s="853"/>
      <c r="D4" s="853"/>
      <c r="E4" s="842"/>
      <c r="F4" s="854"/>
      <c r="G4" s="870"/>
    </row>
    <row r="5" spans="2:7" s="865" customFormat="1" ht="28.5" customHeight="1" outlineLevel="1" x14ac:dyDescent="0.35">
      <c r="B5" s="1640" t="s">
        <v>1406</v>
      </c>
      <c r="C5" s="1641"/>
      <c r="D5" s="1641"/>
      <c r="E5" s="1641"/>
      <c r="F5" s="1641"/>
      <c r="G5" s="1642"/>
    </row>
    <row r="6" spans="2:7" s="866" customFormat="1" ht="29" customHeight="1" outlineLevel="1" x14ac:dyDescent="0.35">
      <c r="B6" s="963"/>
      <c r="C6" s="964" t="s">
        <v>978</v>
      </c>
      <c r="D6" s="1637" t="s">
        <v>983</v>
      </c>
      <c r="E6" s="1638"/>
      <c r="F6" s="1638"/>
      <c r="G6" s="1639"/>
    </row>
    <row r="7" spans="2:7" s="33" customFormat="1" outlineLevel="1" x14ac:dyDescent="0.35">
      <c r="B7" s="266"/>
      <c r="C7" s="12"/>
      <c r="D7" s="12"/>
      <c r="E7" s="849" t="s">
        <v>1067</v>
      </c>
      <c r="F7" s="855">
        <f>'NativeVeg V1.1 &amp; OpEx'!D37+'NativeVeg V1.1 &amp; OpEx'!E37</f>
        <v>1318457.8434231251</v>
      </c>
      <c r="G7" s="841"/>
    </row>
    <row r="8" spans="2:7" s="33" customFormat="1" outlineLevel="1" x14ac:dyDescent="0.35">
      <c r="B8" s="266"/>
      <c r="C8" s="12"/>
      <c r="D8" s="12"/>
      <c r="E8" s="849" t="s">
        <v>1110</v>
      </c>
      <c r="F8" s="855">
        <f>F9/F7</f>
        <v>3071.8579924988603</v>
      </c>
      <c r="G8" s="841"/>
    </row>
    <row r="9" spans="2:7" s="33" customFormat="1" outlineLevel="1" x14ac:dyDescent="0.35">
      <c r="B9" s="266"/>
      <c r="C9" s="12"/>
      <c r="D9" s="12"/>
      <c r="E9" s="849" t="s">
        <v>1013</v>
      </c>
      <c r="F9" s="855">
        <f>'NativeVeg V1.1 &amp; OpEx'!E39</f>
        <v>4050115264.0921378</v>
      </c>
      <c r="G9" s="871"/>
    </row>
    <row r="10" spans="2:7" s="33" customFormat="1" outlineLevel="1" x14ac:dyDescent="0.35">
      <c r="B10" s="266"/>
      <c r="C10" s="12"/>
      <c r="D10" s="12"/>
      <c r="E10" s="862" t="s">
        <v>937</v>
      </c>
      <c r="F10" s="1035"/>
      <c r="G10" s="872">
        <f>F9*'Inflation Rates'!C25</f>
        <v>4438926329.4449835</v>
      </c>
    </row>
    <row r="11" spans="2:7" s="866" customFormat="1" ht="29" customHeight="1" outlineLevel="1" x14ac:dyDescent="0.35">
      <c r="B11" s="963"/>
      <c r="C11" s="964" t="s">
        <v>980</v>
      </c>
      <c r="D11" s="1637" t="s">
        <v>1136</v>
      </c>
      <c r="E11" s="1638"/>
      <c r="F11" s="1638"/>
      <c r="G11" s="1639"/>
    </row>
    <row r="12" spans="2:7" s="33" customFormat="1" outlineLevel="1" x14ac:dyDescent="0.35">
      <c r="B12" s="266"/>
      <c r="C12" s="12"/>
      <c r="D12" s="12"/>
      <c r="E12" s="849" t="s">
        <v>1067</v>
      </c>
      <c r="F12" s="855">
        <f>'NativeVeg V1.1 &amp; OpEx'!F37+'NativeVeg V1.1 &amp; OpEx'!G37</f>
        <v>11591524.165640462</v>
      </c>
      <c r="G12" s="841"/>
    </row>
    <row r="13" spans="2:7" s="33" customFormat="1" outlineLevel="1" x14ac:dyDescent="0.35">
      <c r="B13" s="266"/>
      <c r="C13" s="12"/>
      <c r="D13" s="12"/>
      <c r="E13" s="849" t="s">
        <v>1110</v>
      </c>
      <c r="F13" s="855">
        <f>F14/F12</f>
        <v>3004.3682676782805</v>
      </c>
      <c r="G13" s="841"/>
    </row>
    <row r="14" spans="2:7" s="33" customFormat="1" outlineLevel="1" x14ac:dyDescent="0.35">
      <c r="B14" s="266"/>
      <c r="C14" s="12"/>
      <c r="D14" s="12"/>
      <c r="E14" s="849" t="s">
        <v>1013</v>
      </c>
      <c r="F14" s="855">
        <f>'NativeVeg V1.1 &amp; OpEx'!E40</f>
        <v>34825207377.276161</v>
      </c>
      <c r="G14" s="871"/>
    </row>
    <row r="15" spans="2:7" s="33" customFormat="1" outlineLevel="1" x14ac:dyDescent="0.35">
      <c r="B15" s="266"/>
      <c r="C15" s="12"/>
      <c r="D15" s="12"/>
      <c r="E15" s="862" t="s">
        <v>937</v>
      </c>
      <c r="F15" s="1035"/>
      <c r="G15" s="872">
        <f>F14*'Inflation Rates'!C25</f>
        <v>38168427285.494675</v>
      </c>
    </row>
    <row r="16" spans="2:7" s="866" customFormat="1" ht="30.5" customHeight="1" outlineLevel="1" x14ac:dyDescent="0.35">
      <c r="B16" s="963"/>
      <c r="C16" s="964" t="s">
        <v>1106</v>
      </c>
      <c r="D16" s="1637" t="s">
        <v>979</v>
      </c>
      <c r="E16" s="1638"/>
      <c r="F16" s="1638"/>
      <c r="G16" s="1639"/>
    </row>
    <row r="17" spans="2:7" s="33" customFormat="1" outlineLevel="1" x14ac:dyDescent="0.35">
      <c r="B17" s="266"/>
      <c r="C17" s="12"/>
      <c r="D17" s="12"/>
      <c r="E17" s="849" t="s">
        <v>1013</v>
      </c>
      <c r="F17" s="855">
        <f>810005814.17*30</f>
        <v>24300174425.099998</v>
      </c>
      <c r="G17" s="871"/>
    </row>
    <row r="18" spans="2:7" s="33" customFormat="1" outlineLevel="1" x14ac:dyDescent="0.35">
      <c r="B18" s="266"/>
      <c r="C18" s="12"/>
      <c r="D18" s="12"/>
      <c r="E18" s="862" t="s">
        <v>937</v>
      </c>
      <c r="F18" s="1035"/>
      <c r="G18" s="872">
        <f>F17*'Inflation Rates'!C25</f>
        <v>26632991169.909599</v>
      </c>
    </row>
    <row r="19" spans="2:7" s="865" customFormat="1" outlineLevel="1" x14ac:dyDescent="0.35">
      <c r="B19" s="1640" t="s">
        <v>1137</v>
      </c>
      <c r="C19" s="1641"/>
      <c r="D19" s="1641"/>
      <c r="E19" s="1641"/>
      <c r="F19" s="1641"/>
      <c r="G19" s="1642"/>
    </row>
    <row r="20" spans="2:7" s="866" customFormat="1" outlineLevel="1" x14ac:dyDescent="0.35">
      <c r="B20" s="963"/>
      <c r="C20" s="964" t="s">
        <v>981</v>
      </c>
      <c r="D20" s="1637" t="s">
        <v>1402</v>
      </c>
      <c r="E20" s="1638"/>
      <c r="F20" s="1638"/>
      <c r="G20" s="1639"/>
    </row>
    <row r="21" spans="2:7" s="33" customFormat="1" outlineLevel="1" x14ac:dyDescent="0.35">
      <c r="B21" s="266"/>
      <c r="C21" s="12"/>
      <c r="D21" s="12"/>
      <c r="E21" s="849" t="s">
        <v>1199</v>
      </c>
      <c r="F21" s="855">
        <v>55780000</v>
      </c>
      <c r="G21" s="841"/>
    </row>
    <row r="22" spans="2:7" s="33" customFormat="1" outlineLevel="1" x14ac:dyDescent="0.35">
      <c r="B22" s="266"/>
      <c r="C22" s="12"/>
      <c r="D22" s="12"/>
      <c r="E22" s="849" t="s">
        <v>1200</v>
      </c>
      <c r="F22" s="855">
        <v>55</v>
      </c>
      <c r="G22" s="841"/>
    </row>
    <row r="23" spans="2:7" s="33" customFormat="1" outlineLevel="1" x14ac:dyDescent="0.35">
      <c r="B23" s="266"/>
      <c r="C23" s="12"/>
      <c r="D23" s="12"/>
      <c r="E23" s="849" t="s">
        <v>1013</v>
      </c>
      <c r="F23" s="855">
        <f>F21*F22</f>
        <v>3067900000</v>
      </c>
      <c r="G23" s="841"/>
    </row>
    <row r="24" spans="2:7" s="33" customFormat="1" outlineLevel="1" x14ac:dyDescent="0.35">
      <c r="B24" s="266"/>
      <c r="C24" s="12"/>
      <c r="D24" s="12"/>
      <c r="E24" s="862" t="s">
        <v>937</v>
      </c>
      <c r="F24" s="855"/>
      <c r="G24" s="872">
        <f>F23*'Inflation Rates'!C25</f>
        <v>3362418400.0000005</v>
      </c>
    </row>
    <row r="25" spans="2:7" s="33" customFormat="1" outlineLevel="1" x14ac:dyDescent="0.35">
      <c r="B25" s="992"/>
      <c r="C25" s="993" t="s">
        <v>110</v>
      </c>
      <c r="D25" s="994"/>
      <c r="E25" s="995"/>
      <c r="F25" s="996"/>
      <c r="G25" s="997">
        <f>SUM(G7:G24)</f>
        <v>72602763184.849258</v>
      </c>
    </row>
    <row r="26" spans="2:7" s="33" customFormat="1" outlineLevel="1" x14ac:dyDescent="0.35">
      <c r="B26" s="873"/>
      <c r="C26" s="60"/>
      <c r="D26" s="12"/>
      <c r="E26" s="849" t="s">
        <v>113</v>
      </c>
      <c r="F26" s="855"/>
      <c r="G26" s="872">
        <f>G25*Assumptions!C7</f>
        <v>7260276318.4849262</v>
      </c>
    </row>
    <row r="27" spans="2:7" s="33" customFormat="1" outlineLevel="1" x14ac:dyDescent="0.35">
      <c r="B27" s="919"/>
      <c r="C27" s="920" t="s">
        <v>965</v>
      </c>
      <c r="D27" s="921"/>
      <c r="E27" s="921"/>
      <c r="F27" s="922"/>
      <c r="G27" s="923">
        <f>SUM(G25,G26)</f>
        <v>79863039503.334183</v>
      </c>
    </row>
    <row r="28" spans="2:7" s="33" customFormat="1" outlineLevel="1" x14ac:dyDescent="0.35">
      <c r="B28" s="869" t="s">
        <v>1030</v>
      </c>
      <c r="C28" s="853"/>
      <c r="D28" s="853"/>
      <c r="E28" s="842"/>
      <c r="F28" s="854"/>
      <c r="G28" s="870"/>
    </row>
    <row r="29" spans="2:7" s="866" customFormat="1" outlineLevel="1" x14ac:dyDescent="0.35">
      <c r="B29" s="963"/>
      <c r="C29" s="964" t="s">
        <v>982</v>
      </c>
      <c r="D29" s="1637" t="s">
        <v>1274</v>
      </c>
      <c r="E29" s="1638"/>
      <c r="F29" s="1638"/>
      <c r="G29" s="1639"/>
    </row>
    <row r="30" spans="2:7" s="33" customFormat="1" outlineLevel="1" x14ac:dyDescent="0.35">
      <c r="B30" s="873"/>
      <c r="C30" s="60"/>
      <c r="D30" s="12"/>
      <c r="E30" s="849" t="s">
        <v>1112</v>
      </c>
      <c r="F30" s="855">
        <f>F7+F12</f>
        <v>12909982.009063587</v>
      </c>
      <c r="G30" s="872"/>
    </row>
    <row r="31" spans="2:7" s="33" customFormat="1" outlineLevel="1" x14ac:dyDescent="0.35">
      <c r="B31" s="873"/>
      <c r="C31" s="60"/>
      <c r="D31" s="12"/>
      <c r="E31" s="849" t="s">
        <v>1114</v>
      </c>
      <c r="F31" s="329">
        <f>F30/30</f>
        <v>430332.73363545287</v>
      </c>
      <c r="G31" s="872"/>
    </row>
    <row r="32" spans="2:7" s="33" customFormat="1" outlineLevel="1" x14ac:dyDescent="0.35">
      <c r="B32" s="873"/>
      <c r="C32" s="60"/>
      <c r="D32" s="12"/>
      <c r="E32" s="849" t="s">
        <v>1113</v>
      </c>
      <c r="F32" s="1176">
        <v>6.25</v>
      </c>
      <c r="G32" s="872"/>
    </row>
    <row r="33" spans="2:7" s="33" customFormat="1" outlineLevel="1" x14ac:dyDescent="0.35">
      <c r="B33" s="873"/>
      <c r="C33" s="60"/>
      <c r="D33" s="12"/>
      <c r="E33" s="849" t="s">
        <v>1116</v>
      </c>
      <c r="F33" s="1176">
        <f>F31*F32</f>
        <v>2689579.5852215802</v>
      </c>
      <c r="G33" s="872"/>
    </row>
    <row r="34" spans="2:7" s="33" customFormat="1" outlineLevel="1" x14ac:dyDescent="0.35">
      <c r="B34" s="873"/>
      <c r="C34" s="60"/>
      <c r="D34" s="12"/>
      <c r="E34" s="862" t="s">
        <v>1119</v>
      </c>
      <c r="F34" s="855"/>
      <c r="G34" s="872">
        <f>F33*'Inflation Rates'!$C$25</f>
        <v>2947779.2254028521</v>
      </c>
    </row>
    <row r="35" spans="2:7" s="866" customFormat="1" outlineLevel="1" x14ac:dyDescent="0.35">
      <c r="B35" s="963"/>
      <c r="C35" s="964" t="s">
        <v>1201</v>
      </c>
      <c r="D35" s="1637" t="s">
        <v>1275</v>
      </c>
      <c r="E35" s="1638"/>
      <c r="F35" s="1638"/>
      <c r="G35" s="1639"/>
    </row>
    <row r="36" spans="2:7" s="33" customFormat="1" outlineLevel="1" x14ac:dyDescent="0.35">
      <c r="B36" s="873"/>
      <c r="C36" s="60"/>
      <c r="D36" s="12"/>
      <c r="E36" s="849" t="s">
        <v>1112</v>
      </c>
      <c r="F36" s="855">
        <f>F21</f>
        <v>55780000</v>
      </c>
      <c r="G36" s="872"/>
    </row>
    <row r="37" spans="2:7" s="33" customFormat="1" outlineLevel="1" x14ac:dyDescent="0.35">
      <c r="B37" s="873"/>
      <c r="C37" s="60"/>
      <c r="D37" s="12"/>
      <c r="E37" s="849" t="s">
        <v>1114</v>
      </c>
      <c r="F37" s="329">
        <f>F36/30</f>
        <v>1859333.3333333333</v>
      </c>
      <c r="G37" s="872"/>
    </row>
    <row r="38" spans="2:7" s="33" customFormat="1" outlineLevel="1" x14ac:dyDescent="0.35">
      <c r="B38" s="873"/>
      <c r="C38" s="60"/>
      <c r="D38" s="12"/>
      <c r="E38" s="849" t="s">
        <v>1113</v>
      </c>
      <c r="F38" s="1176">
        <v>0.05</v>
      </c>
      <c r="G38" s="872"/>
    </row>
    <row r="39" spans="2:7" s="33" customFormat="1" outlineLevel="1" x14ac:dyDescent="0.35">
      <c r="B39" s="873"/>
      <c r="C39" s="60"/>
      <c r="D39" s="12"/>
      <c r="E39" s="849" t="s">
        <v>1116</v>
      </c>
      <c r="F39" s="1176">
        <f>F37*F38</f>
        <v>92966.666666666672</v>
      </c>
      <c r="G39" s="872"/>
    </row>
    <row r="40" spans="2:7" s="33" customFormat="1" outlineLevel="1" x14ac:dyDescent="0.35">
      <c r="B40" s="873"/>
      <c r="C40" s="60"/>
      <c r="D40" s="12"/>
      <c r="E40" s="862" t="s">
        <v>1119</v>
      </c>
      <c r="F40" s="855"/>
      <c r="G40" s="872">
        <f>F39*'Inflation Rates'!C25</f>
        <v>101891.46666666667</v>
      </c>
    </row>
    <row r="41" spans="2:7" s="33" customFormat="1" outlineLevel="1" x14ac:dyDescent="0.35">
      <c r="B41" s="919"/>
      <c r="C41" s="920" t="s">
        <v>966</v>
      </c>
      <c r="D41" s="921"/>
      <c r="E41" s="921"/>
      <c r="F41" s="922"/>
      <c r="G41" s="923">
        <f>SUM(G29:G34)</f>
        <v>2947779.2254028521</v>
      </c>
    </row>
    <row r="42" spans="2:7" s="33" customFormat="1" outlineLevel="1" x14ac:dyDescent="0.35">
      <c r="B42" s="883"/>
      <c r="C42" s="884" t="s">
        <v>967</v>
      </c>
      <c r="D42" s="884"/>
      <c r="E42" s="885"/>
      <c r="F42" s="886"/>
      <c r="G42" s="887">
        <f>SUM(G27+G41)</f>
        <v>79865987282.559586</v>
      </c>
    </row>
  </sheetData>
  <mergeCells count="10">
    <mergeCell ref="B2:G2"/>
    <mergeCell ref="B3:D3"/>
    <mergeCell ref="B5:G5"/>
    <mergeCell ref="D6:G6"/>
    <mergeCell ref="D16:G16"/>
    <mergeCell ref="D35:G35"/>
    <mergeCell ref="D29:G29"/>
    <mergeCell ref="D11:G11"/>
    <mergeCell ref="B19:G19"/>
    <mergeCell ref="D20:G20"/>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D564B8-9DB6-4664-A8E1-B2294154602A}">
  <sheetPr>
    <tabColor rgb="FFB3565B"/>
  </sheetPr>
  <dimension ref="B2:G15"/>
  <sheetViews>
    <sheetView zoomScale="115" zoomScaleNormal="115" workbookViewId="0">
      <selection activeCell="F7" sqref="F7"/>
    </sheetView>
  </sheetViews>
  <sheetFormatPr defaultRowHeight="14.5" outlineLevelRow="1" x14ac:dyDescent="0.35"/>
  <cols>
    <col min="1" max="1" width="5.36328125" customWidth="1"/>
    <col min="2" max="2" width="1.1796875" customWidth="1"/>
    <col min="3" max="3" width="7.08984375" customWidth="1"/>
    <col min="4" max="4" width="4.36328125" customWidth="1"/>
    <col min="5" max="5" width="56.81640625" customWidth="1"/>
    <col min="6" max="6" width="18.7265625" style="856" customWidth="1"/>
    <col min="7" max="7" width="17.7265625" bestFit="1" customWidth="1"/>
  </cols>
  <sheetData>
    <row r="2" spans="2:7" s="118" customFormat="1" collapsed="1" x14ac:dyDescent="0.35">
      <c r="B2" s="1646" t="s">
        <v>145</v>
      </c>
      <c r="C2" s="1647"/>
      <c r="D2" s="1647"/>
      <c r="E2" s="1647"/>
      <c r="F2" s="1647"/>
      <c r="G2" s="1648"/>
    </row>
    <row r="3" spans="2:7" s="33" customFormat="1" outlineLevel="1" x14ac:dyDescent="0.35">
      <c r="B3" s="1616" t="s">
        <v>934</v>
      </c>
      <c r="C3" s="1617"/>
      <c r="D3" s="1617"/>
      <c r="E3" s="867"/>
      <c r="F3" s="867" t="s">
        <v>945</v>
      </c>
      <c r="G3" s="868" t="s">
        <v>938</v>
      </c>
    </row>
    <row r="4" spans="2:7" s="33" customFormat="1" outlineLevel="1" x14ac:dyDescent="0.35">
      <c r="B4" s="869" t="s">
        <v>119</v>
      </c>
      <c r="C4" s="853"/>
      <c r="D4" s="853"/>
      <c r="E4" s="842"/>
      <c r="F4" s="854"/>
      <c r="G4" s="870"/>
    </row>
    <row r="5" spans="2:7" s="865" customFormat="1" outlineLevel="1" x14ac:dyDescent="0.35">
      <c r="B5" s="1649" t="s">
        <v>1338</v>
      </c>
      <c r="C5" s="1650"/>
      <c r="D5" s="1650"/>
      <c r="E5" s="1650"/>
      <c r="F5" s="1650"/>
      <c r="G5" s="1651"/>
    </row>
    <row r="6" spans="2:7" s="866" customFormat="1" ht="30.5" customHeight="1" outlineLevel="1" x14ac:dyDescent="0.35">
      <c r="B6" s="1010"/>
      <c r="C6" s="1011" t="s">
        <v>1065</v>
      </c>
      <c r="D6" s="1652" t="s">
        <v>1384</v>
      </c>
      <c r="E6" s="1653"/>
      <c r="F6" s="1653"/>
      <c r="G6" s="1654"/>
    </row>
    <row r="7" spans="2:7" s="33" customFormat="1" outlineLevel="1" x14ac:dyDescent="0.35">
      <c r="B7" s="266"/>
      <c r="C7" s="12"/>
      <c r="D7" s="12"/>
      <c r="E7" s="849" t="s">
        <v>1361</v>
      </c>
      <c r="F7" s="855">
        <f>'TEC.Data Wintle'!B105</f>
        <v>1347306194.7185886</v>
      </c>
      <c r="G7" s="841"/>
    </row>
    <row r="8" spans="2:7" s="33" customFormat="1" outlineLevel="1" x14ac:dyDescent="0.35">
      <c r="B8" s="266"/>
      <c r="C8" s="12"/>
      <c r="D8" s="12"/>
      <c r="E8" s="862" t="s">
        <v>937</v>
      </c>
      <c r="F8" s="863"/>
      <c r="G8" s="872">
        <f>F7</f>
        <v>1347306194.7185886</v>
      </c>
    </row>
    <row r="9" spans="2:7" s="33" customFormat="1" outlineLevel="1" x14ac:dyDescent="0.35">
      <c r="B9" s="1012"/>
      <c r="C9" s="1013" t="s">
        <v>110</v>
      </c>
      <c r="D9" s="1014"/>
      <c r="E9" s="1015"/>
      <c r="F9" s="1016"/>
      <c r="G9" s="1017">
        <f>SUM(G7:G8)</f>
        <v>1347306194.7185886</v>
      </c>
    </row>
    <row r="10" spans="2:7" s="33" customFormat="1" outlineLevel="1" x14ac:dyDescent="0.35">
      <c r="B10" s="873"/>
      <c r="C10" s="60"/>
      <c r="D10" s="12"/>
      <c r="E10" s="849" t="s">
        <v>113</v>
      </c>
      <c r="F10" s="855"/>
      <c r="G10" s="872">
        <f>G9*Assumptions!$C$7</f>
        <v>134730619.47185886</v>
      </c>
    </row>
    <row r="11" spans="2:7" s="33" customFormat="1" outlineLevel="1" x14ac:dyDescent="0.35">
      <c r="B11" s="1018"/>
      <c r="C11" s="1019" t="s">
        <v>965</v>
      </c>
      <c r="D11" s="1020"/>
      <c r="E11" s="1021"/>
      <c r="F11" s="1022"/>
      <c r="G11" s="1023">
        <f>SUM(G9,G10)</f>
        <v>1482036814.1904473</v>
      </c>
    </row>
    <row r="12" spans="2:7" s="33" customFormat="1" outlineLevel="1" x14ac:dyDescent="0.35">
      <c r="B12" s="869" t="s">
        <v>1030</v>
      </c>
      <c r="C12" s="853"/>
      <c r="D12" s="853"/>
      <c r="E12" s="842"/>
      <c r="F12" s="854"/>
      <c r="G12" s="870"/>
    </row>
    <row r="13" spans="2:7" s="33" customFormat="1" outlineLevel="1" x14ac:dyDescent="0.35">
      <c r="B13" s="266"/>
      <c r="C13" s="12" t="s">
        <v>1064</v>
      </c>
      <c r="D13" s="12"/>
      <c r="E13" s="849"/>
      <c r="F13" s="855"/>
      <c r="G13" s="841"/>
    </row>
    <row r="14" spans="2:7" s="33" customFormat="1" outlineLevel="1" x14ac:dyDescent="0.35">
      <c r="B14" s="1018"/>
      <c r="C14" s="1024" t="s">
        <v>966</v>
      </c>
      <c r="D14" s="1020"/>
      <c r="E14" s="1020"/>
      <c r="F14" s="1025"/>
      <c r="G14" s="1023">
        <v>0</v>
      </c>
    </row>
    <row r="15" spans="2:7" s="33" customFormat="1" outlineLevel="1" x14ac:dyDescent="0.35">
      <c r="B15" s="883"/>
      <c r="C15" s="884" t="s">
        <v>1362</v>
      </c>
      <c r="D15" s="884"/>
      <c r="E15" s="885"/>
      <c r="F15" s="886"/>
      <c r="G15" s="887">
        <f>SUM(G11+G14)</f>
        <v>1482036814.1904473</v>
      </c>
    </row>
  </sheetData>
  <mergeCells count="4">
    <mergeCell ref="B2:G2"/>
    <mergeCell ref="B3:D3"/>
    <mergeCell ref="B5:G5"/>
    <mergeCell ref="D6:G6"/>
  </mergeCell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C7E43E-9668-4852-8805-B4D67C975460}">
  <sheetPr>
    <tabColor rgb="FFE9C46A"/>
  </sheetPr>
  <dimension ref="C2:H48"/>
  <sheetViews>
    <sheetView topLeftCell="A37" zoomScaleNormal="100" workbookViewId="0">
      <selection activeCell="G40" sqref="G40"/>
    </sheetView>
  </sheetViews>
  <sheetFormatPr defaultRowHeight="14.5" outlineLevelRow="1" x14ac:dyDescent="0.35"/>
  <cols>
    <col min="1" max="2" width="5.36328125" customWidth="1"/>
    <col min="3" max="3" width="1.1796875" customWidth="1"/>
    <col min="4" max="4" width="7.08984375" customWidth="1"/>
    <col min="5" max="5" width="4.36328125" customWidth="1"/>
    <col min="6" max="6" width="56.81640625" customWidth="1"/>
    <col min="7" max="7" width="18.7265625" style="856" customWidth="1"/>
    <col min="8" max="8" width="17.7265625" bestFit="1" customWidth="1"/>
  </cols>
  <sheetData>
    <row r="2" spans="3:8" s="118" customFormat="1" collapsed="1" x14ac:dyDescent="0.35">
      <c r="C2" s="1657" t="s">
        <v>1062</v>
      </c>
      <c r="D2" s="1658"/>
      <c r="E2" s="1658"/>
      <c r="F2" s="1658"/>
      <c r="G2" s="1658"/>
      <c r="H2" s="1659"/>
    </row>
    <row r="3" spans="3:8" s="33" customFormat="1" outlineLevel="1" x14ac:dyDescent="0.35">
      <c r="C3" s="1616" t="s">
        <v>934</v>
      </c>
      <c r="D3" s="1617"/>
      <c r="E3" s="1617"/>
      <c r="F3" s="867"/>
      <c r="G3" s="867" t="s">
        <v>945</v>
      </c>
      <c r="H3" s="868" t="s">
        <v>938</v>
      </c>
    </row>
    <row r="4" spans="3:8" s="33" customFormat="1" outlineLevel="1" x14ac:dyDescent="0.35">
      <c r="C4" s="869" t="s">
        <v>119</v>
      </c>
      <c r="D4" s="853"/>
      <c r="E4" s="853"/>
      <c r="F4" s="842"/>
      <c r="G4" s="854"/>
      <c r="H4" s="870"/>
    </row>
    <row r="5" spans="3:8" s="865" customFormat="1" outlineLevel="1" x14ac:dyDescent="0.35">
      <c r="C5" s="1660" t="s">
        <v>1203</v>
      </c>
      <c r="D5" s="1650"/>
      <c r="E5" s="1650"/>
      <c r="F5" s="1650"/>
      <c r="G5" s="1650"/>
      <c r="H5" s="1651"/>
    </row>
    <row r="6" spans="3:8" s="866" customFormat="1" ht="14.5" customHeight="1" outlineLevel="1" x14ac:dyDescent="0.35">
      <c r="C6" s="961"/>
      <c r="D6" s="962" t="s">
        <v>1204</v>
      </c>
      <c r="E6" s="1653" t="s">
        <v>1289</v>
      </c>
      <c r="F6" s="1653"/>
      <c r="G6" s="1653"/>
      <c r="H6" s="1654"/>
    </row>
    <row r="7" spans="3:8" s="33" customFormat="1" outlineLevel="1" x14ac:dyDescent="0.35">
      <c r="C7" s="266"/>
      <c r="D7" s="12"/>
      <c r="E7" s="12"/>
      <c r="F7" s="849" t="s">
        <v>1220</v>
      </c>
      <c r="G7" s="855">
        <v>140954</v>
      </c>
      <c r="H7" s="841"/>
    </row>
    <row r="8" spans="3:8" s="33" customFormat="1" outlineLevel="1" x14ac:dyDescent="0.35">
      <c r="C8" s="266"/>
      <c r="D8" s="12"/>
      <c r="E8" s="12"/>
      <c r="F8" s="849" t="s">
        <v>1051</v>
      </c>
      <c r="G8" s="855">
        <f>1200000/230</f>
        <v>5217.391304347826</v>
      </c>
      <c r="H8" s="841"/>
    </row>
    <row r="9" spans="3:8" s="33" customFormat="1" outlineLevel="1" x14ac:dyDescent="0.35">
      <c r="C9" s="266"/>
      <c r="D9" s="12"/>
      <c r="E9" s="12"/>
      <c r="F9" s="849" t="s">
        <v>1052</v>
      </c>
      <c r="G9" s="855">
        <f>G7*G8</f>
        <v>735412173.9130435</v>
      </c>
      <c r="H9" s="871"/>
    </row>
    <row r="10" spans="3:8" s="33" customFormat="1" outlineLevel="1" x14ac:dyDescent="0.35">
      <c r="C10" s="266"/>
      <c r="D10" s="12"/>
      <c r="E10" s="12"/>
      <c r="F10" s="862" t="s">
        <v>937</v>
      </c>
      <c r="G10" s="863"/>
      <c r="H10" s="872">
        <f>G9*'Inflation Rates'!C17</f>
        <v>926619339.13043487</v>
      </c>
    </row>
    <row r="11" spans="3:8" s="866" customFormat="1" outlineLevel="1" x14ac:dyDescent="0.35">
      <c r="C11" s="961"/>
      <c r="D11" s="962" t="s">
        <v>1205</v>
      </c>
      <c r="E11" s="1653" t="s">
        <v>1218</v>
      </c>
      <c r="F11" s="1655"/>
      <c r="G11" s="1655"/>
      <c r="H11" s="1656"/>
    </row>
    <row r="12" spans="3:8" s="33" customFormat="1" outlineLevel="1" x14ac:dyDescent="0.35">
      <c r="C12" s="873"/>
      <c r="D12" s="60"/>
      <c r="E12" s="12"/>
      <c r="F12" s="849" t="s">
        <v>1220</v>
      </c>
      <c r="G12" s="855">
        <v>140954</v>
      </c>
      <c r="H12" s="841"/>
    </row>
    <row r="13" spans="3:8" s="33" customFormat="1" outlineLevel="1" x14ac:dyDescent="0.35">
      <c r="C13" s="873"/>
      <c r="D13" s="60"/>
      <c r="E13" s="12"/>
      <c r="F13" s="849" t="s">
        <v>1034</v>
      </c>
      <c r="G13" s="855">
        <v>169928080.33500499</v>
      </c>
      <c r="H13" s="874"/>
    </row>
    <row r="14" spans="3:8" s="33" customFormat="1" outlineLevel="1" x14ac:dyDescent="0.35">
      <c r="C14" s="873"/>
      <c r="D14" s="60"/>
      <c r="E14" s="12"/>
      <c r="F14" s="862" t="s">
        <v>937</v>
      </c>
      <c r="G14" s="855"/>
      <c r="H14" s="872">
        <f>G13*'Inflation Rates'!C19</f>
        <v>203913696.40200597</v>
      </c>
    </row>
    <row r="15" spans="3:8" s="866" customFormat="1" outlineLevel="1" x14ac:dyDescent="0.35">
      <c r="C15" s="961"/>
      <c r="D15" s="962" t="s">
        <v>1206</v>
      </c>
      <c r="E15" s="1653" t="s">
        <v>1202</v>
      </c>
      <c r="F15" s="1655"/>
      <c r="G15" s="1655"/>
      <c r="H15" s="1656"/>
    </row>
    <row r="16" spans="3:8" s="33" customFormat="1" outlineLevel="1" x14ac:dyDescent="0.35">
      <c r="C16" s="873"/>
      <c r="D16" s="60"/>
      <c r="E16" s="12"/>
      <c r="F16" s="849" t="s">
        <v>1053</v>
      </c>
      <c r="G16" s="855">
        <v>1000</v>
      </c>
      <c r="H16" s="841"/>
    </row>
    <row r="17" spans="3:8" s="33" customFormat="1" outlineLevel="1" x14ac:dyDescent="0.35">
      <c r="C17" s="873"/>
      <c r="D17" s="60"/>
      <c r="E17" s="12"/>
      <c r="F17" s="849" t="s">
        <v>1054</v>
      </c>
      <c r="G17" s="855">
        <f>121171*1.2</f>
        <v>145405.19999999998</v>
      </c>
      <c r="H17" s="841"/>
    </row>
    <row r="18" spans="3:8" s="33" customFormat="1" outlineLevel="1" x14ac:dyDescent="0.35">
      <c r="C18" s="873"/>
      <c r="D18" s="60"/>
      <c r="E18" s="12"/>
      <c r="F18" s="849" t="s">
        <v>1055</v>
      </c>
      <c r="G18" s="855">
        <f>G16*G17</f>
        <v>145405199.99999997</v>
      </c>
      <c r="H18" s="841"/>
    </row>
    <row r="19" spans="3:8" s="33" customFormat="1" outlineLevel="1" x14ac:dyDescent="0.35">
      <c r="C19" s="873"/>
      <c r="D19" s="60"/>
      <c r="E19" s="12"/>
      <c r="F19" s="862" t="s">
        <v>937</v>
      </c>
      <c r="G19" s="855"/>
      <c r="H19" s="872">
        <f>G18*'Inflation Rates'!C15</f>
        <v>192661889.99999994</v>
      </c>
    </row>
    <row r="20" spans="3:8" s="866" customFormat="1" outlineLevel="1" x14ac:dyDescent="0.35">
      <c r="C20" s="961"/>
      <c r="D20" s="962" t="s">
        <v>1207</v>
      </c>
      <c r="E20" s="1653" t="s">
        <v>146</v>
      </c>
      <c r="F20" s="1655"/>
      <c r="G20" s="1655"/>
      <c r="H20" s="1656"/>
    </row>
    <row r="21" spans="3:8" s="33" customFormat="1" outlineLevel="1" x14ac:dyDescent="0.35">
      <c r="C21" s="873"/>
      <c r="D21" s="60"/>
      <c r="E21" s="12"/>
      <c r="F21" s="849" t="s">
        <v>1056</v>
      </c>
      <c r="G21" s="855">
        <v>920</v>
      </c>
      <c r="H21" s="841"/>
    </row>
    <row r="22" spans="3:8" s="33" customFormat="1" outlineLevel="1" x14ac:dyDescent="0.35">
      <c r="C22" s="873"/>
      <c r="D22" s="60"/>
      <c r="E22" s="12"/>
      <c r="F22" s="849" t="s">
        <v>998</v>
      </c>
      <c r="G22" s="855">
        <v>165000</v>
      </c>
      <c r="H22" s="841"/>
    </row>
    <row r="23" spans="3:8" s="33" customFormat="1" outlineLevel="1" x14ac:dyDescent="0.35">
      <c r="C23" s="873"/>
      <c r="D23" s="60"/>
      <c r="E23" s="12"/>
      <c r="F23" s="849" t="s">
        <v>997</v>
      </c>
      <c r="G23" s="855">
        <f>G21*G22</f>
        <v>151800000</v>
      </c>
      <c r="H23" s="841"/>
    </row>
    <row r="24" spans="3:8" s="33" customFormat="1" outlineLevel="1" x14ac:dyDescent="0.35">
      <c r="C24" s="873"/>
      <c r="D24" s="60"/>
      <c r="E24" s="12"/>
      <c r="F24" s="862" t="s">
        <v>937</v>
      </c>
      <c r="G24" s="855"/>
      <c r="H24" s="872">
        <f>G23*'Inflation Rates'!C23</f>
        <v>170623200.00000003</v>
      </c>
    </row>
    <row r="25" spans="3:8" s="33" customFormat="1" outlineLevel="1" x14ac:dyDescent="0.35">
      <c r="C25" s="1004"/>
      <c r="D25" s="1005" t="s">
        <v>110</v>
      </c>
      <c r="E25" s="1006"/>
      <c r="F25" s="1007"/>
      <c r="G25" s="1008"/>
      <c r="H25" s="1009">
        <f>SUM(H7:H24)</f>
        <v>1493818125.5324409</v>
      </c>
    </row>
    <row r="26" spans="3:8" s="33" customFormat="1" outlineLevel="1" x14ac:dyDescent="0.35">
      <c r="C26" s="873"/>
      <c r="D26" s="60"/>
      <c r="E26" s="12"/>
      <c r="F26" s="849" t="s">
        <v>113</v>
      </c>
      <c r="G26" s="855"/>
      <c r="H26" s="872">
        <f>H25*Assumptions!$C$7</f>
        <v>149381812.55324408</v>
      </c>
    </row>
    <row r="27" spans="3:8" s="33" customFormat="1" outlineLevel="1" x14ac:dyDescent="0.35">
      <c r="C27" s="952"/>
      <c r="D27" s="948" t="s">
        <v>965</v>
      </c>
      <c r="E27" s="951"/>
      <c r="F27" s="947"/>
      <c r="G27" s="949"/>
      <c r="H27" s="950">
        <f>SUM(H25,H26)</f>
        <v>1643199938.085685</v>
      </c>
    </row>
    <row r="28" spans="3:8" s="33" customFormat="1" outlineLevel="1" x14ac:dyDescent="0.35">
      <c r="C28" s="869" t="s">
        <v>1030</v>
      </c>
      <c r="D28" s="853"/>
      <c r="E28" s="853"/>
      <c r="F28" s="842"/>
      <c r="G28" s="854"/>
      <c r="H28" s="870"/>
    </row>
    <row r="29" spans="3:8" s="866" customFormat="1" outlineLevel="1" x14ac:dyDescent="0.35">
      <c r="C29" s="961"/>
      <c r="D29" s="962" t="s">
        <v>1208</v>
      </c>
      <c r="E29" s="1653" t="s">
        <v>1057</v>
      </c>
      <c r="F29" s="1655"/>
      <c r="G29" s="1655"/>
      <c r="H29" s="1656"/>
    </row>
    <row r="30" spans="3:8" s="33" customFormat="1" outlineLevel="1" x14ac:dyDescent="0.35">
      <c r="C30" s="873"/>
      <c r="D30" s="60" t="s">
        <v>1209</v>
      </c>
      <c r="E30" s="12"/>
      <c r="F30" s="849" t="s">
        <v>1220</v>
      </c>
      <c r="G30" s="855">
        <v>140954</v>
      </c>
      <c r="H30" s="872"/>
    </row>
    <row r="31" spans="3:8" s="33" customFormat="1" outlineLevel="1" x14ac:dyDescent="0.35">
      <c r="C31" s="873"/>
      <c r="D31" s="60"/>
      <c r="E31" s="12"/>
      <c r="F31" s="849" t="s">
        <v>952</v>
      </c>
      <c r="G31" s="855">
        <f>TEC.Data!G31</f>
        <v>4.5514082675438594</v>
      </c>
      <c r="H31" s="872"/>
    </row>
    <row r="32" spans="3:8" s="33" customFormat="1" outlineLevel="1" x14ac:dyDescent="0.35">
      <c r="C32" s="873"/>
      <c r="D32" s="60"/>
      <c r="E32" s="12"/>
      <c r="F32" s="849" t="s">
        <v>951</v>
      </c>
      <c r="G32" s="855">
        <f>G30*G31</f>
        <v>641539.2009433771</v>
      </c>
      <c r="H32" s="872"/>
    </row>
    <row r="33" spans="3:8" s="33" customFormat="1" outlineLevel="1" x14ac:dyDescent="0.35">
      <c r="C33" s="873"/>
      <c r="D33" s="60"/>
      <c r="E33" s="12"/>
      <c r="F33" s="862" t="s">
        <v>937</v>
      </c>
      <c r="G33" s="855"/>
      <c r="H33" s="872">
        <f>G32*'Inflation Rates'!C21</f>
        <v>748676.24750092113</v>
      </c>
    </row>
    <row r="34" spans="3:8" s="866" customFormat="1" outlineLevel="1" x14ac:dyDescent="0.35">
      <c r="C34" s="961"/>
      <c r="D34" s="962" t="s">
        <v>1211</v>
      </c>
      <c r="E34" s="1653" t="s">
        <v>147</v>
      </c>
      <c r="F34" s="1655"/>
      <c r="G34" s="1655"/>
      <c r="H34" s="1656"/>
    </row>
    <row r="35" spans="3:8" s="33" customFormat="1" outlineLevel="1" x14ac:dyDescent="0.35">
      <c r="C35" s="873"/>
      <c r="D35" s="60"/>
      <c r="E35" s="12"/>
      <c r="F35" s="849" t="s">
        <v>1058</v>
      </c>
      <c r="G35" s="855">
        <f>G16+Estuaries.Data!F55</f>
        <v>34800.259999999995</v>
      </c>
      <c r="H35" s="872"/>
    </row>
    <row r="36" spans="3:8" s="33" customFormat="1" outlineLevel="1" x14ac:dyDescent="0.35">
      <c r="C36" s="873"/>
      <c r="D36" s="60"/>
      <c r="E36" s="12"/>
      <c r="F36" s="849" t="s">
        <v>969</v>
      </c>
      <c r="G36" s="855">
        <v>16</v>
      </c>
      <c r="H36" s="872"/>
    </row>
    <row r="37" spans="3:8" s="33" customFormat="1" outlineLevel="1" x14ac:dyDescent="0.35">
      <c r="C37" s="873"/>
      <c r="D37" s="60"/>
      <c r="E37" s="12"/>
      <c r="F37" s="849" t="s">
        <v>972</v>
      </c>
      <c r="G37" s="855">
        <f>G35*G36</f>
        <v>556804.15999999992</v>
      </c>
      <c r="H37" s="872"/>
    </row>
    <row r="38" spans="3:8" s="33" customFormat="1" outlineLevel="1" x14ac:dyDescent="0.35">
      <c r="C38" s="873"/>
      <c r="D38" s="60"/>
      <c r="E38" s="12"/>
      <c r="F38" s="862" t="s">
        <v>937</v>
      </c>
      <c r="G38" s="855"/>
      <c r="H38" s="872">
        <f>G37*'Inflation Rates'!C23</f>
        <v>625847.87583999999</v>
      </c>
    </row>
    <row r="39" spans="3:8" s="866" customFormat="1" outlineLevel="1" x14ac:dyDescent="0.35">
      <c r="C39" s="961"/>
      <c r="D39" s="962" t="s">
        <v>1213</v>
      </c>
      <c r="E39" s="1653" t="s">
        <v>148</v>
      </c>
      <c r="F39" s="1655"/>
      <c r="G39" s="1655"/>
      <c r="H39" s="1656"/>
    </row>
    <row r="40" spans="3:8" s="33" customFormat="1" outlineLevel="1" x14ac:dyDescent="0.35">
      <c r="C40" s="873"/>
      <c r="D40" s="60"/>
      <c r="E40" s="12"/>
      <c r="F40" s="849" t="s">
        <v>1059</v>
      </c>
      <c r="G40" s="855">
        <v>53</v>
      </c>
      <c r="H40" s="872"/>
    </row>
    <row r="41" spans="3:8" s="33" customFormat="1" outlineLevel="1" x14ac:dyDescent="0.35">
      <c r="C41" s="873"/>
      <c r="D41" s="60"/>
      <c r="E41" s="12"/>
      <c r="F41" s="849" t="s">
        <v>1060</v>
      </c>
      <c r="G41" s="955">
        <v>0.5</v>
      </c>
      <c r="H41" s="872"/>
    </row>
    <row r="42" spans="3:8" s="33" customFormat="1" outlineLevel="1" x14ac:dyDescent="0.35">
      <c r="C42" s="873"/>
      <c r="D42" s="60"/>
      <c r="E42" s="12"/>
      <c r="F42" s="849" t="s">
        <v>1061</v>
      </c>
      <c r="G42" s="855">
        <v>25000</v>
      </c>
      <c r="H42" s="872"/>
    </row>
    <row r="43" spans="3:8" s="33" customFormat="1" outlineLevel="1" x14ac:dyDescent="0.35">
      <c r="C43" s="873"/>
      <c r="D43" s="60"/>
      <c r="E43" s="12"/>
      <c r="F43" s="849" t="s">
        <v>937</v>
      </c>
      <c r="G43" s="855">
        <f>G40*G41*G42</f>
        <v>662500</v>
      </c>
      <c r="H43" s="872"/>
    </row>
    <row r="44" spans="3:8" s="33" customFormat="1" outlineLevel="1" x14ac:dyDescent="0.35">
      <c r="C44" s="873"/>
      <c r="D44" s="60"/>
      <c r="E44" s="12"/>
      <c r="F44" s="862" t="s">
        <v>937</v>
      </c>
      <c r="G44" s="855"/>
      <c r="H44" s="872">
        <f>G43</f>
        <v>662500</v>
      </c>
    </row>
    <row r="45" spans="3:8" s="33" customFormat="1" outlineLevel="1" x14ac:dyDescent="0.35">
      <c r="C45" s="1004"/>
      <c r="D45" s="1005" t="s">
        <v>110</v>
      </c>
      <c r="E45" s="1006"/>
      <c r="F45" s="1007"/>
      <c r="G45" s="1008"/>
      <c r="H45" s="1009">
        <f>SUM(H30:H44)</f>
        <v>2037024.123340921</v>
      </c>
    </row>
    <row r="46" spans="3:8" s="33" customFormat="1" outlineLevel="1" x14ac:dyDescent="0.35">
      <c r="C46" s="873"/>
      <c r="D46" s="60"/>
      <c r="E46" s="12"/>
      <c r="F46" s="849" t="s">
        <v>113</v>
      </c>
      <c r="G46" s="855"/>
      <c r="H46" s="872">
        <f>H45*Assumptions!$C$7</f>
        <v>203702.41233409211</v>
      </c>
    </row>
    <row r="47" spans="3:8" s="33" customFormat="1" outlineLevel="1" x14ac:dyDescent="0.35">
      <c r="C47" s="952"/>
      <c r="D47" s="953" t="s">
        <v>966</v>
      </c>
      <c r="E47" s="951"/>
      <c r="F47" s="951"/>
      <c r="G47" s="954"/>
      <c r="H47" s="950">
        <f>SUM(H45,H46)</f>
        <v>2240726.535675013</v>
      </c>
    </row>
    <row r="48" spans="3:8" s="33" customFormat="1" outlineLevel="1" x14ac:dyDescent="0.35">
      <c r="C48" s="883"/>
      <c r="D48" s="884" t="s">
        <v>967</v>
      </c>
      <c r="E48" s="884"/>
      <c r="F48" s="885"/>
      <c r="G48" s="886"/>
      <c r="H48" s="887">
        <f>SUM(H27+H47)</f>
        <v>1645440664.6213601</v>
      </c>
    </row>
  </sheetData>
  <mergeCells count="10">
    <mergeCell ref="C2:H2"/>
    <mergeCell ref="C3:E3"/>
    <mergeCell ref="C5:H5"/>
    <mergeCell ref="E6:H6"/>
    <mergeCell ref="E11:H11"/>
    <mergeCell ref="E29:H29"/>
    <mergeCell ref="E34:H34"/>
    <mergeCell ref="E39:H39"/>
    <mergeCell ref="E20:H20"/>
    <mergeCell ref="E15:H15"/>
  </mergeCell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5FD8DF-660F-477F-8ECE-B92600FB250C}">
  <sheetPr>
    <tabColor rgb="FFE6C7C8"/>
  </sheetPr>
  <dimension ref="A1:O24"/>
  <sheetViews>
    <sheetView zoomScale="70" zoomScaleNormal="70" workbookViewId="0">
      <pane ySplit="22" topLeftCell="A23" activePane="bottomLeft" state="frozen"/>
      <selection activeCell="N3" sqref="N3"/>
      <selection pane="bottomLeft" activeCell="D7" sqref="D7"/>
    </sheetView>
  </sheetViews>
  <sheetFormatPr defaultRowHeight="28" customHeight="1" outlineLevelRow="1" x14ac:dyDescent="0.35"/>
  <cols>
    <col min="2" max="2" width="9.81640625" customWidth="1"/>
    <col min="3" max="3" width="13.81640625" bestFit="1" customWidth="1"/>
    <col min="4" max="4" width="14" customWidth="1"/>
    <col min="5" max="5" width="21.90625" bestFit="1" customWidth="1"/>
    <col min="6" max="6" width="36.54296875" bestFit="1" customWidth="1"/>
    <col min="7" max="7" width="36.54296875" customWidth="1"/>
    <col min="8" max="8" width="36.54296875" bestFit="1" customWidth="1"/>
    <col min="9" max="9" width="22.453125" bestFit="1" customWidth="1"/>
    <col min="10" max="10" width="22" bestFit="1" customWidth="1"/>
    <col min="11" max="11" width="26.1796875" customWidth="1"/>
    <col min="12" max="12" width="17.81640625" customWidth="1"/>
    <col min="13" max="13" width="93.81640625" customWidth="1"/>
    <col min="14" max="14" width="10.81640625" style="67" bestFit="1" customWidth="1"/>
    <col min="15" max="15" width="8.7265625" style="67"/>
  </cols>
  <sheetData>
    <row r="1" spans="1:15" ht="14.5" x14ac:dyDescent="0.35"/>
    <row r="2" spans="1:15" ht="14.5" x14ac:dyDescent="0.35">
      <c r="B2" t="s">
        <v>1313</v>
      </c>
      <c r="N2"/>
      <c r="O2"/>
    </row>
    <row r="3" spans="1:15" ht="14.5" x14ac:dyDescent="0.35">
      <c r="N3"/>
      <c r="O3"/>
    </row>
    <row r="4" spans="1:15" s="118" customFormat="1" ht="14.5" collapsed="1" x14ac:dyDescent="0.35">
      <c r="A4" s="895"/>
      <c r="B4" s="1144" t="s">
        <v>144</v>
      </c>
      <c r="C4" s="1145"/>
      <c r="D4" s="1145"/>
      <c r="E4" s="1145"/>
      <c r="F4" s="1145"/>
      <c r="G4" s="1145"/>
      <c r="H4" s="1145"/>
      <c r="I4" s="1146"/>
      <c r="J4"/>
      <c r="K4"/>
      <c r="L4"/>
      <c r="M4"/>
      <c r="N4"/>
      <c r="O4"/>
    </row>
    <row r="5" spans="1:15" s="866" customFormat="1" ht="27.5" customHeight="1" outlineLevel="1" x14ac:dyDescent="0.35">
      <c r="A5" s="1147"/>
      <c r="B5" s="1148"/>
      <c r="C5" s="1149" t="s">
        <v>630</v>
      </c>
      <c r="D5" s="1149" t="s">
        <v>934</v>
      </c>
      <c r="E5" s="1150" t="s">
        <v>1299</v>
      </c>
      <c r="F5" s="1150" t="s">
        <v>1374</v>
      </c>
      <c r="G5" s="1150" t="s">
        <v>1298</v>
      </c>
      <c r="H5" s="1150" t="s">
        <v>1297</v>
      </c>
      <c r="I5" s="1151" t="s">
        <v>1293</v>
      </c>
      <c r="J5"/>
      <c r="K5"/>
      <c r="L5"/>
      <c r="M5"/>
      <c r="N5"/>
      <c r="O5"/>
    </row>
    <row r="6" spans="1:15" s="33" customFormat="1" ht="14.5" outlineLevel="1" x14ac:dyDescent="0.35">
      <c r="A6" s="894"/>
      <c r="B6" s="1600" t="s">
        <v>115</v>
      </c>
      <c r="C6" s="1601"/>
      <c r="D6" s="1601"/>
      <c r="E6" s="842"/>
      <c r="F6" s="842"/>
      <c r="G6" s="842"/>
      <c r="H6" s="842"/>
      <c r="I6" s="870"/>
      <c r="J6"/>
      <c r="K6"/>
      <c r="L6"/>
      <c r="M6"/>
      <c r="N6"/>
      <c r="O6"/>
    </row>
    <row r="7" spans="1:15" s="858" customFormat="1" ht="14.5" customHeight="1" outlineLevel="1" x14ac:dyDescent="0.35">
      <c r="A7" s="896"/>
      <c r="B7" s="1047"/>
      <c r="C7" s="1099" t="s">
        <v>1164</v>
      </c>
      <c r="D7" s="1099" t="s">
        <v>1407</v>
      </c>
      <c r="E7" s="1099"/>
      <c r="F7" s="1099"/>
      <c r="G7" s="1099"/>
      <c r="H7" s="1100"/>
      <c r="I7" s="1152"/>
      <c r="J7"/>
      <c r="K7"/>
      <c r="L7"/>
      <c r="M7"/>
      <c r="N7"/>
      <c r="O7"/>
    </row>
    <row r="8" spans="1:15" s="116" customFormat="1" ht="14.5" customHeight="1" outlineLevel="1" x14ac:dyDescent="0.35">
      <c r="A8" s="897"/>
      <c r="B8" s="891"/>
      <c r="C8" s="888" t="s">
        <v>978</v>
      </c>
      <c r="D8" s="559" t="s">
        <v>983</v>
      </c>
      <c r="E8" s="1275" t="s">
        <v>1296</v>
      </c>
      <c r="F8" s="939"/>
      <c r="G8" s="939"/>
      <c r="H8" s="939"/>
      <c r="I8" s="1154"/>
      <c r="J8"/>
      <c r="K8"/>
      <c r="L8"/>
      <c r="M8"/>
      <c r="N8"/>
      <c r="O8"/>
    </row>
    <row r="9" spans="1:15" s="116" customFormat="1" ht="14.5" customHeight="1" outlineLevel="1" x14ac:dyDescent="0.35">
      <c r="A9" s="897"/>
      <c r="B9" s="891"/>
      <c r="C9" s="888" t="s">
        <v>980</v>
      </c>
      <c r="D9" s="559" t="s">
        <v>1136</v>
      </c>
      <c r="E9" s="1153">
        <f>'Native vegetation - Carbon'!AC1</f>
        <v>819475035.65971327</v>
      </c>
      <c r="F9" s="939">
        <f>SUM('Native vegetation - Carbon'!M41:M70)</f>
        <v>93376069336.649139</v>
      </c>
      <c r="G9" s="939">
        <f>NPV(Assumptions!$C$5,'Native vegetation - Carbon'!M41:M70)</f>
        <v>33529409436.486416</v>
      </c>
      <c r="H9" s="939">
        <f>G9/Assumptions!$C$4</f>
        <v>1117646981.2162139</v>
      </c>
      <c r="I9" s="1276">
        <f>G9/'Present Value'!H68</f>
        <v>0.15323858609985574</v>
      </c>
      <c r="J9"/>
      <c r="K9"/>
      <c r="L9"/>
      <c r="M9"/>
      <c r="N9"/>
      <c r="O9"/>
    </row>
    <row r="10" spans="1:15" s="33" customFormat="1" ht="14.5" outlineLevel="1" x14ac:dyDescent="0.35">
      <c r="A10" s="894"/>
      <c r="B10" s="1051"/>
      <c r="C10" s="1108"/>
      <c r="D10" s="1155" t="s">
        <v>107</v>
      </c>
      <c r="E10" s="1156">
        <f>SUM(E8:E9)</f>
        <v>819475035.65971327</v>
      </c>
      <c r="F10" s="1157">
        <f t="shared" ref="F10" si="0">SUM(F8:F9)</f>
        <v>93376069336.649139</v>
      </c>
      <c r="G10" s="1157"/>
      <c r="H10" s="1157">
        <f>SUM(H8:H9)</f>
        <v>1117646981.2162139</v>
      </c>
      <c r="I10" s="1157"/>
      <c r="J10"/>
      <c r="K10"/>
      <c r="L10"/>
      <c r="M10"/>
      <c r="N10"/>
      <c r="O10"/>
    </row>
    <row r="11" spans="1:15" ht="14.5" x14ac:dyDescent="0.35">
      <c r="B11" s="714"/>
      <c r="I11" s="1158"/>
      <c r="N11"/>
      <c r="O11"/>
    </row>
    <row r="12" spans="1:15" s="116" customFormat="1" ht="14.5" collapsed="1" x14ac:dyDescent="0.35">
      <c r="A12" s="897"/>
      <c r="B12" s="1602" t="s">
        <v>1044</v>
      </c>
      <c r="C12" s="1603"/>
      <c r="D12" s="1603"/>
      <c r="E12" s="1087"/>
      <c r="F12" s="1087"/>
      <c r="G12" s="1087"/>
      <c r="H12" s="1087"/>
      <c r="I12" s="893"/>
      <c r="J12"/>
      <c r="K12"/>
      <c r="L12"/>
      <c r="M12"/>
      <c r="N12"/>
      <c r="O12"/>
    </row>
    <row r="13" spans="1:15" s="33" customFormat="1" ht="29" outlineLevel="1" x14ac:dyDescent="0.35">
      <c r="A13" s="894"/>
      <c r="B13" s="1277" t="s">
        <v>934</v>
      </c>
      <c r="C13" s="904"/>
      <c r="D13" s="1149" t="s">
        <v>934</v>
      </c>
      <c r="E13" s="1150" t="s">
        <v>1299</v>
      </c>
      <c r="F13" s="1150" t="s">
        <v>1300</v>
      </c>
      <c r="G13" s="1150" t="s">
        <v>1298</v>
      </c>
      <c r="H13" s="1150" t="s">
        <v>1297</v>
      </c>
      <c r="I13" s="1151" t="s">
        <v>1293</v>
      </c>
      <c r="J13"/>
      <c r="K13"/>
      <c r="L13"/>
      <c r="M13"/>
      <c r="N13"/>
      <c r="O13"/>
    </row>
    <row r="14" spans="1:15" s="33" customFormat="1" ht="14.5" outlineLevel="1" x14ac:dyDescent="0.35">
      <c r="A14" s="894"/>
      <c r="B14" s="1600" t="s">
        <v>115</v>
      </c>
      <c r="C14" s="1601"/>
      <c r="D14" s="1601"/>
      <c r="E14" s="842"/>
      <c r="F14" s="842"/>
      <c r="G14" s="842"/>
      <c r="H14" s="842"/>
      <c r="I14" s="870"/>
      <c r="J14"/>
      <c r="K14"/>
      <c r="L14"/>
      <c r="M14"/>
      <c r="N14"/>
      <c r="O14"/>
    </row>
    <row r="15" spans="1:15" s="858" customFormat="1" ht="14.5" customHeight="1" outlineLevel="1" x14ac:dyDescent="0.35">
      <c r="A15" s="896"/>
      <c r="B15" s="977"/>
      <c r="C15" s="976" t="s">
        <v>1160</v>
      </c>
      <c r="D15" s="976" t="s">
        <v>1042</v>
      </c>
      <c r="E15" s="976"/>
      <c r="F15" s="976"/>
      <c r="G15" s="976"/>
      <c r="H15" s="1088"/>
      <c r="I15" s="1159"/>
      <c r="J15"/>
      <c r="K15"/>
      <c r="L15"/>
      <c r="M15"/>
      <c r="N15"/>
      <c r="O15"/>
    </row>
    <row r="16" spans="1:15" s="116" customFormat="1" ht="14.5" customHeight="1" outlineLevel="1" x14ac:dyDescent="0.35">
      <c r="A16" s="897"/>
      <c r="B16" s="891"/>
      <c r="C16" s="888" t="s">
        <v>1303</v>
      </c>
      <c r="D16" s="859" t="s">
        <v>1167</v>
      </c>
      <c r="E16" s="1072"/>
      <c r="F16" s="939"/>
      <c r="G16" s="939"/>
      <c r="H16" s="939"/>
      <c r="I16" s="1154"/>
      <c r="J16"/>
      <c r="K16"/>
      <c r="L16"/>
      <c r="M16"/>
      <c r="N16"/>
      <c r="O16"/>
    </row>
    <row r="17" spans="1:15" s="116" customFormat="1" ht="14.5" outlineLevel="1" x14ac:dyDescent="0.35">
      <c r="A17" s="897"/>
      <c r="B17" s="891"/>
      <c r="C17" s="888" t="s">
        <v>1301</v>
      </c>
      <c r="D17" s="859" t="s">
        <v>1168</v>
      </c>
      <c r="E17" s="1072"/>
      <c r="F17" s="939"/>
      <c r="G17" s="939"/>
      <c r="H17" s="939"/>
      <c r="I17" s="1154"/>
      <c r="J17"/>
      <c r="K17"/>
      <c r="L17"/>
      <c r="M17"/>
      <c r="N17"/>
      <c r="O17"/>
    </row>
    <row r="18" spans="1:15" s="116" customFormat="1" ht="14.5" outlineLevel="1" x14ac:dyDescent="0.35">
      <c r="A18" s="897"/>
      <c r="B18" s="891"/>
      <c r="C18" s="888" t="s">
        <v>1302</v>
      </c>
      <c r="D18" s="859" t="s">
        <v>1169</v>
      </c>
      <c r="E18" s="1072"/>
      <c r="F18" s="939"/>
      <c r="G18" s="939"/>
      <c r="H18" s="939"/>
      <c r="I18" s="1154"/>
      <c r="J18"/>
      <c r="K18"/>
      <c r="L18"/>
      <c r="M18"/>
      <c r="N18"/>
      <c r="O18"/>
    </row>
    <row r="19" spans="1:15" s="33" customFormat="1" ht="14.5" outlineLevel="1" x14ac:dyDescent="0.35">
      <c r="A19" s="894"/>
      <c r="B19" s="938"/>
      <c r="C19" s="1096"/>
      <c r="D19" s="1160" t="s">
        <v>107</v>
      </c>
      <c r="E19" s="1161">
        <f>SUM(E16:E18)</f>
        <v>0</v>
      </c>
      <c r="F19" s="1162">
        <f t="shared" ref="F19:H19" si="1">SUM(F16:F18)</f>
        <v>0</v>
      </c>
      <c r="G19" s="1162"/>
      <c r="H19" s="1162">
        <f t="shared" si="1"/>
        <v>0</v>
      </c>
      <c r="I19" s="1162"/>
      <c r="J19"/>
      <c r="K19"/>
      <c r="L19"/>
      <c r="M19"/>
      <c r="N19"/>
      <c r="O19"/>
    </row>
    <row r="20" spans="1:15" s="33" customFormat="1" ht="14.5" outlineLevel="1" x14ac:dyDescent="0.35">
      <c r="A20" s="2"/>
      <c r="B20" s="891"/>
      <c r="C20" s="888"/>
      <c r="D20" s="1163"/>
      <c r="E20" s="1163"/>
      <c r="F20" s="1163"/>
      <c r="G20" s="1163"/>
      <c r="H20" s="1163"/>
      <c r="I20" s="1164"/>
      <c r="J20"/>
      <c r="K20"/>
      <c r="L20"/>
      <c r="M20"/>
      <c r="N20"/>
      <c r="O20"/>
    </row>
    <row r="21" spans="1:15" s="33" customFormat="1" ht="14.5" outlineLevel="1" x14ac:dyDescent="0.35">
      <c r="A21" s="894"/>
      <c r="B21" s="1165"/>
      <c r="C21" s="1166"/>
      <c r="D21" s="1167" t="s">
        <v>107</v>
      </c>
      <c r="E21" s="1168">
        <f>SUM(E10,E19)</f>
        <v>819475035.65971327</v>
      </c>
      <c r="F21" s="1169">
        <f>SUM(F10,F19)</f>
        <v>93376069336.649139</v>
      </c>
      <c r="G21" s="1169"/>
      <c r="H21" s="1169">
        <f t="shared" ref="H21" si="2">SUM(H10,H19)</f>
        <v>1117646981.2162139</v>
      </c>
      <c r="I21" s="1169"/>
      <c r="J21"/>
      <c r="K21"/>
      <c r="L21"/>
      <c r="M21"/>
      <c r="N21"/>
      <c r="O21"/>
    </row>
    <row r="22" spans="1:15" ht="14.5" x14ac:dyDescent="0.35">
      <c r="N22"/>
      <c r="O22"/>
    </row>
    <row r="23" spans="1:15" ht="28" customHeight="1" x14ac:dyDescent="0.35">
      <c r="C23" s="1177" t="s">
        <v>1172</v>
      </c>
      <c r="D23" s="1178">
        <v>4381000000</v>
      </c>
      <c r="E23" s="1179">
        <f>E21/D23</f>
        <v>0.18705205105220571</v>
      </c>
    </row>
    <row r="24" spans="1:15" ht="28" customHeight="1" x14ac:dyDescent="0.35">
      <c r="C24" s="1177" t="s">
        <v>1173</v>
      </c>
      <c r="D24" s="1177"/>
      <c r="E24" s="1179">
        <v>0.129744870332719</v>
      </c>
    </row>
  </sheetData>
  <mergeCells count="3">
    <mergeCell ref="B6:D6"/>
    <mergeCell ref="B12:D12"/>
    <mergeCell ref="B14:D14"/>
  </mergeCells>
  <pageMargins left="0.7" right="0.7" top="0.75" bottom="0.75" header="0.3" footer="0.3"/>
  <pageSetup paperSize="9"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863295-5795-4D38-9E59-2B83F6776FC9}">
  <sheetPr>
    <tabColor rgb="FFE6C7C8"/>
  </sheetPr>
  <dimension ref="A1:AW94"/>
  <sheetViews>
    <sheetView topLeftCell="N1" zoomScale="55" zoomScaleNormal="55" workbookViewId="0">
      <selection activeCell="O2" sqref="O2"/>
    </sheetView>
  </sheetViews>
  <sheetFormatPr defaultRowHeight="14.5" x14ac:dyDescent="0.35"/>
  <cols>
    <col min="1" max="1" width="10.26953125" bestFit="1" customWidth="1"/>
    <col min="2" max="2" width="32.7265625" customWidth="1"/>
    <col min="3" max="3" width="28.90625" customWidth="1"/>
    <col min="4" max="4" width="17" customWidth="1"/>
    <col min="5" max="5" width="23.54296875" bestFit="1" customWidth="1"/>
    <col min="6" max="6" width="23.54296875" customWidth="1"/>
    <col min="7" max="7" width="22.36328125" customWidth="1"/>
    <col min="8" max="8" width="17.54296875" customWidth="1"/>
    <col min="9" max="11" width="22.7265625" customWidth="1"/>
    <col min="12" max="12" width="20.81640625" customWidth="1"/>
    <col min="13" max="13" width="17.54296875" customWidth="1"/>
    <col min="14" max="17" width="22.7265625" customWidth="1"/>
    <col min="18" max="18" width="9.1796875" customWidth="1"/>
    <col min="19" max="19" width="13.26953125" customWidth="1"/>
    <col min="20" max="20" width="18.1796875" customWidth="1"/>
    <col min="21" max="21" width="29.1796875" bestFit="1" customWidth="1"/>
    <col min="22" max="22" width="15.26953125" customWidth="1"/>
    <col min="23" max="23" width="29.1796875" style="198" bestFit="1" customWidth="1"/>
    <col min="24" max="26" width="29.1796875" style="198" customWidth="1"/>
    <col min="27" max="27" width="11.1796875" bestFit="1" customWidth="1"/>
    <col min="28" max="28" width="42.26953125" customWidth="1"/>
    <col min="29" max="29" width="33.54296875" bestFit="1" customWidth="1"/>
    <col min="30" max="30" width="33.54296875" customWidth="1"/>
    <col min="31" max="31" width="11.54296875" bestFit="1" customWidth="1"/>
    <col min="32" max="32" width="24.81640625" style="198" hidden="1" customWidth="1"/>
    <col min="33" max="33" width="24.1796875" style="198" hidden="1" customWidth="1"/>
    <col min="34" max="34" width="25.1796875" hidden="1" customWidth="1"/>
    <col min="35" max="43" width="12" bestFit="1" customWidth="1"/>
  </cols>
  <sheetData>
    <row r="1" spans="1:37" x14ac:dyDescent="0.35">
      <c r="C1" t="s">
        <v>1317</v>
      </c>
      <c r="D1" s="1661" t="s">
        <v>1321</v>
      </c>
      <c r="E1" s="1661"/>
      <c r="G1" t="s">
        <v>1318</v>
      </c>
      <c r="H1" t="s">
        <v>1319</v>
      </c>
      <c r="I1" t="s">
        <v>1320</v>
      </c>
      <c r="J1" s="551">
        <f>SUM(J4:J28)</f>
        <v>12935323.899999997</v>
      </c>
      <c r="K1" s="551">
        <f>SUM(K4:K28)</f>
        <v>431177.4633333332</v>
      </c>
      <c r="L1" t="s">
        <v>1318</v>
      </c>
      <c r="M1" t="s">
        <v>1319</v>
      </c>
      <c r="N1" t="s">
        <v>1320</v>
      </c>
      <c r="O1" s="551">
        <f>SUM(O4:O28)</f>
        <v>12935323.899999997</v>
      </c>
      <c r="P1" s="551">
        <f>SUM(P4:P28)</f>
        <v>431177.4633333332</v>
      </c>
      <c r="Q1" s="551"/>
      <c r="S1" s="551">
        <f>SUM(S4:S28)</f>
        <v>459523524.32578164</v>
      </c>
      <c r="T1" s="551">
        <f>SUM(T4:T28)</f>
        <v>453079240.09582794</v>
      </c>
      <c r="U1" s="551"/>
      <c r="V1" s="551"/>
      <c r="W1" s="551">
        <f>SUM(W4:W28)</f>
        <v>912602764.42160964</v>
      </c>
      <c r="X1" s="551">
        <f>ROUND(W1,-6)</f>
        <v>913000000</v>
      </c>
      <c r="Y1" s="551">
        <f>SUM(Y4:Y28)</f>
        <v>36504110.576864384</v>
      </c>
      <c r="Z1" s="551">
        <f>SUM(Z4:Z28)</f>
        <v>30420092.14738699</v>
      </c>
      <c r="AB1" s="551">
        <f>SUM(AB4:AB28)</f>
        <v>27315834.521990452</v>
      </c>
      <c r="AC1" s="551">
        <f>SUM(AC4:AC28)</f>
        <v>819475035.65971327</v>
      </c>
      <c r="AD1" s="1170">
        <f>AC1/W1</f>
        <v>0.89795370736037716</v>
      </c>
      <c r="AE1" s="551">
        <f>SUM(AE4:AE28)</f>
        <v>27315834.521990445</v>
      </c>
      <c r="AF1" s="551">
        <f>SUM(AF4:AF28)</f>
        <v>409737517.82985663</v>
      </c>
      <c r="AG1" s="551">
        <f t="shared" ref="AG1" si="0">SUM(AG4:AG28)</f>
        <v>12292125534.8957</v>
      </c>
      <c r="AH1" s="551">
        <f>SUM(AH4:AH28)</f>
        <v>12290000000</v>
      </c>
      <c r="AI1" s="551"/>
      <c r="AJ1" s="551">
        <f>W1-AC1</f>
        <v>93127728.761896372</v>
      </c>
      <c r="AK1" s="697"/>
    </row>
    <row r="2" spans="1:37" x14ac:dyDescent="0.35">
      <c r="A2" t="s">
        <v>1177</v>
      </c>
      <c r="B2" t="s">
        <v>1178</v>
      </c>
      <c r="C2" t="s">
        <v>1314</v>
      </c>
      <c r="D2" t="s">
        <v>1315</v>
      </c>
      <c r="E2" t="s">
        <v>1316</v>
      </c>
      <c r="G2" t="s">
        <v>1179</v>
      </c>
      <c r="H2" t="s">
        <v>1180</v>
      </c>
      <c r="I2" t="s">
        <v>1181</v>
      </c>
      <c r="J2" t="s">
        <v>1322</v>
      </c>
      <c r="K2" t="s">
        <v>1182</v>
      </c>
      <c r="L2" t="s">
        <v>1179</v>
      </c>
      <c r="M2" t="s">
        <v>1180</v>
      </c>
      <c r="N2" t="s">
        <v>1181</v>
      </c>
      <c r="O2" t="s">
        <v>1322</v>
      </c>
      <c r="P2" t="s">
        <v>1182</v>
      </c>
      <c r="R2" t="s">
        <v>1183</v>
      </c>
      <c r="S2" t="s">
        <v>1184</v>
      </c>
      <c r="T2" t="s">
        <v>1185</v>
      </c>
      <c r="U2" t="s">
        <v>1186</v>
      </c>
      <c r="V2" t="s">
        <v>1187</v>
      </c>
      <c r="W2" s="198" t="s">
        <v>1323</v>
      </c>
      <c r="X2" s="198" t="s">
        <v>1188</v>
      </c>
      <c r="Y2" s="198" t="s">
        <v>1189</v>
      </c>
      <c r="Z2" s="198" t="s">
        <v>1324</v>
      </c>
      <c r="AA2" t="s">
        <v>1190</v>
      </c>
      <c r="AB2" s="198" t="s">
        <v>1325</v>
      </c>
      <c r="AC2" t="s">
        <v>1326</v>
      </c>
      <c r="AE2" t="s">
        <v>1174</v>
      </c>
      <c r="AF2" s="198" t="s">
        <v>1175</v>
      </c>
      <c r="AG2" s="198" t="s">
        <v>1176</v>
      </c>
      <c r="AH2" s="198" t="s">
        <v>1188</v>
      </c>
      <c r="AI2" s="198"/>
      <c r="AJ2" s="198"/>
    </row>
    <row r="3" spans="1:37" ht="15" thickBot="1" x14ac:dyDescent="0.4"/>
    <row r="4" spans="1:37" ht="16" thickBot="1" x14ac:dyDescent="0.4">
      <c r="A4" s="1171">
        <v>1</v>
      </c>
      <c r="B4" s="1172" t="s">
        <v>1068</v>
      </c>
      <c r="C4">
        <v>10000</v>
      </c>
      <c r="D4" s="1173">
        <v>3.66554054054054E-5</v>
      </c>
      <c r="E4" s="1173">
        <v>72.990981777867006</v>
      </c>
      <c r="F4" s="1173"/>
      <c r="G4">
        <f>SUM(D4,E4)/2</f>
        <v>36.495509216636208</v>
      </c>
      <c r="H4">
        <f>G4*0.5</f>
        <v>18.247754608318104</v>
      </c>
      <c r="I4">
        <f>H4*3.67</f>
        <v>66.969259412527435</v>
      </c>
      <c r="J4">
        <v>71005.899999999994</v>
      </c>
      <c r="K4" s="745">
        <f>J4/30</f>
        <v>2366.8633333333332</v>
      </c>
      <c r="L4">
        <f>SUM(I4,J4)/2</f>
        <v>35536.434629706258</v>
      </c>
      <c r="M4">
        <f>L4*0.5</f>
        <v>17768.217314853129</v>
      </c>
      <c r="N4">
        <f>M4*3.67</f>
        <v>65209.357545510982</v>
      </c>
      <c r="O4">
        <v>71005.899999999994</v>
      </c>
      <c r="P4" s="745">
        <f>O4/30</f>
        <v>2366.8633333333332</v>
      </c>
      <c r="Q4" s="745"/>
      <c r="R4">
        <v>0.39457545334710165</v>
      </c>
      <c r="S4" s="331">
        <f>$I4*$R4*0.75*$J4</f>
        <v>1407217.6068877671</v>
      </c>
      <c r="T4" s="331">
        <f>$I4*$J4*(1-$R4)</f>
        <v>2878922.3944029585</v>
      </c>
      <c r="U4" s="331">
        <f>$I4*$R4*0.75*$K4</f>
        <v>46907.253562925573</v>
      </c>
      <c r="V4" s="331">
        <f>$I4*$K4*(1-$R4)</f>
        <v>95964.079813431948</v>
      </c>
      <c r="W4" s="551">
        <f>SUM(S4,T4)</f>
        <v>4286140.0012907255</v>
      </c>
      <c r="X4" s="551">
        <f>ROUND(W4,-6)</f>
        <v>4000000</v>
      </c>
      <c r="Y4" s="551">
        <f>W4/25</f>
        <v>171445.60005162901</v>
      </c>
      <c r="Z4" s="551">
        <f>SUM(U4,V4)</f>
        <v>142871.33337635751</v>
      </c>
      <c r="AA4" s="327">
        <v>0.85323425008135112</v>
      </c>
      <c r="AB4" s="551">
        <f>Z4*AA4</f>
        <v>121902.7149914991</v>
      </c>
      <c r="AC4" s="333">
        <f>W4*AA4</f>
        <v>3657081.4497449733</v>
      </c>
      <c r="AD4" s="333"/>
      <c r="AE4" s="333">
        <f>AC4/30</f>
        <v>121902.71499149912</v>
      </c>
      <c r="AF4" s="551">
        <f>AE4*15</f>
        <v>1828540.7248724867</v>
      </c>
      <c r="AG4" s="551">
        <f>AF4*30</f>
        <v>54856221.746174604</v>
      </c>
      <c r="AH4" s="551">
        <f>ROUND(AG4,-6)</f>
        <v>55000000</v>
      </c>
      <c r="AI4" s="333"/>
      <c r="AJ4" s="333"/>
    </row>
    <row r="5" spans="1:37" ht="16" thickBot="1" x14ac:dyDescent="0.4">
      <c r="A5" s="1174">
        <v>2</v>
      </c>
      <c r="B5" s="1175" t="s">
        <v>1069</v>
      </c>
      <c r="C5">
        <v>5000</v>
      </c>
      <c r="D5" s="1173">
        <v>1.8602693602693691E-5</v>
      </c>
      <c r="E5" s="1173">
        <v>107.98479902222489</v>
      </c>
      <c r="F5" s="1173"/>
      <c r="G5">
        <f t="shared" ref="G5:G36" si="1">SUM(D5,E5)/2</f>
        <v>53.992408812459246</v>
      </c>
      <c r="H5">
        <f t="shared" ref="H5:H36" si="2">G5*0.5</f>
        <v>26.996204406229623</v>
      </c>
      <c r="I5">
        <f t="shared" ref="I5:I36" si="3">H5*3.67</f>
        <v>99.076070170862721</v>
      </c>
      <c r="J5">
        <v>7582.5</v>
      </c>
      <c r="K5" s="745">
        <f t="shared" ref="K5:K36" si="4">J5/30</f>
        <v>252.75</v>
      </c>
      <c r="L5">
        <f t="shared" ref="L5:L36" si="5">SUM(I5,J5)/2</f>
        <v>3840.7880350854311</v>
      </c>
      <c r="M5">
        <f t="shared" ref="M5:M36" si="6">L5*0.5</f>
        <v>1920.3940175427156</v>
      </c>
      <c r="N5">
        <f t="shared" ref="N5:N36" si="7">M5*3.67</f>
        <v>7047.8460443817658</v>
      </c>
      <c r="O5">
        <v>7582.5</v>
      </c>
      <c r="P5" s="745">
        <f t="shared" ref="P5:P36" si="8">O5/30</f>
        <v>252.75</v>
      </c>
      <c r="Q5" s="745"/>
      <c r="R5">
        <v>0.48163869504257678</v>
      </c>
      <c r="S5" s="331">
        <f t="shared" ref="S5:S36" si="9">$I5*$R5*0.75*$J5</f>
        <v>271371.24398057931</v>
      </c>
      <c r="T5" s="331">
        <f t="shared" ref="T5:T36" si="10">$I5*$J5*(1-$R5)</f>
        <v>389415.97676312749</v>
      </c>
      <c r="U5" s="331">
        <f t="shared" ref="U5:U36" si="11">$I5*$R5*0.75*$K5</f>
        <v>9045.708132685977</v>
      </c>
      <c r="V5" s="331">
        <f t="shared" ref="V5:V36" si="12">$I5*$K5*(1-$R5)</f>
        <v>12980.532558770916</v>
      </c>
      <c r="W5" s="551">
        <f t="shared" ref="W5:W36" si="13">SUM(S5,T5)</f>
        <v>660787.2207437068</v>
      </c>
      <c r="X5" s="551">
        <f t="shared" ref="X5:X36" si="14">ROUND(W5,-6)</f>
        <v>1000000</v>
      </c>
      <c r="Y5" s="551">
        <f t="shared" ref="Y5:Y36" si="15">W5/25</f>
        <v>26431.488829748272</v>
      </c>
      <c r="Z5" s="551">
        <f t="shared" ref="Z5:Z36" si="16">SUM(U5,V5)</f>
        <v>22026.240691456893</v>
      </c>
      <c r="AA5" s="327">
        <v>0.82416205331802439</v>
      </c>
      <c r="AB5" s="551">
        <f t="shared" ref="AB5:AB36" si="17">Z5*AA5</f>
        <v>18153.191755148135</v>
      </c>
      <c r="AC5" s="333">
        <f t="shared" ref="AC5:AC36" si="18">W5*AA5</f>
        <v>544595.75265444408</v>
      </c>
      <c r="AD5" s="333"/>
      <c r="AE5" s="333">
        <f t="shared" ref="AE5:AE36" si="19">AC5/30</f>
        <v>18153.191755148135</v>
      </c>
      <c r="AF5" s="551">
        <f t="shared" ref="AF5:AF36" si="20">AE5*15</f>
        <v>272297.87632722204</v>
      </c>
      <c r="AG5" s="551">
        <f t="shared" ref="AG5:AG36" si="21">AF5*30</f>
        <v>8168936.2898166608</v>
      </c>
      <c r="AH5" s="551">
        <f t="shared" ref="AH5:AH36" si="22">ROUND(AG5,-6)</f>
        <v>8000000</v>
      </c>
      <c r="AI5" s="333"/>
      <c r="AJ5" s="333"/>
    </row>
    <row r="6" spans="1:37" ht="16" thickBot="1" x14ac:dyDescent="0.4">
      <c r="A6" s="1174">
        <v>3</v>
      </c>
      <c r="B6" s="1175" t="s">
        <v>1070</v>
      </c>
      <c r="C6">
        <v>5000</v>
      </c>
      <c r="D6" s="1173">
        <v>2.9173759468892702E-5</v>
      </c>
      <c r="E6" s="1173">
        <v>83.000346549430461</v>
      </c>
      <c r="F6" s="1173"/>
      <c r="G6">
        <f t="shared" si="1"/>
        <v>41.500187861594966</v>
      </c>
      <c r="H6">
        <f t="shared" si="2"/>
        <v>20.750093930797483</v>
      </c>
      <c r="I6">
        <f t="shared" si="3"/>
        <v>76.152844726026757</v>
      </c>
      <c r="J6">
        <v>292674.39999999997</v>
      </c>
      <c r="K6" s="745">
        <f t="shared" si="4"/>
        <v>9755.8133333333317</v>
      </c>
      <c r="L6">
        <f t="shared" si="5"/>
        <v>146375.27642236301</v>
      </c>
      <c r="M6">
        <f t="shared" si="6"/>
        <v>73187.638211181504</v>
      </c>
      <c r="N6">
        <f t="shared" si="7"/>
        <v>268598.63223503612</v>
      </c>
      <c r="O6">
        <v>292674.39999999997</v>
      </c>
      <c r="P6" s="745">
        <f t="shared" si="8"/>
        <v>9755.8133333333317</v>
      </c>
      <c r="Q6" s="745"/>
      <c r="R6">
        <v>0.59452681768737903</v>
      </c>
      <c r="S6" s="331">
        <f t="shared" si="9"/>
        <v>9938104.9954697806</v>
      </c>
      <c r="T6" s="331">
        <f t="shared" si="10"/>
        <v>9037181.4778566696</v>
      </c>
      <c r="U6" s="331">
        <f t="shared" si="11"/>
        <v>331270.16651565931</v>
      </c>
      <c r="V6" s="331">
        <f t="shared" si="12"/>
        <v>301239.38259522227</v>
      </c>
      <c r="W6" s="551">
        <f t="shared" si="13"/>
        <v>18975286.473326452</v>
      </c>
      <c r="X6" s="551">
        <f t="shared" si="14"/>
        <v>19000000</v>
      </c>
      <c r="Y6" s="551">
        <f t="shared" si="15"/>
        <v>759011.45893305808</v>
      </c>
      <c r="Z6" s="551">
        <f t="shared" si="16"/>
        <v>632509.54911088152</v>
      </c>
      <c r="AA6" s="327">
        <v>0.70171351449724151</v>
      </c>
      <c r="AB6" s="551">
        <f t="shared" si="17"/>
        <v>443840.49865966226</v>
      </c>
      <c r="AC6" s="333">
        <f t="shared" si="18"/>
        <v>13315214.959789872</v>
      </c>
      <c r="AD6" s="333"/>
      <c r="AE6" s="333">
        <f t="shared" si="19"/>
        <v>443840.49865966238</v>
      </c>
      <c r="AF6" s="551">
        <f t="shared" si="20"/>
        <v>6657607.4798949361</v>
      </c>
      <c r="AG6" s="551">
        <f t="shared" si="21"/>
        <v>199728224.39684808</v>
      </c>
      <c r="AH6" s="551">
        <f t="shared" si="22"/>
        <v>200000000</v>
      </c>
      <c r="AI6" s="333"/>
      <c r="AJ6" s="333"/>
    </row>
    <row r="7" spans="1:37" ht="16" thickBot="1" x14ac:dyDescent="0.4">
      <c r="A7" s="1174">
        <v>4</v>
      </c>
      <c r="B7" s="1175" t="s">
        <v>1071</v>
      </c>
      <c r="C7">
        <v>5000</v>
      </c>
      <c r="D7" s="1173">
        <v>2.5292968749999989E-5</v>
      </c>
      <c r="E7" s="1173">
        <v>116.06510511040668</v>
      </c>
      <c r="F7" s="1173"/>
      <c r="G7">
        <f t="shared" si="1"/>
        <v>58.03256520168771</v>
      </c>
      <c r="H7">
        <f t="shared" si="2"/>
        <v>29.016282600843855</v>
      </c>
      <c r="I7">
        <f t="shared" si="3"/>
        <v>106.48975714509695</v>
      </c>
      <c r="J7">
        <v>1434.3999999999996</v>
      </c>
      <c r="K7" s="745">
        <f t="shared" si="4"/>
        <v>47.813333333333318</v>
      </c>
      <c r="L7">
        <f t="shared" si="5"/>
        <v>770.4448785725483</v>
      </c>
      <c r="M7">
        <f t="shared" si="6"/>
        <v>385.22243928627415</v>
      </c>
      <c r="N7">
        <f t="shared" si="7"/>
        <v>1413.7663521806262</v>
      </c>
      <c r="O7">
        <v>1434.3999999999996</v>
      </c>
      <c r="P7" s="745">
        <f t="shared" si="8"/>
        <v>47.813333333333318</v>
      </c>
      <c r="Q7" s="745"/>
      <c r="R7">
        <v>0.41584594692127991</v>
      </c>
      <c r="S7" s="331">
        <f t="shared" si="9"/>
        <v>47640.010606844393</v>
      </c>
      <c r="T7" s="331">
        <f t="shared" si="10"/>
        <v>89228.893506467823</v>
      </c>
      <c r="U7" s="331">
        <f t="shared" si="11"/>
        <v>1588.0003535614799</v>
      </c>
      <c r="V7" s="331">
        <f t="shared" si="12"/>
        <v>2974.2964502155942</v>
      </c>
      <c r="W7" s="551">
        <f t="shared" si="13"/>
        <v>136868.90411331222</v>
      </c>
      <c r="X7" s="551">
        <f t="shared" si="14"/>
        <v>0</v>
      </c>
      <c r="Y7" s="551">
        <f t="shared" si="15"/>
        <v>5474.7561645324886</v>
      </c>
      <c r="Z7" s="551">
        <f t="shared" si="16"/>
        <v>4562.2968037770743</v>
      </c>
      <c r="AA7" s="327">
        <v>0.49360222150189142</v>
      </c>
      <c r="AB7" s="551">
        <f t="shared" si="17"/>
        <v>2251.9598374953425</v>
      </c>
      <c r="AC7" s="333">
        <f t="shared" si="18"/>
        <v>67558.795124860277</v>
      </c>
      <c r="AD7" s="333"/>
      <c r="AE7" s="333">
        <f t="shared" si="19"/>
        <v>2251.9598374953425</v>
      </c>
      <c r="AF7" s="551">
        <f t="shared" si="20"/>
        <v>33779.397562430138</v>
      </c>
      <c r="AG7" s="551">
        <f t="shared" si="21"/>
        <v>1013381.9268729042</v>
      </c>
      <c r="AH7" s="551">
        <f t="shared" si="22"/>
        <v>1000000</v>
      </c>
      <c r="AI7" s="333"/>
      <c r="AJ7" s="333"/>
    </row>
    <row r="8" spans="1:37" ht="16" thickBot="1" x14ac:dyDescent="0.4">
      <c r="A8" s="1174">
        <v>5</v>
      </c>
      <c r="B8" s="1175" t="s">
        <v>1072</v>
      </c>
      <c r="C8">
        <v>5000</v>
      </c>
      <c r="D8" s="1173">
        <v>3.0966397822252958E-5</v>
      </c>
      <c r="E8" s="1173">
        <v>91.078381702527366</v>
      </c>
      <c r="F8" s="1173"/>
      <c r="G8">
        <f t="shared" si="1"/>
        <v>45.539206334462591</v>
      </c>
      <c r="H8">
        <f t="shared" si="2"/>
        <v>22.769603167231296</v>
      </c>
      <c r="I8">
        <f t="shared" si="3"/>
        <v>83.564443623738853</v>
      </c>
      <c r="J8">
        <v>6139970.0999999987</v>
      </c>
      <c r="K8" s="745">
        <f t="shared" si="4"/>
        <v>204665.66999999995</v>
      </c>
      <c r="L8">
        <f t="shared" si="5"/>
        <v>3070026.8322218112</v>
      </c>
      <c r="M8">
        <f t="shared" si="6"/>
        <v>1535013.4161109056</v>
      </c>
      <c r="N8">
        <f t="shared" si="7"/>
        <v>5633499.2371270237</v>
      </c>
      <c r="O8">
        <v>6139970.0999999987</v>
      </c>
      <c r="P8" s="745">
        <f t="shared" si="8"/>
        <v>204665.66999999995</v>
      </c>
      <c r="Q8" s="745"/>
      <c r="R8">
        <v>0.64437408050961231</v>
      </c>
      <c r="S8" s="331">
        <f t="shared" si="9"/>
        <v>247963129.30137214</v>
      </c>
      <c r="T8" s="331">
        <f t="shared" si="10"/>
        <v>182465679.5377292</v>
      </c>
      <c r="U8" s="331">
        <f t="shared" si="11"/>
        <v>8265437.6433790717</v>
      </c>
      <c r="V8" s="331">
        <f t="shared" si="12"/>
        <v>6082189.3179243058</v>
      </c>
      <c r="W8" s="551">
        <f t="shared" si="13"/>
        <v>430428808.83910131</v>
      </c>
      <c r="X8" s="551">
        <f t="shared" si="14"/>
        <v>430000000</v>
      </c>
      <c r="Y8" s="551">
        <f t="shared" si="15"/>
        <v>17217152.353564054</v>
      </c>
      <c r="Z8" s="551">
        <f t="shared" si="16"/>
        <v>14347626.961303378</v>
      </c>
      <c r="AA8" s="327">
        <v>0.90292652921981242</v>
      </c>
      <c r="AB8" s="551">
        <f t="shared" si="17"/>
        <v>12954853.014710262</v>
      </c>
      <c r="AC8" s="333">
        <f t="shared" si="18"/>
        <v>388645590.44130784</v>
      </c>
      <c r="AD8" s="333"/>
      <c r="AE8" s="333">
        <f t="shared" si="19"/>
        <v>12954853.014710261</v>
      </c>
      <c r="AF8" s="551">
        <f t="shared" si="20"/>
        <v>194322795.22065392</v>
      </c>
      <c r="AG8" s="551">
        <f t="shared" si="21"/>
        <v>5829683856.6196175</v>
      </c>
      <c r="AH8" s="551">
        <f t="shared" si="22"/>
        <v>5830000000</v>
      </c>
      <c r="AI8" s="333"/>
      <c r="AJ8" s="333"/>
    </row>
    <row r="9" spans="1:37" ht="16" thickBot="1" x14ac:dyDescent="0.4">
      <c r="A9" s="1174">
        <v>6</v>
      </c>
      <c r="B9" s="1175" t="s">
        <v>1073</v>
      </c>
      <c r="C9">
        <v>5000</v>
      </c>
      <c r="D9" s="1173">
        <v>3.447606468139714E-5</v>
      </c>
      <c r="E9" s="1173">
        <v>89.123195224032742</v>
      </c>
      <c r="F9" s="1173"/>
      <c r="G9">
        <f t="shared" si="1"/>
        <v>44.561614850048713</v>
      </c>
      <c r="H9">
        <f t="shared" si="2"/>
        <v>22.280807425024356</v>
      </c>
      <c r="I9">
        <f t="shared" si="3"/>
        <v>81.770563249839384</v>
      </c>
      <c r="J9">
        <v>2385299.4</v>
      </c>
      <c r="K9" s="745">
        <f t="shared" si="4"/>
        <v>79509.98</v>
      </c>
      <c r="L9">
        <f t="shared" si="5"/>
        <v>1192690.5852816249</v>
      </c>
      <c r="M9">
        <f t="shared" si="6"/>
        <v>596345.29264081246</v>
      </c>
      <c r="N9">
        <f t="shared" si="7"/>
        <v>2188587.2239917815</v>
      </c>
      <c r="O9">
        <v>2385299.4</v>
      </c>
      <c r="P9" s="745">
        <f t="shared" si="8"/>
        <v>79509.98</v>
      </c>
      <c r="Q9" s="745"/>
      <c r="R9">
        <v>0.49415883606533556</v>
      </c>
      <c r="S9" s="331">
        <f t="shared" si="9"/>
        <v>72288250.963346273</v>
      </c>
      <c r="T9" s="331">
        <f t="shared" si="10"/>
        <v>98662940.839708894</v>
      </c>
      <c r="U9" s="331">
        <f t="shared" si="11"/>
        <v>2409608.3654448758</v>
      </c>
      <c r="V9" s="331">
        <f t="shared" si="12"/>
        <v>3288764.6946569639</v>
      </c>
      <c r="W9" s="551">
        <f t="shared" si="13"/>
        <v>170951191.80305517</v>
      </c>
      <c r="X9" s="551">
        <f t="shared" si="14"/>
        <v>171000000</v>
      </c>
      <c r="Y9" s="551">
        <f t="shared" si="15"/>
        <v>6838047.6721222065</v>
      </c>
      <c r="Z9" s="551">
        <f t="shared" si="16"/>
        <v>5698373.0601018397</v>
      </c>
      <c r="AA9" s="327">
        <v>0.96088258610100696</v>
      </c>
      <c r="AB9" s="551">
        <f t="shared" si="17"/>
        <v>5475467.4425589647</v>
      </c>
      <c r="AC9" s="333">
        <f t="shared" si="18"/>
        <v>164264023.27676892</v>
      </c>
      <c r="AD9" s="333"/>
      <c r="AE9" s="333">
        <f t="shared" si="19"/>
        <v>5475467.4425589638</v>
      </c>
      <c r="AF9" s="551">
        <f t="shared" si="20"/>
        <v>82132011.638384461</v>
      </c>
      <c r="AG9" s="551">
        <f t="shared" si="21"/>
        <v>2463960349.1515341</v>
      </c>
      <c r="AH9" s="551">
        <f t="shared" si="22"/>
        <v>2464000000</v>
      </c>
      <c r="AI9" s="333"/>
      <c r="AJ9" s="333"/>
    </row>
    <row r="10" spans="1:37" ht="31.5" thickBot="1" x14ac:dyDescent="0.4">
      <c r="A10" s="1174">
        <v>7</v>
      </c>
      <c r="B10" s="1175" t="s">
        <v>1074</v>
      </c>
      <c r="C10">
        <v>5000</v>
      </c>
      <c r="D10" s="1173">
        <v>3.4684868242324555E-5</v>
      </c>
      <c r="E10" s="1173">
        <v>98.649670881734068</v>
      </c>
      <c r="F10" s="1173"/>
      <c r="G10">
        <f t="shared" si="1"/>
        <v>49.324852783301154</v>
      </c>
      <c r="H10">
        <f t="shared" si="2"/>
        <v>24.662426391650577</v>
      </c>
      <c r="I10">
        <f t="shared" si="3"/>
        <v>90.511104857357608</v>
      </c>
      <c r="J10">
        <v>59398.8</v>
      </c>
      <c r="K10" s="745">
        <f t="shared" si="4"/>
        <v>1979.96</v>
      </c>
      <c r="L10">
        <f t="shared" si="5"/>
        <v>29744.655552428681</v>
      </c>
      <c r="M10">
        <f t="shared" si="6"/>
        <v>14872.327776214341</v>
      </c>
      <c r="N10">
        <f t="shared" si="7"/>
        <v>54581.442938706627</v>
      </c>
      <c r="O10">
        <v>59398.8</v>
      </c>
      <c r="P10" s="745">
        <f t="shared" si="8"/>
        <v>1979.96</v>
      </c>
      <c r="Q10" s="745"/>
      <c r="R10">
        <v>0.61869790473587749</v>
      </c>
      <c r="S10" s="331">
        <f t="shared" si="9"/>
        <v>2494706.4288293435</v>
      </c>
      <c r="T10" s="331">
        <f t="shared" si="10"/>
        <v>2049975.7767620885</v>
      </c>
      <c r="U10" s="331">
        <f t="shared" si="11"/>
        <v>83156.880960978116</v>
      </c>
      <c r="V10" s="331">
        <f t="shared" si="12"/>
        <v>68332.525892069621</v>
      </c>
      <c r="W10" s="551">
        <f t="shared" si="13"/>
        <v>4544682.2055914318</v>
      </c>
      <c r="X10" s="551">
        <f t="shared" si="14"/>
        <v>5000000</v>
      </c>
      <c r="Y10" s="551">
        <f t="shared" si="15"/>
        <v>181787.28822365726</v>
      </c>
      <c r="Z10" s="551">
        <f t="shared" si="16"/>
        <v>151489.40685304772</v>
      </c>
      <c r="AA10" s="327">
        <v>0.85414112468823167</v>
      </c>
      <c r="AB10" s="551">
        <f t="shared" si="17"/>
        <v>129393.33234781529</v>
      </c>
      <c r="AC10" s="333">
        <f t="shared" si="18"/>
        <v>3881799.9704344589</v>
      </c>
      <c r="AD10" s="333"/>
      <c r="AE10" s="333">
        <f t="shared" si="19"/>
        <v>129393.3323478153</v>
      </c>
      <c r="AF10" s="551">
        <f t="shared" si="20"/>
        <v>1940899.9852172295</v>
      </c>
      <c r="AG10" s="551">
        <f t="shared" si="21"/>
        <v>58226999.556516886</v>
      </c>
      <c r="AH10" s="551">
        <f t="shared" si="22"/>
        <v>58000000</v>
      </c>
      <c r="AI10" s="333"/>
      <c r="AJ10" s="333"/>
    </row>
    <row r="11" spans="1:37" ht="31.5" thickBot="1" x14ac:dyDescent="0.4">
      <c r="A11" s="1174">
        <v>8</v>
      </c>
      <c r="B11" s="1175" t="s">
        <v>1075</v>
      </c>
      <c r="C11">
        <v>5000</v>
      </c>
      <c r="D11" s="1173">
        <v>3.3275747508307385E-5</v>
      </c>
      <c r="E11" s="1173">
        <v>92.39519246883961</v>
      </c>
      <c r="F11" s="1173"/>
      <c r="G11">
        <f t="shared" si="1"/>
        <v>46.197612872293561</v>
      </c>
      <c r="H11">
        <f t="shared" si="2"/>
        <v>23.098806436146781</v>
      </c>
      <c r="I11">
        <f t="shared" si="3"/>
        <v>84.772619620658688</v>
      </c>
      <c r="J11">
        <v>355917.6</v>
      </c>
      <c r="K11" s="745">
        <f t="shared" si="4"/>
        <v>11863.92</v>
      </c>
      <c r="L11">
        <f t="shared" si="5"/>
        <v>178001.18630981032</v>
      </c>
      <c r="M11">
        <f t="shared" si="6"/>
        <v>89000.59315490516</v>
      </c>
      <c r="N11">
        <f t="shared" si="7"/>
        <v>326632.17687850195</v>
      </c>
      <c r="O11">
        <v>355917.6</v>
      </c>
      <c r="P11" s="745">
        <f t="shared" si="8"/>
        <v>11863.92</v>
      </c>
      <c r="Q11" s="745"/>
      <c r="R11">
        <v>0.57709476854769282</v>
      </c>
      <c r="S11" s="331">
        <f t="shared" si="9"/>
        <v>13059106.655455735</v>
      </c>
      <c r="T11" s="331">
        <f t="shared" si="10"/>
        <v>12759925.113823438</v>
      </c>
      <c r="U11" s="331">
        <f t="shared" si="11"/>
        <v>435303.55518185784</v>
      </c>
      <c r="V11" s="331">
        <f t="shared" si="12"/>
        <v>425330.83712744794</v>
      </c>
      <c r="W11" s="551">
        <f t="shared" si="13"/>
        <v>25819031.769279175</v>
      </c>
      <c r="X11" s="551">
        <f t="shared" si="14"/>
        <v>26000000</v>
      </c>
      <c r="Y11" s="551">
        <f t="shared" si="15"/>
        <v>1032761.270771167</v>
      </c>
      <c r="Z11" s="551">
        <f t="shared" si="16"/>
        <v>860634.39230930572</v>
      </c>
      <c r="AA11" s="327">
        <v>0.79621772302575566</v>
      </c>
      <c r="AB11" s="551">
        <f t="shared" si="17"/>
        <v>685252.35620217037</v>
      </c>
      <c r="AC11" s="333">
        <f t="shared" si="18"/>
        <v>20557570.686065111</v>
      </c>
      <c r="AD11" s="333"/>
      <c r="AE11" s="333">
        <f t="shared" si="19"/>
        <v>685252.35620217037</v>
      </c>
      <c r="AF11" s="551">
        <f t="shared" si="20"/>
        <v>10278785.343032556</v>
      </c>
      <c r="AG11" s="551">
        <f t="shared" si="21"/>
        <v>308363560.29097664</v>
      </c>
      <c r="AH11" s="551">
        <f t="shared" si="22"/>
        <v>308000000</v>
      </c>
      <c r="AI11" s="333"/>
      <c r="AJ11" s="333"/>
    </row>
    <row r="12" spans="1:37" ht="31.5" thickBot="1" x14ac:dyDescent="0.4">
      <c r="A12" s="1174">
        <v>9</v>
      </c>
      <c r="B12" s="1175" t="s">
        <v>1076</v>
      </c>
      <c r="C12">
        <v>5000</v>
      </c>
      <c r="D12" s="1173">
        <v>2.6500789889415463E-5</v>
      </c>
      <c r="E12" s="1173">
        <v>103.91076430249925</v>
      </c>
      <c r="F12" s="1173"/>
      <c r="G12">
        <f t="shared" si="1"/>
        <v>51.955395401644566</v>
      </c>
      <c r="H12">
        <f t="shared" si="2"/>
        <v>25.977697700822283</v>
      </c>
      <c r="I12">
        <f t="shared" si="3"/>
        <v>95.338150562017773</v>
      </c>
      <c r="J12">
        <v>19215.900000000001</v>
      </c>
      <c r="K12" s="745">
        <f t="shared" si="4"/>
        <v>640.53000000000009</v>
      </c>
      <c r="L12">
        <f t="shared" si="5"/>
        <v>9655.6190752810089</v>
      </c>
      <c r="M12">
        <f t="shared" si="6"/>
        <v>4827.8095376405045</v>
      </c>
      <c r="N12">
        <f t="shared" si="7"/>
        <v>17718.06100314065</v>
      </c>
      <c r="O12">
        <v>19215.900000000001</v>
      </c>
      <c r="P12" s="745">
        <f t="shared" si="8"/>
        <v>640.53000000000009</v>
      </c>
      <c r="Q12" s="745"/>
      <c r="R12">
        <v>0.26594847834266949</v>
      </c>
      <c r="S12" s="331">
        <f t="shared" si="9"/>
        <v>365414.87821274484</v>
      </c>
      <c r="T12" s="331">
        <f t="shared" si="10"/>
        <v>1344788.5297676842</v>
      </c>
      <c r="U12" s="331">
        <f t="shared" si="11"/>
        <v>12180.495940424829</v>
      </c>
      <c r="V12" s="331">
        <f t="shared" si="12"/>
        <v>44826.28432558947</v>
      </c>
      <c r="W12" s="551">
        <f t="shared" si="13"/>
        <v>1710203.407980429</v>
      </c>
      <c r="X12" s="551">
        <f t="shared" si="14"/>
        <v>2000000</v>
      </c>
      <c r="Y12" s="551">
        <f t="shared" si="15"/>
        <v>68408.136319217156</v>
      </c>
      <c r="Z12" s="551">
        <f t="shared" si="16"/>
        <v>57006.780266014299</v>
      </c>
      <c r="AA12" s="327">
        <v>0.91842976239275165</v>
      </c>
      <c r="AB12" s="551">
        <f t="shared" si="17"/>
        <v>52356.723654491318</v>
      </c>
      <c r="AC12" s="333">
        <f t="shared" si="18"/>
        <v>1570701.7096347394</v>
      </c>
      <c r="AD12" s="333"/>
      <c r="AE12" s="333">
        <f t="shared" si="19"/>
        <v>52356.723654491318</v>
      </c>
      <c r="AF12" s="551">
        <f t="shared" si="20"/>
        <v>785350.85481736972</v>
      </c>
      <c r="AG12" s="551">
        <f t="shared" si="21"/>
        <v>23560525.644521091</v>
      </c>
      <c r="AH12" s="551">
        <f t="shared" si="22"/>
        <v>24000000</v>
      </c>
      <c r="AI12" s="333"/>
      <c r="AJ12" s="333"/>
    </row>
    <row r="13" spans="1:37" ht="16" thickBot="1" x14ac:dyDescent="0.4">
      <c r="A13" s="1174">
        <v>10</v>
      </c>
      <c r="B13" s="1175" t="s">
        <v>1077</v>
      </c>
      <c r="C13">
        <v>5000</v>
      </c>
      <c r="D13" s="1173">
        <v>2.8937146892655379E-5</v>
      </c>
      <c r="E13" s="1173">
        <v>98.076959238213973</v>
      </c>
      <c r="F13" s="1173"/>
      <c r="G13">
        <f t="shared" si="1"/>
        <v>49.038494087680434</v>
      </c>
      <c r="H13">
        <f t="shared" si="2"/>
        <v>24.519247043840217</v>
      </c>
      <c r="I13">
        <f t="shared" si="3"/>
        <v>89.985636650893596</v>
      </c>
      <c r="J13">
        <v>29802.7</v>
      </c>
      <c r="K13" s="745">
        <f t="shared" si="4"/>
        <v>993.4233333333334</v>
      </c>
      <c r="L13">
        <f t="shared" si="5"/>
        <v>14946.342818325447</v>
      </c>
      <c r="M13">
        <f t="shared" si="6"/>
        <v>7473.1714091627236</v>
      </c>
      <c r="N13">
        <f t="shared" si="7"/>
        <v>27426.539071627194</v>
      </c>
      <c r="O13">
        <v>29802.7</v>
      </c>
      <c r="P13" s="745">
        <f t="shared" si="8"/>
        <v>993.4233333333334</v>
      </c>
      <c r="Q13" s="745"/>
      <c r="R13">
        <v>0.2433523209140292</v>
      </c>
      <c r="S13" s="331">
        <f t="shared" si="9"/>
        <v>489469.41623143922</v>
      </c>
      <c r="T13" s="331">
        <f t="shared" si="10"/>
        <v>2029189.045107001</v>
      </c>
      <c r="U13" s="331">
        <f t="shared" si="11"/>
        <v>16315.647207714641</v>
      </c>
      <c r="V13" s="331">
        <f t="shared" si="12"/>
        <v>67639.634836900048</v>
      </c>
      <c r="W13" s="551">
        <f t="shared" si="13"/>
        <v>2518658.46133844</v>
      </c>
      <c r="X13" s="551">
        <f t="shared" si="14"/>
        <v>3000000</v>
      </c>
      <c r="Y13" s="551">
        <f t="shared" si="15"/>
        <v>100746.3384535376</v>
      </c>
      <c r="Z13" s="551">
        <f t="shared" si="16"/>
        <v>83955.282044614694</v>
      </c>
      <c r="AA13" s="327">
        <v>0.88591099507781346</v>
      </c>
      <c r="AB13" s="551">
        <f t="shared" si="17"/>
        <v>74376.907458183094</v>
      </c>
      <c r="AC13" s="333">
        <f t="shared" si="18"/>
        <v>2231307.2237454918</v>
      </c>
      <c r="AD13" s="333"/>
      <c r="AE13" s="333">
        <f t="shared" si="19"/>
        <v>74376.907458183065</v>
      </c>
      <c r="AF13" s="551">
        <f t="shared" si="20"/>
        <v>1115653.6118727459</v>
      </c>
      <c r="AG13" s="551">
        <f t="shared" si="21"/>
        <v>33469608.356182378</v>
      </c>
      <c r="AH13" s="551">
        <f t="shared" si="22"/>
        <v>33000000</v>
      </c>
      <c r="AI13" s="333"/>
      <c r="AJ13" s="333"/>
    </row>
    <row r="14" spans="1:37" ht="16" thickBot="1" x14ac:dyDescent="0.4">
      <c r="A14" s="1174">
        <v>11</v>
      </c>
      <c r="B14" s="1175" t="s">
        <v>1078</v>
      </c>
      <c r="C14">
        <v>5000</v>
      </c>
      <c r="D14" s="1173">
        <v>3.3844293291425797E-5</v>
      </c>
      <c r="E14" s="1173">
        <v>83.549211057976393</v>
      </c>
      <c r="F14" s="1173"/>
      <c r="G14">
        <f t="shared" si="1"/>
        <v>41.774622451134839</v>
      </c>
      <c r="H14">
        <f t="shared" si="2"/>
        <v>20.887311225567419</v>
      </c>
      <c r="I14">
        <f t="shared" si="3"/>
        <v>76.65643219783243</v>
      </c>
      <c r="J14">
        <v>811625.8</v>
      </c>
      <c r="K14" s="745">
        <f t="shared" si="4"/>
        <v>27054.193333333336</v>
      </c>
      <c r="L14">
        <f t="shared" si="5"/>
        <v>405851.22821609891</v>
      </c>
      <c r="M14">
        <f t="shared" si="6"/>
        <v>202925.61410804946</v>
      </c>
      <c r="N14">
        <f t="shared" si="7"/>
        <v>744737.00377654145</v>
      </c>
      <c r="O14">
        <v>811625.8</v>
      </c>
      <c r="P14" s="745">
        <f t="shared" si="8"/>
        <v>27054.193333333336</v>
      </c>
      <c r="Q14" s="745"/>
      <c r="R14">
        <v>0.57567123964874001</v>
      </c>
      <c r="S14" s="331">
        <f t="shared" si="9"/>
        <v>26862117.36365357</v>
      </c>
      <c r="T14" s="331">
        <f t="shared" si="10"/>
        <v>26400181.62284008</v>
      </c>
      <c r="U14" s="331">
        <f t="shared" si="11"/>
        <v>895403.9121217858</v>
      </c>
      <c r="V14" s="331">
        <f t="shared" si="12"/>
        <v>880006.05409466941</v>
      </c>
      <c r="W14" s="551">
        <f t="shared" si="13"/>
        <v>53262298.986493647</v>
      </c>
      <c r="X14" s="551">
        <f t="shared" si="14"/>
        <v>53000000</v>
      </c>
      <c r="Y14" s="551">
        <f t="shared" si="15"/>
        <v>2130491.9594597458</v>
      </c>
      <c r="Z14" s="551">
        <f t="shared" si="16"/>
        <v>1775409.9662164552</v>
      </c>
      <c r="AA14" s="327">
        <v>0.9527265644021532</v>
      </c>
      <c r="AB14" s="551">
        <f t="shared" si="17"/>
        <v>1691480.2375187462</v>
      </c>
      <c r="AC14" s="333">
        <f t="shared" si="18"/>
        <v>50744407.125562377</v>
      </c>
      <c r="AD14" s="333"/>
      <c r="AE14" s="333">
        <f t="shared" si="19"/>
        <v>1691480.2375187459</v>
      </c>
      <c r="AF14" s="551">
        <f t="shared" si="20"/>
        <v>25372203.562781189</v>
      </c>
      <c r="AG14" s="551">
        <f t="shared" si="21"/>
        <v>761166106.88343561</v>
      </c>
      <c r="AH14" s="551">
        <f t="shared" si="22"/>
        <v>761000000</v>
      </c>
      <c r="AI14" s="333"/>
      <c r="AJ14" s="333"/>
    </row>
    <row r="15" spans="1:37" ht="31.5" thickBot="1" x14ac:dyDescent="0.4">
      <c r="A15" s="1174">
        <v>12</v>
      </c>
      <c r="B15" s="1175" t="s">
        <v>1079</v>
      </c>
      <c r="C15">
        <v>5000</v>
      </c>
      <c r="D15" s="1173">
        <v>8.1249999999999996E-5</v>
      </c>
      <c r="E15" s="1173">
        <v>86.620895385742102</v>
      </c>
      <c r="F15" s="1173"/>
      <c r="G15">
        <f t="shared" si="1"/>
        <v>43.310488317871048</v>
      </c>
      <c r="H15">
        <f t="shared" si="2"/>
        <v>21.655244158935524</v>
      </c>
      <c r="I15">
        <f t="shared" si="3"/>
        <v>79.474746063293367</v>
      </c>
      <c r="J15">
        <v>104.7</v>
      </c>
      <c r="K15" s="745">
        <f t="shared" si="4"/>
        <v>3.49</v>
      </c>
      <c r="L15">
        <f t="shared" si="5"/>
        <v>92.087373031646678</v>
      </c>
      <c r="M15">
        <f t="shared" si="6"/>
        <v>46.043686515823339</v>
      </c>
      <c r="N15">
        <f t="shared" si="7"/>
        <v>168.98032951307164</v>
      </c>
      <c r="O15">
        <v>104.7</v>
      </c>
      <c r="P15" s="745">
        <f t="shared" si="8"/>
        <v>3.49</v>
      </c>
      <c r="Q15" s="745"/>
      <c r="R15">
        <v>0.15576693140592168</v>
      </c>
      <c r="S15" s="331">
        <f t="shared" si="9"/>
        <v>972.10316793867253</v>
      </c>
      <c r="T15" s="331">
        <f t="shared" si="10"/>
        <v>7024.8683555752514</v>
      </c>
      <c r="U15" s="331">
        <f t="shared" si="11"/>
        <v>32.403438931289081</v>
      </c>
      <c r="V15" s="331">
        <f t="shared" si="12"/>
        <v>234.16227851917509</v>
      </c>
      <c r="W15" s="551">
        <f t="shared" si="13"/>
        <v>7996.9715235139238</v>
      </c>
      <c r="X15" s="551">
        <f t="shared" si="14"/>
        <v>0</v>
      </c>
      <c r="Y15" s="551">
        <f t="shared" si="15"/>
        <v>319.87886094055693</v>
      </c>
      <c r="Z15" s="551">
        <f t="shared" si="16"/>
        <v>266.56571745046415</v>
      </c>
      <c r="AA15" s="327">
        <v>1</v>
      </c>
      <c r="AB15" s="551">
        <f t="shared" si="17"/>
        <v>266.56571745046415</v>
      </c>
      <c r="AC15" s="333">
        <f t="shared" si="18"/>
        <v>7996.9715235139238</v>
      </c>
      <c r="AD15" s="333"/>
      <c r="AE15" s="333">
        <f t="shared" si="19"/>
        <v>266.56571745046415</v>
      </c>
      <c r="AF15" s="551">
        <f t="shared" si="20"/>
        <v>3998.4857617569623</v>
      </c>
      <c r="AG15" s="551">
        <f t="shared" si="21"/>
        <v>119954.57285270886</v>
      </c>
      <c r="AH15" s="551">
        <f t="shared" si="22"/>
        <v>0</v>
      </c>
      <c r="AI15" s="333"/>
      <c r="AJ15" s="333"/>
    </row>
    <row r="16" spans="1:37" ht="16" thickBot="1" x14ac:dyDescent="0.4">
      <c r="A16" s="1174">
        <v>13</v>
      </c>
      <c r="B16" s="1175" t="s">
        <v>1080</v>
      </c>
      <c r="C16">
        <v>5000</v>
      </c>
      <c r="D16" s="1173">
        <v>3.0793650793650823E-5</v>
      </c>
      <c r="E16" s="1173">
        <v>86.908944314623582</v>
      </c>
      <c r="F16" s="1173"/>
      <c r="G16">
        <f t="shared" si="1"/>
        <v>43.454487554137188</v>
      </c>
      <c r="H16">
        <f t="shared" si="2"/>
        <v>21.727243777068594</v>
      </c>
      <c r="I16">
        <f t="shared" si="3"/>
        <v>79.738984661841741</v>
      </c>
      <c r="J16">
        <v>3478.6999999999994</v>
      </c>
      <c r="K16" s="745">
        <f t="shared" si="4"/>
        <v>115.95666666666665</v>
      </c>
      <c r="L16">
        <f t="shared" si="5"/>
        <v>1779.2194923309205</v>
      </c>
      <c r="M16">
        <f t="shared" si="6"/>
        <v>889.60974616546025</v>
      </c>
      <c r="N16">
        <f t="shared" si="7"/>
        <v>3264.8677684272388</v>
      </c>
      <c r="O16">
        <v>3478.6999999999994</v>
      </c>
      <c r="P16" s="745">
        <f t="shared" si="8"/>
        <v>115.95666666666665</v>
      </c>
      <c r="Q16" s="745"/>
      <c r="R16">
        <v>0.63517780001380797</v>
      </c>
      <c r="S16" s="331">
        <f t="shared" si="9"/>
        <v>132143.02752388976</v>
      </c>
      <c r="T16" s="331">
        <f t="shared" si="10"/>
        <v>101197.30257796246</v>
      </c>
      <c r="U16" s="331">
        <f t="shared" si="11"/>
        <v>4404.7675841296586</v>
      </c>
      <c r="V16" s="331">
        <f t="shared" si="12"/>
        <v>3373.2434192654155</v>
      </c>
      <c r="W16" s="551">
        <f t="shared" si="13"/>
        <v>233340.33010185222</v>
      </c>
      <c r="X16" s="551">
        <f t="shared" si="14"/>
        <v>0</v>
      </c>
      <c r="Y16" s="551">
        <f t="shared" si="15"/>
        <v>9333.6132040740886</v>
      </c>
      <c r="Z16" s="551">
        <f t="shared" si="16"/>
        <v>7778.0110033950741</v>
      </c>
      <c r="AA16" s="327">
        <v>0.99222456994481967</v>
      </c>
      <c r="AB16" s="551">
        <f t="shared" si="17"/>
        <v>7717.5336228697524</v>
      </c>
      <c r="AC16" s="333">
        <f t="shared" si="18"/>
        <v>231526.00868609257</v>
      </c>
      <c r="AD16" s="333"/>
      <c r="AE16" s="333">
        <f t="shared" si="19"/>
        <v>7717.5336228697524</v>
      </c>
      <c r="AF16" s="551">
        <f t="shared" si="20"/>
        <v>115763.00434304628</v>
      </c>
      <c r="AG16" s="551">
        <f t="shared" si="21"/>
        <v>3472890.1302913884</v>
      </c>
      <c r="AH16" s="551">
        <f t="shared" si="22"/>
        <v>3000000</v>
      </c>
      <c r="AI16" s="333"/>
      <c r="AJ16" s="333"/>
    </row>
    <row r="17" spans="1:36" ht="31.5" thickBot="1" x14ac:dyDescent="0.4">
      <c r="A17" s="1174">
        <v>14</v>
      </c>
      <c r="B17" s="1175" t="s">
        <v>1081</v>
      </c>
      <c r="C17">
        <v>5000</v>
      </c>
      <c r="D17" s="1173">
        <v>2.940532652316649E-5</v>
      </c>
      <c r="E17" s="1173">
        <v>84.697535224136573</v>
      </c>
      <c r="F17" s="1173"/>
      <c r="G17">
        <f t="shared" si="1"/>
        <v>42.348782314731551</v>
      </c>
      <c r="H17">
        <f t="shared" si="2"/>
        <v>21.174391157365775</v>
      </c>
      <c r="I17">
        <f t="shared" si="3"/>
        <v>77.710015547532393</v>
      </c>
      <c r="J17">
        <v>671193.49999999988</v>
      </c>
      <c r="K17" s="745">
        <f t="shared" si="4"/>
        <v>22373.116666666661</v>
      </c>
      <c r="L17">
        <f t="shared" si="5"/>
        <v>335635.60500777373</v>
      </c>
      <c r="M17">
        <f t="shared" si="6"/>
        <v>167817.80250388687</v>
      </c>
      <c r="N17">
        <f t="shared" si="7"/>
        <v>615891.33518926473</v>
      </c>
      <c r="O17">
        <v>671193.49999999988</v>
      </c>
      <c r="P17" s="745">
        <f t="shared" si="8"/>
        <v>22373.116666666661</v>
      </c>
      <c r="Q17" s="745"/>
      <c r="R17">
        <v>0.52431311925191071</v>
      </c>
      <c r="S17" s="331">
        <f t="shared" si="9"/>
        <v>20510522.589770988</v>
      </c>
      <c r="T17" s="331">
        <f t="shared" si="10"/>
        <v>24811093.867374692</v>
      </c>
      <c r="U17" s="331">
        <f t="shared" si="11"/>
        <v>683684.08632569946</v>
      </c>
      <c r="V17" s="331">
        <f t="shared" si="12"/>
        <v>827036.462245823</v>
      </c>
      <c r="W17" s="551">
        <f t="shared" si="13"/>
        <v>45321616.457145676</v>
      </c>
      <c r="X17" s="551">
        <f t="shared" si="14"/>
        <v>45000000</v>
      </c>
      <c r="Y17" s="551">
        <f t="shared" si="15"/>
        <v>1812864.6582858271</v>
      </c>
      <c r="Z17" s="551">
        <f t="shared" si="16"/>
        <v>1510720.5485715223</v>
      </c>
      <c r="AA17" s="327">
        <v>0.66621816898388708</v>
      </c>
      <c r="AB17" s="551">
        <f t="shared" si="17"/>
        <v>1006469.477715653</v>
      </c>
      <c r="AC17" s="333">
        <f t="shared" si="18"/>
        <v>30194084.331469595</v>
      </c>
      <c r="AD17" s="333"/>
      <c r="AE17" s="333">
        <f t="shared" si="19"/>
        <v>1006469.4777156531</v>
      </c>
      <c r="AF17" s="551">
        <f t="shared" si="20"/>
        <v>15097042.165734798</v>
      </c>
      <c r="AG17" s="551">
        <f t="shared" si="21"/>
        <v>452911264.97204393</v>
      </c>
      <c r="AH17" s="551">
        <f t="shared" si="22"/>
        <v>453000000</v>
      </c>
      <c r="AI17" s="333"/>
      <c r="AJ17" s="333"/>
    </row>
    <row r="18" spans="1:36" ht="31.5" thickBot="1" x14ac:dyDescent="0.4">
      <c r="A18" s="1174">
        <v>15</v>
      </c>
      <c r="B18" s="1175" t="s">
        <v>1082</v>
      </c>
      <c r="C18">
        <v>5000</v>
      </c>
      <c r="D18" s="1173">
        <v>2.7744587418300018E-5</v>
      </c>
      <c r="E18" s="1173">
        <v>75.445964992825495</v>
      </c>
      <c r="F18" s="1173"/>
      <c r="G18">
        <f t="shared" si="1"/>
        <v>37.722996368706454</v>
      </c>
      <c r="H18">
        <f t="shared" si="2"/>
        <v>18.861498184353227</v>
      </c>
      <c r="I18">
        <f t="shared" si="3"/>
        <v>69.221698336576338</v>
      </c>
      <c r="J18">
        <v>231230.09999999998</v>
      </c>
      <c r="K18" s="745">
        <f t="shared" si="4"/>
        <v>7707.6699999999992</v>
      </c>
      <c r="L18">
        <f t="shared" si="5"/>
        <v>115649.66084916827</v>
      </c>
      <c r="M18">
        <f t="shared" si="6"/>
        <v>57824.830424584135</v>
      </c>
      <c r="N18">
        <f t="shared" si="7"/>
        <v>212217.12765822376</v>
      </c>
      <c r="O18">
        <v>231230.09999999998</v>
      </c>
      <c r="P18" s="745">
        <f t="shared" si="8"/>
        <v>7707.6699999999992</v>
      </c>
      <c r="Q18" s="745"/>
      <c r="R18">
        <v>0.23333806834885087</v>
      </c>
      <c r="S18" s="331">
        <f t="shared" si="9"/>
        <v>2801131.3819856346</v>
      </c>
      <c r="T18" s="331">
        <f t="shared" si="10"/>
        <v>12271298.385888865</v>
      </c>
      <c r="U18" s="331">
        <f t="shared" si="11"/>
        <v>93371.046066187817</v>
      </c>
      <c r="V18" s="331">
        <f t="shared" si="12"/>
        <v>409043.27952962887</v>
      </c>
      <c r="W18" s="551">
        <f t="shared" si="13"/>
        <v>15072429.7678745</v>
      </c>
      <c r="X18" s="551">
        <f t="shared" si="14"/>
        <v>15000000</v>
      </c>
      <c r="Y18" s="551">
        <f t="shared" si="15"/>
        <v>602897.19071498001</v>
      </c>
      <c r="Z18" s="551">
        <f t="shared" si="16"/>
        <v>502414.32559581671</v>
      </c>
      <c r="AA18" s="327">
        <v>0.93084782824926926</v>
      </c>
      <c r="AB18" s="551">
        <f t="shared" si="17"/>
        <v>467671.28386218724</v>
      </c>
      <c r="AC18" s="333">
        <f t="shared" si="18"/>
        <v>14030138.515865617</v>
      </c>
      <c r="AD18" s="333"/>
      <c r="AE18" s="333">
        <f t="shared" si="19"/>
        <v>467671.28386218724</v>
      </c>
      <c r="AF18" s="551">
        <f t="shared" si="20"/>
        <v>7015069.2579328083</v>
      </c>
      <c r="AG18" s="551">
        <f t="shared" si="21"/>
        <v>210452077.73798424</v>
      </c>
      <c r="AH18" s="551">
        <f t="shared" si="22"/>
        <v>210000000</v>
      </c>
      <c r="AI18" s="333"/>
      <c r="AJ18" s="333"/>
    </row>
    <row r="19" spans="1:36" ht="16" thickBot="1" x14ac:dyDescent="0.4">
      <c r="A19" s="1174">
        <v>16</v>
      </c>
      <c r="B19" s="1175" t="s">
        <v>1083</v>
      </c>
      <c r="C19">
        <v>3000</v>
      </c>
      <c r="D19" s="1173">
        <v>2.9097924427886625E-5</v>
      </c>
      <c r="E19" s="1173">
        <v>107.75099685865871</v>
      </c>
      <c r="F19" s="1173"/>
      <c r="G19">
        <f t="shared" si="1"/>
        <v>53.875512978291567</v>
      </c>
      <c r="H19">
        <f t="shared" si="2"/>
        <v>26.937756489145784</v>
      </c>
      <c r="I19">
        <f t="shared" si="3"/>
        <v>98.861566315165021</v>
      </c>
      <c r="J19">
        <v>175106.99999999994</v>
      </c>
      <c r="K19" s="745">
        <f t="shared" si="4"/>
        <v>5836.8999999999978</v>
      </c>
      <c r="L19">
        <f t="shared" si="5"/>
        <v>87602.930783157557</v>
      </c>
      <c r="M19">
        <f t="shared" si="6"/>
        <v>43801.465391578779</v>
      </c>
      <c r="N19">
        <f t="shared" si="7"/>
        <v>160751.37798709411</v>
      </c>
      <c r="O19">
        <v>175106.99999999994</v>
      </c>
      <c r="P19" s="745">
        <f t="shared" si="8"/>
        <v>5836.8999999999978</v>
      </c>
      <c r="Q19" s="745"/>
      <c r="R19">
        <v>0.40230962033490703</v>
      </c>
      <c r="S19" s="331">
        <f t="shared" si="9"/>
        <v>5223392.6762849344</v>
      </c>
      <c r="T19" s="331">
        <f t="shared" si="10"/>
        <v>10346828.724369682</v>
      </c>
      <c r="U19" s="331">
        <f t="shared" si="11"/>
        <v>174113.08920949779</v>
      </c>
      <c r="V19" s="331">
        <f t="shared" si="12"/>
        <v>344894.29081232275</v>
      </c>
      <c r="W19" s="551">
        <f t="shared" si="13"/>
        <v>15570221.400654618</v>
      </c>
      <c r="X19" s="551">
        <f t="shared" si="14"/>
        <v>16000000</v>
      </c>
      <c r="Y19" s="551">
        <f t="shared" si="15"/>
        <v>622808.85602618475</v>
      </c>
      <c r="Z19" s="551">
        <f t="shared" si="16"/>
        <v>519007.38002182054</v>
      </c>
      <c r="AA19" s="327">
        <v>0.84938554766951158</v>
      </c>
      <c r="AB19" s="551">
        <f t="shared" si="17"/>
        <v>440837.36772435234</v>
      </c>
      <c r="AC19" s="333">
        <f t="shared" si="18"/>
        <v>13225121.031730572</v>
      </c>
      <c r="AD19" s="333"/>
      <c r="AE19" s="333">
        <f t="shared" si="19"/>
        <v>440837.3677243524</v>
      </c>
      <c r="AF19" s="551">
        <f t="shared" si="20"/>
        <v>6612560.5158652859</v>
      </c>
      <c r="AG19" s="551">
        <f t="shared" si="21"/>
        <v>198376815.47595859</v>
      </c>
      <c r="AH19" s="551">
        <f t="shared" si="22"/>
        <v>198000000</v>
      </c>
      <c r="AI19" s="333"/>
      <c r="AJ19" s="333"/>
    </row>
    <row r="20" spans="1:36" ht="16" thickBot="1" x14ac:dyDescent="0.4">
      <c r="A20" s="1174">
        <v>17</v>
      </c>
      <c r="B20" s="1175" t="s">
        <v>1084</v>
      </c>
      <c r="C20">
        <v>3000</v>
      </c>
      <c r="D20" s="1173">
        <v>2.7070459059809205E-5</v>
      </c>
      <c r="E20" s="1173">
        <v>94.533694436707464</v>
      </c>
      <c r="F20" s="1173"/>
      <c r="G20">
        <f t="shared" si="1"/>
        <v>47.266860753583259</v>
      </c>
      <c r="H20">
        <f t="shared" si="2"/>
        <v>23.63343037679163</v>
      </c>
      <c r="I20">
        <f t="shared" si="3"/>
        <v>86.734689482825274</v>
      </c>
      <c r="J20">
        <v>291355.29999999993</v>
      </c>
      <c r="K20" s="745">
        <f t="shared" si="4"/>
        <v>9711.8433333333305</v>
      </c>
      <c r="L20">
        <f t="shared" si="5"/>
        <v>145721.01734474138</v>
      </c>
      <c r="M20">
        <f t="shared" si="6"/>
        <v>72860.508672370692</v>
      </c>
      <c r="N20">
        <f t="shared" si="7"/>
        <v>267398.06682760041</v>
      </c>
      <c r="O20">
        <v>291355.29999999993</v>
      </c>
      <c r="P20" s="745">
        <f t="shared" si="8"/>
        <v>9711.8433333333305</v>
      </c>
      <c r="Q20" s="745"/>
      <c r="R20">
        <v>0.2533472666772843</v>
      </c>
      <c r="S20" s="331">
        <f t="shared" si="9"/>
        <v>4801680.2582794717</v>
      </c>
      <c r="T20" s="331">
        <f t="shared" si="10"/>
        <v>18868371.130302772</v>
      </c>
      <c r="U20" s="331">
        <f t="shared" si="11"/>
        <v>160056.0086093157</v>
      </c>
      <c r="V20" s="331">
        <f t="shared" si="12"/>
        <v>628945.70434342569</v>
      </c>
      <c r="W20" s="551">
        <f t="shared" si="13"/>
        <v>23670051.388582245</v>
      </c>
      <c r="X20" s="551">
        <f t="shared" si="14"/>
        <v>24000000</v>
      </c>
      <c r="Y20" s="551">
        <f t="shared" si="15"/>
        <v>946802.05554328975</v>
      </c>
      <c r="Z20" s="551">
        <f t="shared" si="16"/>
        <v>789001.71295274142</v>
      </c>
      <c r="AA20" s="327">
        <v>0.74036298012573531</v>
      </c>
      <c r="AB20" s="551">
        <f t="shared" si="17"/>
        <v>584147.65952600166</v>
      </c>
      <c r="AC20" s="333">
        <f t="shared" si="18"/>
        <v>17524429.78578005</v>
      </c>
      <c r="AD20" s="333"/>
      <c r="AE20" s="333">
        <f t="shared" si="19"/>
        <v>584147.65952600166</v>
      </c>
      <c r="AF20" s="551">
        <f t="shared" si="20"/>
        <v>8762214.8928900249</v>
      </c>
      <c r="AG20" s="551">
        <f t="shared" si="21"/>
        <v>262866446.78670076</v>
      </c>
      <c r="AH20" s="551">
        <f t="shared" si="22"/>
        <v>263000000</v>
      </c>
      <c r="AI20" s="333"/>
      <c r="AJ20" s="333"/>
    </row>
    <row r="21" spans="1:36" ht="16" thickBot="1" x14ac:dyDescent="0.4">
      <c r="A21" s="1174">
        <v>18</v>
      </c>
      <c r="B21" s="1175" t="s">
        <v>1085</v>
      </c>
      <c r="C21">
        <v>3000</v>
      </c>
      <c r="D21" s="1173">
        <v>2.7269190871369348E-5</v>
      </c>
      <c r="E21" s="1173">
        <v>85.807875728211414</v>
      </c>
      <c r="F21" s="1173"/>
      <c r="G21">
        <f t="shared" si="1"/>
        <v>42.90395149870114</v>
      </c>
      <c r="H21">
        <f t="shared" si="2"/>
        <v>21.45197574935057</v>
      </c>
      <c r="I21">
        <f t="shared" si="3"/>
        <v>78.728751000116588</v>
      </c>
      <c r="J21">
        <v>12820.299999999997</v>
      </c>
      <c r="K21" s="745">
        <f t="shared" si="4"/>
        <v>427.34333333333325</v>
      </c>
      <c r="L21">
        <f t="shared" si="5"/>
        <v>6449.5143755000572</v>
      </c>
      <c r="M21">
        <f t="shared" si="6"/>
        <v>3224.7571877500286</v>
      </c>
      <c r="N21">
        <f t="shared" si="7"/>
        <v>11834.858879042606</v>
      </c>
      <c r="O21">
        <v>12820.299999999997</v>
      </c>
      <c r="P21" s="745">
        <f t="shared" si="8"/>
        <v>427.34333333333325</v>
      </c>
      <c r="Q21" s="745"/>
      <c r="R21">
        <v>0.48525715104735445</v>
      </c>
      <c r="S21" s="331">
        <f t="shared" si="9"/>
        <v>367337.06956335402</v>
      </c>
      <c r="T21" s="331">
        <f t="shared" si="10"/>
        <v>519543.44702898903</v>
      </c>
      <c r="U21" s="331">
        <f t="shared" si="11"/>
        <v>12244.568985445134</v>
      </c>
      <c r="V21" s="331">
        <f t="shared" si="12"/>
        <v>17318.114900966302</v>
      </c>
      <c r="W21" s="551">
        <f t="shared" si="13"/>
        <v>886880.51659234311</v>
      </c>
      <c r="X21" s="551">
        <f t="shared" si="14"/>
        <v>1000000</v>
      </c>
      <c r="Y21" s="551">
        <f t="shared" si="15"/>
        <v>35475.220663693726</v>
      </c>
      <c r="Z21" s="551">
        <f t="shared" si="16"/>
        <v>29562.683886411436</v>
      </c>
      <c r="AA21" s="327">
        <v>0.62783711791233221</v>
      </c>
      <c r="AB21" s="551">
        <f t="shared" si="17"/>
        <v>18560.550248997901</v>
      </c>
      <c r="AC21" s="333">
        <f t="shared" si="18"/>
        <v>556816.50746993697</v>
      </c>
      <c r="AD21" s="333"/>
      <c r="AE21" s="333">
        <f t="shared" si="19"/>
        <v>18560.550248997901</v>
      </c>
      <c r="AF21" s="551">
        <f t="shared" si="20"/>
        <v>278408.25373496849</v>
      </c>
      <c r="AG21" s="551">
        <f t="shared" si="21"/>
        <v>8352247.6120490544</v>
      </c>
      <c r="AH21" s="551">
        <f t="shared" si="22"/>
        <v>8000000</v>
      </c>
      <c r="AI21" s="333"/>
      <c r="AJ21" s="333"/>
    </row>
    <row r="22" spans="1:36" ht="16" thickBot="1" x14ac:dyDescent="0.4">
      <c r="A22" s="1174">
        <v>19</v>
      </c>
      <c r="B22" s="1175" t="s">
        <v>1086</v>
      </c>
      <c r="C22">
        <v>2000</v>
      </c>
      <c r="D22" s="1173">
        <v>3.0691379310345945E-5</v>
      </c>
      <c r="E22" s="1173">
        <v>88.522482886373581</v>
      </c>
      <c r="F22" s="1173"/>
      <c r="G22">
        <f t="shared" si="1"/>
        <v>44.261256788876445</v>
      </c>
      <c r="H22">
        <f t="shared" si="2"/>
        <v>22.130628394438222</v>
      </c>
      <c r="I22">
        <f t="shared" si="3"/>
        <v>81.219406207588278</v>
      </c>
      <c r="J22">
        <v>1045927.2000000001</v>
      </c>
      <c r="K22" s="745">
        <f t="shared" si="4"/>
        <v>34864.240000000005</v>
      </c>
      <c r="L22">
        <f t="shared" si="5"/>
        <v>523004.20970310381</v>
      </c>
      <c r="M22">
        <f t="shared" si="6"/>
        <v>261502.10485155191</v>
      </c>
      <c r="N22">
        <f t="shared" si="7"/>
        <v>959712.72480519547</v>
      </c>
      <c r="O22">
        <v>1045927.2000000001</v>
      </c>
      <c r="P22" s="745">
        <f t="shared" si="8"/>
        <v>34864.240000000005</v>
      </c>
      <c r="Q22" s="745"/>
      <c r="R22">
        <v>0.6131910228667995</v>
      </c>
      <c r="S22" s="331">
        <f t="shared" si="9"/>
        <v>39067742.70394361</v>
      </c>
      <c r="T22" s="331">
        <f t="shared" si="10"/>
        <v>32859262.515107278</v>
      </c>
      <c r="U22" s="331">
        <f t="shared" si="11"/>
        <v>1302258.0901314539</v>
      </c>
      <c r="V22" s="331">
        <f t="shared" si="12"/>
        <v>1095308.7505035761</v>
      </c>
      <c r="W22" s="551">
        <f t="shared" si="13"/>
        <v>71927005.219050884</v>
      </c>
      <c r="X22" s="551">
        <f t="shared" si="14"/>
        <v>72000000</v>
      </c>
      <c r="Y22" s="551">
        <f t="shared" si="15"/>
        <v>2877080.2087620352</v>
      </c>
      <c r="Z22" s="551">
        <f t="shared" si="16"/>
        <v>2397566.8406350301</v>
      </c>
      <c r="AA22" s="327">
        <v>0.97444987327745192</v>
      </c>
      <c r="AB22" s="551">
        <f t="shared" si="17"/>
        <v>2336308.704031026</v>
      </c>
      <c r="AC22" s="333">
        <f t="shared" si="18"/>
        <v>70089261.120930761</v>
      </c>
      <c r="AD22" s="333"/>
      <c r="AE22" s="333">
        <f t="shared" si="19"/>
        <v>2336308.7040310255</v>
      </c>
      <c r="AF22" s="551">
        <f t="shared" si="20"/>
        <v>35044630.560465381</v>
      </c>
      <c r="AG22" s="551">
        <f t="shared" si="21"/>
        <v>1051338916.8139614</v>
      </c>
      <c r="AH22" s="551">
        <f t="shared" si="22"/>
        <v>1051000000</v>
      </c>
      <c r="AI22" s="333"/>
      <c r="AJ22" s="333"/>
    </row>
    <row r="23" spans="1:36" ht="16" thickBot="1" x14ac:dyDescent="0.4">
      <c r="A23" s="1174">
        <v>20</v>
      </c>
      <c r="B23" s="1175" t="s">
        <v>1087</v>
      </c>
      <c r="C23">
        <v>2000</v>
      </c>
      <c r="D23" s="1173">
        <v>2.3263888888888887E-5</v>
      </c>
      <c r="E23" s="1173">
        <v>80.545352458953715</v>
      </c>
      <c r="F23" s="1173"/>
      <c r="G23">
        <f t="shared" si="1"/>
        <v>40.272687861421304</v>
      </c>
      <c r="H23">
        <f t="shared" si="2"/>
        <v>20.136343930710652</v>
      </c>
      <c r="I23">
        <f t="shared" si="3"/>
        <v>73.900382225708086</v>
      </c>
      <c r="J23">
        <v>274.10000000000002</v>
      </c>
      <c r="K23" s="745">
        <f t="shared" si="4"/>
        <v>9.1366666666666667</v>
      </c>
      <c r="L23">
        <f t="shared" si="5"/>
        <v>174.00019111285405</v>
      </c>
      <c r="M23">
        <f t="shared" si="6"/>
        <v>87.000095556427027</v>
      </c>
      <c r="N23">
        <f t="shared" si="7"/>
        <v>319.2903506920872</v>
      </c>
      <c r="O23">
        <v>274.10000000000002</v>
      </c>
      <c r="P23" s="745">
        <f t="shared" si="8"/>
        <v>9.1366666666666667</v>
      </c>
      <c r="Q23" s="745"/>
      <c r="R23">
        <v>0.87572638078634102</v>
      </c>
      <c r="S23" s="331">
        <f t="shared" si="9"/>
        <v>13304.097420078067</v>
      </c>
      <c r="T23" s="331">
        <f t="shared" si="10"/>
        <v>2517.2982079624971</v>
      </c>
      <c r="U23" s="331">
        <f t="shared" si="11"/>
        <v>443.46991400260225</v>
      </c>
      <c r="V23" s="331">
        <f t="shared" si="12"/>
        <v>83.909940265416566</v>
      </c>
      <c r="W23" s="551">
        <f t="shared" si="13"/>
        <v>15821.395628040565</v>
      </c>
      <c r="X23" s="551">
        <f t="shared" si="14"/>
        <v>0</v>
      </c>
      <c r="Y23" s="551">
        <f t="shared" si="15"/>
        <v>632.85582512162262</v>
      </c>
      <c r="Z23" s="551">
        <f t="shared" si="16"/>
        <v>527.37985426801879</v>
      </c>
      <c r="AA23" s="327">
        <v>0.24510961923470279</v>
      </c>
      <c r="AB23" s="551">
        <f t="shared" si="17"/>
        <v>129.26587527168712</v>
      </c>
      <c r="AC23" s="333">
        <f t="shared" si="18"/>
        <v>3877.9762581506143</v>
      </c>
      <c r="AD23" s="333"/>
      <c r="AE23" s="333">
        <f t="shared" si="19"/>
        <v>129.26587527168715</v>
      </c>
      <c r="AF23" s="551">
        <f t="shared" si="20"/>
        <v>1938.9881290753074</v>
      </c>
      <c r="AG23" s="551">
        <f t="shared" si="21"/>
        <v>58169.643872259221</v>
      </c>
      <c r="AH23" s="551">
        <f t="shared" si="22"/>
        <v>0</v>
      </c>
      <c r="AI23" s="333"/>
      <c r="AJ23" s="333"/>
    </row>
    <row r="24" spans="1:36" ht="31.5" thickBot="1" x14ac:dyDescent="0.4">
      <c r="A24" s="1174">
        <v>21</v>
      </c>
      <c r="B24" s="1175" t="s">
        <v>1088</v>
      </c>
      <c r="C24">
        <v>2000</v>
      </c>
      <c r="D24" s="1173">
        <v>2.7917379526660117E-5</v>
      </c>
      <c r="E24" s="1173">
        <v>90.716339953781215</v>
      </c>
      <c r="F24" s="1173"/>
      <c r="G24">
        <f t="shared" si="1"/>
        <v>45.358183935580371</v>
      </c>
      <c r="H24">
        <f t="shared" si="2"/>
        <v>22.679091967790185</v>
      </c>
      <c r="I24">
        <f t="shared" si="3"/>
        <v>83.232267521789979</v>
      </c>
      <c r="J24">
        <v>40242.400000000001</v>
      </c>
      <c r="K24" s="745">
        <f t="shared" si="4"/>
        <v>1341.4133333333334</v>
      </c>
      <c r="L24">
        <f t="shared" si="5"/>
        <v>20162.816133760894</v>
      </c>
      <c r="M24">
        <f t="shared" si="6"/>
        <v>10081.408066880447</v>
      </c>
      <c r="N24">
        <f t="shared" si="7"/>
        <v>36998.767605451241</v>
      </c>
      <c r="O24">
        <v>40242.400000000001</v>
      </c>
      <c r="P24" s="745">
        <f t="shared" si="8"/>
        <v>1341.4133333333334</v>
      </c>
      <c r="Q24" s="745"/>
      <c r="R24">
        <v>0.26383705752735997</v>
      </c>
      <c r="S24" s="331">
        <f t="shared" si="9"/>
        <v>662784.98036994145</v>
      </c>
      <c r="T24" s="331">
        <f t="shared" si="10"/>
        <v>2465752.8953589592</v>
      </c>
      <c r="U24" s="331">
        <f t="shared" si="11"/>
        <v>22092.832678998049</v>
      </c>
      <c r="V24" s="331">
        <f t="shared" si="12"/>
        <v>82191.763178631969</v>
      </c>
      <c r="W24" s="551">
        <f t="shared" si="13"/>
        <v>3128537.8757289005</v>
      </c>
      <c r="X24" s="551">
        <f t="shared" si="14"/>
        <v>3000000</v>
      </c>
      <c r="Y24" s="551">
        <f t="shared" si="15"/>
        <v>125141.51502915603</v>
      </c>
      <c r="Z24" s="551">
        <f t="shared" si="16"/>
        <v>104284.59585763002</v>
      </c>
      <c r="AA24" s="327">
        <v>0.85834810139008189</v>
      </c>
      <c r="AB24" s="551">
        <f t="shared" si="17"/>
        <v>89512.484858628726</v>
      </c>
      <c r="AC24" s="333">
        <f t="shared" si="18"/>
        <v>2685374.5457588616</v>
      </c>
      <c r="AD24" s="333"/>
      <c r="AE24" s="333">
        <f t="shared" si="19"/>
        <v>89512.484858628726</v>
      </c>
      <c r="AF24" s="551">
        <f t="shared" si="20"/>
        <v>1342687.2728794308</v>
      </c>
      <c r="AG24" s="551">
        <f t="shared" si="21"/>
        <v>40280618.186382927</v>
      </c>
      <c r="AH24" s="551">
        <f t="shared" si="22"/>
        <v>40000000</v>
      </c>
      <c r="AI24" s="333"/>
      <c r="AJ24" s="333"/>
    </row>
    <row r="25" spans="1:36" ht="47" thickBot="1" x14ac:dyDescent="0.4">
      <c r="A25" s="1174">
        <v>22</v>
      </c>
      <c r="B25" s="1175" t="s">
        <v>1089</v>
      </c>
      <c r="C25">
        <v>2000</v>
      </c>
      <c r="D25" s="1173">
        <v>3.1925774400934346E-5</v>
      </c>
      <c r="E25" s="1173">
        <v>96.309420208287179</v>
      </c>
      <c r="F25" s="1173"/>
      <c r="G25">
        <f t="shared" si="1"/>
        <v>48.154726067030786</v>
      </c>
      <c r="H25">
        <f t="shared" si="2"/>
        <v>24.077363033515393</v>
      </c>
      <c r="I25">
        <f t="shared" si="3"/>
        <v>88.363922333001497</v>
      </c>
      <c r="J25">
        <v>27413.699999999997</v>
      </c>
      <c r="K25" s="745">
        <f t="shared" si="4"/>
        <v>913.78999999999985</v>
      </c>
      <c r="L25">
        <f t="shared" si="5"/>
        <v>13751.0319611665</v>
      </c>
      <c r="M25">
        <f t="shared" si="6"/>
        <v>6875.51598058325</v>
      </c>
      <c r="N25">
        <f t="shared" si="7"/>
        <v>25233.143648740526</v>
      </c>
      <c r="O25">
        <v>27413.699999999997</v>
      </c>
      <c r="P25" s="745">
        <f t="shared" si="8"/>
        <v>913.78999999999985</v>
      </c>
      <c r="Q25" s="745"/>
      <c r="R25">
        <v>0.57214153281385793</v>
      </c>
      <c r="S25" s="331">
        <f t="shared" si="9"/>
        <v>1039459.0376478718</v>
      </c>
      <c r="T25" s="331">
        <f t="shared" si="10"/>
        <v>1036436.6741297073</v>
      </c>
      <c r="U25" s="331">
        <f t="shared" si="11"/>
        <v>34648.634588262386</v>
      </c>
      <c r="V25" s="331">
        <f t="shared" si="12"/>
        <v>34547.889137656908</v>
      </c>
      <c r="W25" s="551">
        <f t="shared" si="13"/>
        <v>2075895.711777579</v>
      </c>
      <c r="X25" s="551">
        <f t="shared" si="14"/>
        <v>2000000</v>
      </c>
      <c r="Y25" s="551">
        <f t="shared" si="15"/>
        <v>83035.828471103159</v>
      </c>
      <c r="Z25" s="551">
        <f t="shared" si="16"/>
        <v>69196.523725919295</v>
      </c>
      <c r="AA25" s="327">
        <v>0.64921193698102053</v>
      </c>
      <c r="AB25" s="551">
        <f t="shared" si="17"/>
        <v>44923.209200457211</v>
      </c>
      <c r="AC25" s="333">
        <f t="shared" si="18"/>
        <v>1347696.2760137164</v>
      </c>
      <c r="AD25" s="333"/>
      <c r="AE25" s="333">
        <f t="shared" si="19"/>
        <v>44923.209200457211</v>
      </c>
      <c r="AF25" s="551">
        <f t="shared" si="20"/>
        <v>673848.13800685818</v>
      </c>
      <c r="AG25" s="551">
        <f t="shared" si="21"/>
        <v>20215444.140205745</v>
      </c>
      <c r="AH25" s="551">
        <f t="shared" si="22"/>
        <v>20000000</v>
      </c>
      <c r="AI25" s="333"/>
      <c r="AJ25" s="333"/>
    </row>
    <row r="26" spans="1:36" ht="16" thickBot="1" x14ac:dyDescent="0.4">
      <c r="A26" s="1174">
        <v>23</v>
      </c>
      <c r="B26" s="1175" t="s">
        <v>615</v>
      </c>
      <c r="C26">
        <v>0</v>
      </c>
      <c r="D26" s="1173">
        <v>2.7083333333333332E-5</v>
      </c>
      <c r="E26" s="1173">
        <v>74.838203557332321</v>
      </c>
      <c r="F26" s="1173"/>
      <c r="G26">
        <f t="shared" si="1"/>
        <v>37.419115320332828</v>
      </c>
      <c r="H26">
        <f t="shared" si="2"/>
        <v>18.709557660166414</v>
      </c>
      <c r="I26">
        <f t="shared" si="3"/>
        <v>68.664076612810746</v>
      </c>
      <c r="J26">
        <v>88.6</v>
      </c>
      <c r="K26" s="745">
        <f t="shared" si="4"/>
        <v>2.9533333333333331</v>
      </c>
      <c r="L26">
        <f t="shared" si="5"/>
        <v>78.632038306405377</v>
      </c>
      <c r="M26">
        <f t="shared" si="6"/>
        <v>39.316019153202689</v>
      </c>
      <c r="N26">
        <f t="shared" si="7"/>
        <v>144.28979029225385</v>
      </c>
      <c r="O26">
        <v>88.6</v>
      </c>
      <c r="P26" s="745">
        <f t="shared" si="8"/>
        <v>2.9533333333333331</v>
      </c>
      <c r="Q26" s="745"/>
      <c r="R26">
        <v>0.11459976094367941</v>
      </c>
      <c r="S26" s="331">
        <f t="shared" si="9"/>
        <v>522.8875255506365</v>
      </c>
      <c r="T26" s="331">
        <f t="shared" si="10"/>
        <v>5386.4538204941828</v>
      </c>
      <c r="U26" s="331">
        <f t="shared" si="11"/>
        <v>17.429584185021216</v>
      </c>
      <c r="V26" s="331">
        <f t="shared" si="12"/>
        <v>179.54846068313944</v>
      </c>
      <c r="W26" s="551">
        <f t="shared" si="13"/>
        <v>5909.3413460448191</v>
      </c>
      <c r="X26" s="551">
        <f t="shared" si="14"/>
        <v>0</v>
      </c>
      <c r="Y26" s="551">
        <f t="shared" si="15"/>
        <v>236.37365384179276</v>
      </c>
      <c r="Z26" s="551">
        <f t="shared" si="16"/>
        <v>196.97804486816065</v>
      </c>
      <c r="AA26" s="327">
        <v>4.9661399548532638E-2</v>
      </c>
      <c r="AB26" s="551">
        <f t="shared" si="17"/>
        <v>9.7822053884865152</v>
      </c>
      <c r="AC26" s="333">
        <f t="shared" si="18"/>
        <v>293.46616165459545</v>
      </c>
      <c r="AD26" s="333"/>
      <c r="AE26" s="333">
        <f t="shared" si="19"/>
        <v>9.7822053884865152</v>
      </c>
      <c r="AF26" s="551">
        <f t="shared" si="20"/>
        <v>146.73308082729773</v>
      </c>
      <c r="AG26" s="551">
        <f t="shared" si="21"/>
        <v>4401.9924248189318</v>
      </c>
      <c r="AH26" s="551">
        <f t="shared" si="22"/>
        <v>0</v>
      </c>
      <c r="AI26" s="333"/>
      <c r="AJ26" s="333"/>
    </row>
    <row r="27" spans="1:36" ht="16" thickBot="1" x14ac:dyDescent="0.4">
      <c r="A27" s="1174">
        <v>29</v>
      </c>
      <c r="B27" s="1175" t="s">
        <v>1092</v>
      </c>
      <c r="C27">
        <v>3000</v>
      </c>
      <c r="D27" s="1173">
        <v>3.1367502238137126E-5</v>
      </c>
      <c r="E27" s="1173">
        <v>102.12341151782485</v>
      </c>
      <c r="F27" s="1173"/>
      <c r="G27">
        <f t="shared" si="1"/>
        <v>51.06172144266354</v>
      </c>
      <c r="H27">
        <f t="shared" si="2"/>
        <v>25.53086072133177</v>
      </c>
      <c r="I27">
        <f t="shared" si="3"/>
        <v>93.69825884728759</v>
      </c>
      <c r="J27">
        <v>159479.20000000001</v>
      </c>
      <c r="K27" s="745">
        <f t="shared" si="4"/>
        <v>5315.9733333333334</v>
      </c>
      <c r="L27">
        <f t="shared" si="5"/>
        <v>79786.44912942365</v>
      </c>
      <c r="M27">
        <f t="shared" si="6"/>
        <v>39893.224564711825</v>
      </c>
      <c r="N27">
        <f t="shared" si="7"/>
        <v>146408.13415249239</v>
      </c>
      <c r="O27">
        <v>159479.20000000001</v>
      </c>
      <c r="P27" s="745">
        <f t="shared" si="8"/>
        <v>5315.9733333333334</v>
      </c>
      <c r="Q27" s="745"/>
      <c r="R27">
        <v>0.65692727185581523</v>
      </c>
      <c r="S27" s="331">
        <f t="shared" si="9"/>
        <v>7362310.4084884468</v>
      </c>
      <c r="T27" s="331">
        <f t="shared" si="10"/>
        <v>5126509.484373753</v>
      </c>
      <c r="U27" s="331">
        <f t="shared" si="11"/>
        <v>245410.34694961488</v>
      </c>
      <c r="V27" s="331">
        <f t="shared" si="12"/>
        <v>170883.64947912507</v>
      </c>
      <c r="W27" s="551">
        <f t="shared" si="13"/>
        <v>12488819.892862201</v>
      </c>
      <c r="X27" s="551">
        <f t="shared" si="14"/>
        <v>12000000</v>
      </c>
      <c r="Y27" s="551">
        <f t="shared" si="15"/>
        <v>499552.79571448802</v>
      </c>
      <c r="Z27" s="551">
        <f t="shared" si="16"/>
        <v>416293.99642873998</v>
      </c>
      <c r="AA27" s="327">
        <v>0.95400271384045299</v>
      </c>
      <c r="AB27" s="551">
        <f t="shared" si="17"/>
        <v>397145.60234850581</v>
      </c>
      <c r="AC27" s="333">
        <f t="shared" si="18"/>
        <v>11914368.070455175</v>
      </c>
      <c r="AD27" s="333"/>
      <c r="AE27" s="333">
        <f t="shared" si="19"/>
        <v>397145.60234850581</v>
      </c>
      <c r="AF27" s="551">
        <f t="shared" si="20"/>
        <v>5957184.0352275874</v>
      </c>
      <c r="AG27" s="551">
        <f t="shared" si="21"/>
        <v>178715521.05682763</v>
      </c>
      <c r="AH27" s="551">
        <f t="shared" si="22"/>
        <v>179000000</v>
      </c>
      <c r="AI27" s="333"/>
      <c r="AJ27" s="333"/>
    </row>
    <row r="28" spans="1:36" ht="31.5" thickBot="1" x14ac:dyDescent="0.4">
      <c r="A28" s="1174">
        <v>30</v>
      </c>
      <c r="B28" s="1175" t="s">
        <v>1093</v>
      </c>
      <c r="C28">
        <v>3000</v>
      </c>
      <c r="D28" s="1173">
        <v>2.7855204736062705E-5</v>
      </c>
      <c r="E28" s="1173">
        <v>102.84262488073</v>
      </c>
      <c r="F28" s="1173"/>
      <c r="G28">
        <f t="shared" si="1"/>
        <v>51.421326367967367</v>
      </c>
      <c r="H28">
        <f t="shared" si="2"/>
        <v>25.710663183983684</v>
      </c>
      <c r="I28">
        <f t="shared" si="3"/>
        <v>94.358133885220113</v>
      </c>
      <c r="J28">
        <v>102681.59999999999</v>
      </c>
      <c r="K28" s="745">
        <f t="shared" si="4"/>
        <v>3422.72</v>
      </c>
      <c r="L28">
        <f t="shared" si="5"/>
        <v>51387.979066942607</v>
      </c>
      <c r="M28">
        <f t="shared" si="6"/>
        <v>25693.989533471304</v>
      </c>
      <c r="N28">
        <f t="shared" si="7"/>
        <v>94296.941587839683</v>
      </c>
      <c r="O28">
        <v>102681.59999999999</v>
      </c>
      <c r="P28" s="745">
        <f t="shared" si="8"/>
        <v>3422.72</v>
      </c>
      <c r="Q28" s="745"/>
      <c r="R28">
        <v>0.32390409709842405</v>
      </c>
      <c r="S28" s="331">
        <f t="shared" si="9"/>
        <v>2353692.2397637931</v>
      </c>
      <c r="T28" s="331">
        <f t="shared" si="10"/>
        <v>6550587.8406635597</v>
      </c>
      <c r="U28" s="331">
        <f t="shared" si="11"/>
        <v>78456.407992126435</v>
      </c>
      <c r="V28" s="331">
        <f t="shared" si="12"/>
        <v>218352.92802211866</v>
      </c>
      <c r="W28" s="551">
        <f t="shared" si="13"/>
        <v>8904280.0804273523</v>
      </c>
      <c r="X28" s="551">
        <f t="shared" si="14"/>
        <v>9000000</v>
      </c>
      <c r="Y28" s="551">
        <f t="shared" si="15"/>
        <v>356171.20321709407</v>
      </c>
      <c r="Z28" s="551">
        <f t="shared" si="16"/>
        <v>296809.33601424511</v>
      </c>
      <c r="AA28" s="327">
        <v>0.91913097823219747</v>
      </c>
      <c r="AB28" s="551">
        <f t="shared" si="17"/>
        <v>272806.65535922209</v>
      </c>
      <c r="AC28" s="333">
        <f t="shared" si="18"/>
        <v>8184199.6607766626</v>
      </c>
      <c r="AD28" s="333"/>
      <c r="AE28" s="333">
        <f t="shared" si="19"/>
        <v>272806.65535922209</v>
      </c>
      <c r="AF28" s="551">
        <f t="shared" si="20"/>
        <v>4092099.8303883313</v>
      </c>
      <c r="AG28" s="551">
        <f t="shared" si="21"/>
        <v>122762994.91164994</v>
      </c>
      <c r="AH28" s="551">
        <f t="shared" si="22"/>
        <v>123000000</v>
      </c>
      <c r="AI28" s="333"/>
      <c r="AJ28" s="333"/>
    </row>
    <row r="29" spans="1:36" ht="16" thickBot="1" x14ac:dyDescent="0.4">
      <c r="A29" s="1174"/>
      <c r="B29" s="1175" t="s">
        <v>1191</v>
      </c>
      <c r="C29">
        <v>0</v>
      </c>
      <c r="G29">
        <f t="shared" si="1"/>
        <v>0</v>
      </c>
      <c r="H29">
        <f t="shared" si="2"/>
        <v>0</v>
      </c>
      <c r="I29">
        <f t="shared" si="3"/>
        <v>0</v>
      </c>
      <c r="J29" t="e">
        <v>#N/A</v>
      </c>
      <c r="K29" s="745" t="e">
        <f t="shared" si="4"/>
        <v>#N/A</v>
      </c>
      <c r="L29" t="e">
        <f t="shared" si="5"/>
        <v>#N/A</v>
      </c>
      <c r="M29" t="e">
        <f t="shared" si="6"/>
        <v>#N/A</v>
      </c>
      <c r="N29" t="e">
        <f t="shared" si="7"/>
        <v>#N/A</v>
      </c>
      <c r="O29" t="e">
        <v>#N/A</v>
      </c>
      <c r="P29" s="745" t="e">
        <f t="shared" si="8"/>
        <v>#N/A</v>
      </c>
      <c r="Q29" s="745"/>
      <c r="R29" t="e">
        <v>#N/A</v>
      </c>
      <c r="S29" s="331" t="e">
        <f t="shared" si="9"/>
        <v>#N/A</v>
      </c>
      <c r="T29" s="331" t="e">
        <f t="shared" si="10"/>
        <v>#N/A</v>
      </c>
      <c r="U29" s="331" t="e">
        <f t="shared" si="11"/>
        <v>#N/A</v>
      </c>
      <c r="V29" s="331" t="e">
        <f t="shared" si="12"/>
        <v>#N/A</v>
      </c>
      <c r="W29" s="551" t="e">
        <f t="shared" si="13"/>
        <v>#N/A</v>
      </c>
      <c r="X29" s="551" t="e">
        <f t="shared" si="14"/>
        <v>#N/A</v>
      </c>
      <c r="Y29" s="551" t="e">
        <f t="shared" si="15"/>
        <v>#N/A</v>
      </c>
      <c r="Z29" s="551" t="e">
        <f t="shared" si="16"/>
        <v>#N/A</v>
      </c>
      <c r="AA29" s="327" t="e">
        <v>#N/A</v>
      </c>
      <c r="AB29" s="551" t="e">
        <f t="shared" si="17"/>
        <v>#N/A</v>
      </c>
      <c r="AC29" s="333" t="e">
        <f t="shared" si="18"/>
        <v>#N/A</v>
      </c>
      <c r="AD29" s="333"/>
      <c r="AE29" s="333" t="e">
        <f t="shared" si="19"/>
        <v>#N/A</v>
      </c>
      <c r="AF29" s="551" t="e">
        <f t="shared" si="20"/>
        <v>#N/A</v>
      </c>
      <c r="AG29" s="551" t="e">
        <f t="shared" si="21"/>
        <v>#N/A</v>
      </c>
      <c r="AH29" s="551" t="e">
        <f t="shared" si="22"/>
        <v>#N/A</v>
      </c>
      <c r="AI29" s="333"/>
      <c r="AJ29" s="333"/>
    </row>
    <row r="30" spans="1:36" ht="31.5" thickBot="1" x14ac:dyDescent="0.4">
      <c r="A30" s="1174"/>
      <c r="B30" s="1175" t="s">
        <v>1095</v>
      </c>
      <c r="C30">
        <v>0</v>
      </c>
      <c r="D30" s="1173">
        <v>2.5812693498452054E-5</v>
      </c>
      <c r="E30" s="1173">
        <v>88.477721069619335</v>
      </c>
      <c r="F30" s="1173"/>
      <c r="G30">
        <f t="shared" si="1"/>
        <v>44.238873441156414</v>
      </c>
      <c r="H30">
        <f t="shared" si="2"/>
        <v>22.119436720578207</v>
      </c>
      <c r="I30">
        <f t="shared" si="3"/>
        <v>81.178332764522025</v>
      </c>
      <c r="J30" t="e">
        <v>#N/A</v>
      </c>
      <c r="K30" s="745" t="e">
        <f t="shared" si="4"/>
        <v>#N/A</v>
      </c>
      <c r="L30" t="e">
        <f t="shared" si="5"/>
        <v>#N/A</v>
      </c>
      <c r="M30" t="e">
        <f t="shared" si="6"/>
        <v>#N/A</v>
      </c>
      <c r="N30" t="e">
        <f t="shared" si="7"/>
        <v>#N/A</v>
      </c>
      <c r="O30" t="e">
        <v>#N/A</v>
      </c>
      <c r="P30" s="745" t="e">
        <f t="shared" si="8"/>
        <v>#N/A</v>
      </c>
      <c r="Q30" s="745"/>
      <c r="R30" t="e">
        <v>#N/A</v>
      </c>
      <c r="S30" s="331" t="e">
        <f t="shared" si="9"/>
        <v>#N/A</v>
      </c>
      <c r="T30" s="331" t="e">
        <f t="shared" si="10"/>
        <v>#N/A</v>
      </c>
      <c r="U30" s="331" t="e">
        <f t="shared" si="11"/>
        <v>#N/A</v>
      </c>
      <c r="V30" s="331" t="e">
        <f t="shared" si="12"/>
        <v>#N/A</v>
      </c>
      <c r="W30" s="551" t="e">
        <f t="shared" si="13"/>
        <v>#N/A</v>
      </c>
      <c r="X30" s="551" t="e">
        <f t="shared" si="14"/>
        <v>#N/A</v>
      </c>
      <c r="Y30" s="551" t="e">
        <f t="shared" si="15"/>
        <v>#N/A</v>
      </c>
      <c r="Z30" s="551" t="e">
        <f t="shared" si="16"/>
        <v>#N/A</v>
      </c>
      <c r="AA30" s="327" t="e">
        <v>#N/A</v>
      </c>
      <c r="AB30" s="551" t="e">
        <f t="shared" si="17"/>
        <v>#N/A</v>
      </c>
      <c r="AC30" s="333" t="e">
        <f t="shared" si="18"/>
        <v>#N/A</v>
      </c>
      <c r="AD30" s="333"/>
      <c r="AE30" s="333" t="e">
        <f t="shared" si="19"/>
        <v>#N/A</v>
      </c>
      <c r="AF30" s="551" t="e">
        <f t="shared" si="20"/>
        <v>#N/A</v>
      </c>
      <c r="AG30" s="551" t="e">
        <f t="shared" si="21"/>
        <v>#N/A</v>
      </c>
      <c r="AH30" s="551" t="e">
        <f t="shared" si="22"/>
        <v>#N/A</v>
      </c>
      <c r="AI30" s="333"/>
      <c r="AJ30" s="333"/>
    </row>
    <row r="31" spans="1:36" ht="31.5" thickBot="1" x14ac:dyDescent="0.4">
      <c r="A31" s="1174"/>
      <c r="B31" s="1175" t="s">
        <v>1192</v>
      </c>
      <c r="C31">
        <v>0</v>
      </c>
      <c r="D31" s="1173">
        <v>0</v>
      </c>
      <c r="E31" s="1173">
        <v>0</v>
      </c>
      <c r="F31" s="1173"/>
      <c r="G31">
        <f t="shared" si="1"/>
        <v>0</v>
      </c>
      <c r="H31">
        <f t="shared" si="2"/>
        <v>0</v>
      </c>
      <c r="I31">
        <f t="shared" si="3"/>
        <v>0</v>
      </c>
      <c r="J31" t="e">
        <v>#N/A</v>
      </c>
      <c r="K31" s="745" t="e">
        <f t="shared" si="4"/>
        <v>#N/A</v>
      </c>
      <c r="L31" t="e">
        <f t="shared" si="5"/>
        <v>#N/A</v>
      </c>
      <c r="M31" t="e">
        <f t="shared" si="6"/>
        <v>#N/A</v>
      </c>
      <c r="N31" t="e">
        <f t="shared" si="7"/>
        <v>#N/A</v>
      </c>
      <c r="O31" t="e">
        <v>#N/A</v>
      </c>
      <c r="P31" s="745" t="e">
        <f t="shared" si="8"/>
        <v>#N/A</v>
      </c>
      <c r="Q31" s="745"/>
      <c r="R31" t="e">
        <v>#N/A</v>
      </c>
      <c r="S31" s="331" t="e">
        <f t="shared" si="9"/>
        <v>#N/A</v>
      </c>
      <c r="T31" s="331" t="e">
        <f t="shared" si="10"/>
        <v>#N/A</v>
      </c>
      <c r="U31" s="331" t="e">
        <f t="shared" si="11"/>
        <v>#N/A</v>
      </c>
      <c r="V31" s="331" t="e">
        <f t="shared" si="12"/>
        <v>#N/A</v>
      </c>
      <c r="W31" s="551" t="e">
        <f t="shared" si="13"/>
        <v>#N/A</v>
      </c>
      <c r="X31" s="551" t="e">
        <f t="shared" si="14"/>
        <v>#N/A</v>
      </c>
      <c r="Y31" s="551" t="e">
        <f t="shared" si="15"/>
        <v>#N/A</v>
      </c>
      <c r="Z31" s="551" t="e">
        <f t="shared" si="16"/>
        <v>#N/A</v>
      </c>
      <c r="AA31" s="327" t="e">
        <v>#N/A</v>
      </c>
      <c r="AB31" s="551" t="e">
        <f t="shared" si="17"/>
        <v>#N/A</v>
      </c>
      <c r="AC31" s="333" t="e">
        <f t="shared" si="18"/>
        <v>#N/A</v>
      </c>
      <c r="AD31" s="333"/>
      <c r="AE31" s="333" t="e">
        <f t="shared" si="19"/>
        <v>#N/A</v>
      </c>
      <c r="AF31" s="551" t="e">
        <f t="shared" si="20"/>
        <v>#N/A</v>
      </c>
      <c r="AG31" s="551" t="e">
        <f t="shared" si="21"/>
        <v>#N/A</v>
      </c>
      <c r="AH31" s="551" t="e">
        <f t="shared" si="22"/>
        <v>#N/A</v>
      </c>
      <c r="AI31" s="333"/>
      <c r="AJ31" s="333"/>
    </row>
    <row r="32" spans="1:36" ht="16" thickBot="1" x14ac:dyDescent="0.4">
      <c r="A32" s="1174"/>
      <c r="B32" s="1175" t="s">
        <v>1193</v>
      </c>
      <c r="C32">
        <v>5000</v>
      </c>
      <c r="D32" s="1173">
        <v>3.5429152397259562E-5</v>
      </c>
      <c r="E32" s="1173">
        <v>62.24951578166386</v>
      </c>
      <c r="F32" s="1173"/>
      <c r="G32">
        <f t="shared" si="1"/>
        <v>31.124775605408129</v>
      </c>
      <c r="H32">
        <f t="shared" si="2"/>
        <v>15.562387802704064</v>
      </c>
      <c r="I32">
        <f t="shared" si="3"/>
        <v>57.113963235923912</v>
      </c>
      <c r="J32" t="e">
        <v>#N/A</v>
      </c>
      <c r="K32" s="745" t="e">
        <f t="shared" si="4"/>
        <v>#N/A</v>
      </c>
      <c r="L32" t="e">
        <f t="shared" si="5"/>
        <v>#N/A</v>
      </c>
      <c r="M32" t="e">
        <f t="shared" si="6"/>
        <v>#N/A</v>
      </c>
      <c r="N32" t="e">
        <f t="shared" si="7"/>
        <v>#N/A</v>
      </c>
      <c r="O32" t="e">
        <v>#N/A</v>
      </c>
      <c r="P32" s="745" t="e">
        <f t="shared" si="8"/>
        <v>#N/A</v>
      </c>
      <c r="Q32" s="745"/>
      <c r="R32" t="e">
        <v>#N/A</v>
      </c>
      <c r="S32" s="331" t="e">
        <f t="shared" si="9"/>
        <v>#N/A</v>
      </c>
      <c r="T32" s="331" t="e">
        <f t="shared" si="10"/>
        <v>#N/A</v>
      </c>
      <c r="U32" s="331" t="e">
        <f t="shared" si="11"/>
        <v>#N/A</v>
      </c>
      <c r="V32" s="331" t="e">
        <f t="shared" si="12"/>
        <v>#N/A</v>
      </c>
      <c r="W32" s="551" t="e">
        <f t="shared" si="13"/>
        <v>#N/A</v>
      </c>
      <c r="X32" s="551" t="e">
        <f t="shared" si="14"/>
        <v>#N/A</v>
      </c>
      <c r="Y32" s="551" t="e">
        <f t="shared" si="15"/>
        <v>#N/A</v>
      </c>
      <c r="Z32" s="551" t="e">
        <f t="shared" si="16"/>
        <v>#N/A</v>
      </c>
      <c r="AA32" s="327" t="e">
        <v>#N/A</v>
      </c>
      <c r="AB32" s="551" t="e">
        <f t="shared" si="17"/>
        <v>#N/A</v>
      </c>
      <c r="AC32" s="333" t="e">
        <f t="shared" si="18"/>
        <v>#N/A</v>
      </c>
      <c r="AD32" s="333"/>
      <c r="AE32" s="333" t="e">
        <f t="shared" si="19"/>
        <v>#N/A</v>
      </c>
      <c r="AF32" s="551" t="e">
        <f t="shared" si="20"/>
        <v>#N/A</v>
      </c>
      <c r="AG32" s="551" t="e">
        <f t="shared" si="21"/>
        <v>#N/A</v>
      </c>
      <c r="AH32" s="551" t="e">
        <f t="shared" si="22"/>
        <v>#N/A</v>
      </c>
      <c r="AI32" s="333"/>
      <c r="AJ32" s="333"/>
    </row>
    <row r="33" spans="1:36" ht="31.5" thickBot="1" x14ac:dyDescent="0.4">
      <c r="A33" s="1174"/>
      <c r="B33" s="1175" t="s">
        <v>1194</v>
      </c>
      <c r="C33">
        <v>0</v>
      </c>
      <c r="D33" s="1173">
        <v>3.0153917910447833E-5</v>
      </c>
      <c r="E33" s="1173">
        <v>70.7981188119347</v>
      </c>
      <c r="F33" s="1173"/>
      <c r="G33">
        <f t="shared" si="1"/>
        <v>35.399074482926302</v>
      </c>
      <c r="H33">
        <f t="shared" si="2"/>
        <v>17.699537241463151</v>
      </c>
      <c r="I33">
        <f t="shared" si="3"/>
        <v>64.957301676169763</v>
      </c>
      <c r="J33" t="e">
        <v>#N/A</v>
      </c>
      <c r="K33" s="745" t="e">
        <f t="shared" si="4"/>
        <v>#N/A</v>
      </c>
      <c r="L33" t="e">
        <f t="shared" si="5"/>
        <v>#N/A</v>
      </c>
      <c r="M33" t="e">
        <f t="shared" si="6"/>
        <v>#N/A</v>
      </c>
      <c r="N33" t="e">
        <f t="shared" si="7"/>
        <v>#N/A</v>
      </c>
      <c r="O33" t="e">
        <v>#N/A</v>
      </c>
      <c r="P33" s="745" t="e">
        <f t="shared" si="8"/>
        <v>#N/A</v>
      </c>
      <c r="Q33" s="745"/>
      <c r="R33" t="e">
        <v>#N/A</v>
      </c>
      <c r="S33" s="331" t="e">
        <f t="shared" si="9"/>
        <v>#N/A</v>
      </c>
      <c r="T33" s="331" t="e">
        <f t="shared" si="10"/>
        <v>#N/A</v>
      </c>
      <c r="U33" s="331" t="e">
        <f t="shared" si="11"/>
        <v>#N/A</v>
      </c>
      <c r="V33" s="331" t="e">
        <f t="shared" si="12"/>
        <v>#N/A</v>
      </c>
      <c r="W33" s="551" t="e">
        <f t="shared" si="13"/>
        <v>#N/A</v>
      </c>
      <c r="X33" s="551" t="e">
        <f t="shared" si="14"/>
        <v>#N/A</v>
      </c>
      <c r="Y33" s="551" t="e">
        <f t="shared" si="15"/>
        <v>#N/A</v>
      </c>
      <c r="Z33" s="551" t="e">
        <f t="shared" si="16"/>
        <v>#N/A</v>
      </c>
      <c r="AA33" s="327" t="e">
        <v>#N/A</v>
      </c>
      <c r="AB33" s="551" t="e">
        <f t="shared" si="17"/>
        <v>#N/A</v>
      </c>
      <c r="AC33" s="333" t="e">
        <f t="shared" si="18"/>
        <v>#N/A</v>
      </c>
      <c r="AD33" s="333"/>
      <c r="AE33" s="333" t="e">
        <f t="shared" si="19"/>
        <v>#N/A</v>
      </c>
      <c r="AF33" s="551" t="e">
        <f t="shared" si="20"/>
        <v>#N/A</v>
      </c>
      <c r="AG33" s="551" t="e">
        <f t="shared" si="21"/>
        <v>#N/A</v>
      </c>
      <c r="AH33" s="551" t="e">
        <f t="shared" si="22"/>
        <v>#N/A</v>
      </c>
      <c r="AI33" s="333"/>
      <c r="AJ33" s="333"/>
    </row>
    <row r="34" spans="1:36" ht="16" thickBot="1" x14ac:dyDescent="0.4">
      <c r="A34" s="1174"/>
      <c r="B34" s="1175" t="s">
        <v>1195</v>
      </c>
      <c r="C34">
        <v>0</v>
      </c>
      <c r="D34" s="1173">
        <v>0</v>
      </c>
      <c r="E34" s="1173">
        <v>0</v>
      </c>
      <c r="F34" s="1173"/>
      <c r="G34">
        <f t="shared" si="1"/>
        <v>0</v>
      </c>
      <c r="H34">
        <f t="shared" si="2"/>
        <v>0</v>
      </c>
      <c r="I34">
        <f t="shared" si="3"/>
        <v>0</v>
      </c>
      <c r="J34" t="e">
        <v>#N/A</v>
      </c>
      <c r="K34" s="745" t="e">
        <f t="shared" si="4"/>
        <v>#N/A</v>
      </c>
      <c r="L34" t="e">
        <f t="shared" si="5"/>
        <v>#N/A</v>
      </c>
      <c r="M34" t="e">
        <f t="shared" si="6"/>
        <v>#N/A</v>
      </c>
      <c r="N34" t="e">
        <f t="shared" si="7"/>
        <v>#N/A</v>
      </c>
      <c r="O34" t="e">
        <v>#N/A</v>
      </c>
      <c r="P34" s="745" t="e">
        <f t="shared" si="8"/>
        <v>#N/A</v>
      </c>
      <c r="Q34" s="745"/>
      <c r="R34" t="e">
        <v>#N/A</v>
      </c>
      <c r="S34" s="331" t="e">
        <f t="shared" si="9"/>
        <v>#N/A</v>
      </c>
      <c r="T34" s="331" t="e">
        <f t="shared" si="10"/>
        <v>#N/A</v>
      </c>
      <c r="U34" s="331" t="e">
        <f t="shared" si="11"/>
        <v>#N/A</v>
      </c>
      <c r="V34" s="331" t="e">
        <f t="shared" si="12"/>
        <v>#N/A</v>
      </c>
      <c r="W34" s="551" t="e">
        <f t="shared" si="13"/>
        <v>#N/A</v>
      </c>
      <c r="X34" s="551" t="e">
        <f t="shared" si="14"/>
        <v>#N/A</v>
      </c>
      <c r="Y34" s="551" t="e">
        <f t="shared" si="15"/>
        <v>#N/A</v>
      </c>
      <c r="Z34" s="551" t="e">
        <f t="shared" si="16"/>
        <v>#N/A</v>
      </c>
      <c r="AA34" s="327" t="e">
        <v>#N/A</v>
      </c>
      <c r="AB34" s="551" t="e">
        <f t="shared" si="17"/>
        <v>#N/A</v>
      </c>
      <c r="AC34" s="333" t="e">
        <f t="shared" si="18"/>
        <v>#N/A</v>
      </c>
      <c r="AD34" s="333"/>
      <c r="AE34" s="333" t="e">
        <f t="shared" si="19"/>
        <v>#N/A</v>
      </c>
      <c r="AF34" s="551" t="e">
        <f t="shared" si="20"/>
        <v>#N/A</v>
      </c>
      <c r="AG34" s="551" t="e">
        <f t="shared" si="21"/>
        <v>#N/A</v>
      </c>
      <c r="AH34" s="551" t="e">
        <f t="shared" si="22"/>
        <v>#N/A</v>
      </c>
      <c r="AI34" s="333"/>
      <c r="AJ34" s="333"/>
    </row>
    <row r="35" spans="1:36" ht="31.5" thickBot="1" x14ac:dyDescent="0.4">
      <c r="A35" s="1174"/>
      <c r="B35" s="1175" t="s">
        <v>1196</v>
      </c>
      <c r="C35">
        <v>1000</v>
      </c>
      <c r="D35" s="1173">
        <v>0</v>
      </c>
      <c r="E35" s="1173">
        <v>0</v>
      </c>
      <c r="F35" s="1173"/>
      <c r="G35">
        <f t="shared" si="1"/>
        <v>0</v>
      </c>
      <c r="H35">
        <f t="shared" si="2"/>
        <v>0</v>
      </c>
      <c r="I35">
        <f t="shared" si="3"/>
        <v>0</v>
      </c>
      <c r="J35" t="e">
        <v>#N/A</v>
      </c>
      <c r="K35" s="745" t="e">
        <f t="shared" si="4"/>
        <v>#N/A</v>
      </c>
      <c r="L35" t="e">
        <f t="shared" si="5"/>
        <v>#N/A</v>
      </c>
      <c r="M35" t="e">
        <f t="shared" si="6"/>
        <v>#N/A</v>
      </c>
      <c r="N35" t="e">
        <f t="shared" si="7"/>
        <v>#N/A</v>
      </c>
      <c r="O35" t="e">
        <v>#N/A</v>
      </c>
      <c r="P35" s="745" t="e">
        <f t="shared" si="8"/>
        <v>#N/A</v>
      </c>
      <c r="Q35" s="745"/>
      <c r="R35" t="e">
        <v>#N/A</v>
      </c>
      <c r="S35" s="331" t="e">
        <f t="shared" si="9"/>
        <v>#N/A</v>
      </c>
      <c r="T35" s="331" t="e">
        <f t="shared" si="10"/>
        <v>#N/A</v>
      </c>
      <c r="U35" s="331" t="e">
        <f t="shared" si="11"/>
        <v>#N/A</v>
      </c>
      <c r="V35" s="331" t="e">
        <f t="shared" si="12"/>
        <v>#N/A</v>
      </c>
      <c r="W35" s="551" t="e">
        <f t="shared" si="13"/>
        <v>#N/A</v>
      </c>
      <c r="X35" s="551" t="e">
        <f t="shared" si="14"/>
        <v>#N/A</v>
      </c>
      <c r="Y35" s="551" t="e">
        <f t="shared" si="15"/>
        <v>#N/A</v>
      </c>
      <c r="Z35" s="551" t="e">
        <f t="shared" si="16"/>
        <v>#N/A</v>
      </c>
      <c r="AA35" s="327" t="e">
        <v>#N/A</v>
      </c>
      <c r="AB35" s="551" t="e">
        <f t="shared" si="17"/>
        <v>#N/A</v>
      </c>
      <c r="AC35" s="333" t="e">
        <f t="shared" si="18"/>
        <v>#N/A</v>
      </c>
      <c r="AD35" s="333"/>
      <c r="AE35" s="333" t="e">
        <f t="shared" si="19"/>
        <v>#N/A</v>
      </c>
      <c r="AF35" s="551" t="e">
        <f t="shared" si="20"/>
        <v>#N/A</v>
      </c>
      <c r="AG35" s="551" t="e">
        <f t="shared" si="21"/>
        <v>#N/A</v>
      </c>
      <c r="AH35" s="551" t="e">
        <f t="shared" si="22"/>
        <v>#N/A</v>
      </c>
      <c r="AI35" s="333"/>
      <c r="AJ35" s="333"/>
    </row>
    <row r="36" spans="1:36" ht="16" thickBot="1" x14ac:dyDescent="0.4">
      <c r="A36" s="1174"/>
      <c r="B36" s="1175" t="s">
        <v>1197</v>
      </c>
      <c r="C36">
        <v>5000</v>
      </c>
      <c r="D36" s="1173">
        <v>0</v>
      </c>
      <c r="E36" s="1173">
        <v>0</v>
      </c>
      <c r="F36" s="1173"/>
      <c r="G36">
        <f t="shared" si="1"/>
        <v>0</v>
      </c>
      <c r="H36">
        <f t="shared" si="2"/>
        <v>0</v>
      </c>
      <c r="I36">
        <f t="shared" si="3"/>
        <v>0</v>
      </c>
      <c r="J36" t="e">
        <v>#N/A</v>
      </c>
      <c r="K36" s="745" t="e">
        <f t="shared" si="4"/>
        <v>#N/A</v>
      </c>
      <c r="L36" t="e">
        <f t="shared" si="5"/>
        <v>#N/A</v>
      </c>
      <c r="M36" t="e">
        <f t="shared" si="6"/>
        <v>#N/A</v>
      </c>
      <c r="N36" t="e">
        <f t="shared" si="7"/>
        <v>#N/A</v>
      </c>
      <c r="O36" t="e">
        <v>#N/A</v>
      </c>
      <c r="P36" s="745" t="e">
        <f t="shared" si="8"/>
        <v>#N/A</v>
      </c>
      <c r="Q36" s="745"/>
      <c r="R36" t="e">
        <v>#N/A</v>
      </c>
      <c r="S36" s="331" t="e">
        <f t="shared" si="9"/>
        <v>#N/A</v>
      </c>
      <c r="T36" s="331" t="e">
        <f t="shared" si="10"/>
        <v>#N/A</v>
      </c>
      <c r="U36" s="331" t="e">
        <f t="shared" si="11"/>
        <v>#N/A</v>
      </c>
      <c r="V36" s="331" t="e">
        <f t="shared" si="12"/>
        <v>#N/A</v>
      </c>
      <c r="W36" s="551" t="e">
        <f t="shared" si="13"/>
        <v>#N/A</v>
      </c>
      <c r="X36" s="551" t="e">
        <f t="shared" si="14"/>
        <v>#N/A</v>
      </c>
      <c r="Y36" s="551" t="e">
        <f t="shared" si="15"/>
        <v>#N/A</v>
      </c>
      <c r="Z36" s="551" t="e">
        <f t="shared" si="16"/>
        <v>#N/A</v>
      </c>
      <c r="AA36" s="327" t="e">
        <v>#N/A</v>
      </c>
      <c r="AB36" s="551" t="e">
        <f t="shared" si="17"/>
        <v>#N/A</v>
      </c>
      <c r="AC36" s="333" t="e">
        <f t="shared" si="18"/>
        <v>#N/A</v>
      </c>
      <c r="AD36" s="333"/>
      <c r="AE36" s="333" t="e">
        <f t="shared" si="19"/>
        <v>#N/A</v>
      </c>
      <c r="AF36" s="551" t="e">
        <f t="shared" si="20"/>
        <v>#N/A</v>
      </c>
      <c r="AG36" s="551" t="e">
        <f t="shared" si="21"/>
        <v>#N/A</v>
      </c>
      <c r="AH36" s="551" t="e">
        <f t="shared" si="22"/>
        <v>#N/A</v>
      </c>
      <c r="AI36" s="333"/>
      <c r="AJ36" s="333"/>
    </row>
    <row r="39" spans="1:36" x14ac:dyDescent="0.35">
      <c r="A39" t="s">
        <v>1295</v>
      </c>
      <c r="F39" s="332"/>
    </row>
    <row r="40" spans="1:36" s="399" customFormat="1" ht="87" x14ac:dyDescent="0.35">
      <c r="A40" s="399" t="s">
        <v>1123</v>
      </c>
      <c r="C40" s="399" t="s">
        <v>1358</v>
      </c>
      <c r="D40" s="399" t="s">
        <v>1327</v>
      </c>
      <c r="E40" s="399" t="s">
        <v>1328</v>
      </c>
      <c r="F40" s="399" t="s">
        <v>1390</v>
      </c>
      <c r="G40" s="399" t="str">
        <f>CONCATENATE("Carbon price at $",Assumptions!C8, "in 2023/24 (average price per tonne of CO2e increasing annually)")</f>
        <v>Carbon price at $35in 2023/24 (average price per tonne of CO2e increasing annually)</v>
      </c>
      <c r="H40" s="1331" t="s">
        <v>1376</v>
      </c>
      <c r="I40" s="399" t="s">
        <v>1365</v>
      </c>
      <c r="J40" s="399" t="s">
        <v>1377</v>
      </c>
      <c r="K40" s="399" t="s">
        <v>1378</v>
      </c>
      <c r="L40" s="399" t="str">
        <f>CONCATENATE("Carbon price at $",Assumptions!C9, " in 2023/24 (average price per tonne of CO2e increasing annually)")</f>
        <v>Carbon price at $75 in 2023/24 (average price per tonne of CO2e increasing annually)</v>
      </c>
      <c r="M40" s="1331" t="s">
        <v>1329</v>
      </c>
      <c r="N40" s="399" t="s">
        <v>1365</v>
      </c>
      <c r="O40" s="399" t="s">
        <v>1366</v>
      </c>
      <c r="P40" s="399" t="s">
        <v>1367</v>
      </c>
      <c r="W40" s="1331"/>
      <c r="X40" s="1331"/>
      <c r="Y40" s="1331"/>
      <c r="Z40" s="1331"/>
      <c r="AF40" s="1331"/>
      <c r="AG40" s="1331"/>
    </row>
    <row r="41" spans="1:36" x14ac:dyDescent="0.35">
      <c r="A41">
        <v>2025</v>
      </c>
      <c r="B41">
        <v>1</v>
      </c>
      <c r="C41" s="331">
        <f>AB1</f>
        <v>27315834.521990452</v>
      </c>
      <c r="D41" s="333">
        <f>C41/25</f>
        <v>1092633.380879618</v>
      </c>
      <c r="E41" s="333">
        <f>D41</f>
        <v>1092633.380879618</v>
      </c>
      <c r="F41" s="1335">
        <f>1+Assumptions!$C$6+Assumptions!$C$10</f>
        <v>1.0449999999999999</v>
      </c>
      <c r="G41" s="347">
        <f>Assumptions!$C$8*F41</f>
        <v>36.574999999999996</v>
      </c>
      <c r="H41" s="347">
        <f>D41*G41</f>
        <v>39963065.905672021</v>
      </c>
      <c r="I41" s="347">
        <f>'Present Value'!$L$68</f>
        <v>12227402462.104851</v>
      </c>
      <c r="J41" s="1274">
        <f>I41-H41</f>
        <v>12187439396.199179</v>
      </c>
      <c r="K41" s="327">
        <f>H41/I41</f>
        <v>3.2683201546301844E-3</v>
      </c>
      <c r="L41" s="347">
        <f>Assumptions!$C$9*F41</f>
        <v>78.375</v>
      </c>
      <c r="M41" s="347">
        <f t="shared" ref="M41:M72" si="23">L41*D41</f>
        <v>85635141.226440057</v>
      </c>
      <c r="N41" s="347">
        <f>'Present Value'!$L$68</f>
        <v>12227402462.104851</v>
      </c>
      <c r="O41" s="1274">
        <f>N41-M41</f>
        <v>12141767320.87841</v>
      </c>
      <c r="P41" s="327">
        <f>M41/N41</f>
        <v>7.0035431884932532E-3</v>
      </c>
      <c r="Q41" s="327"/>
      <c r="W41"/>
      <c r="X41"/>
      <c r="Y41"/>
      <c r="Z41"/>
      <c r="AF41"/>
      <c r="AG41"/>
    </row>
    <row r="42" spans="1:36" x14ac:dyDescent="0.35">
      <c r="A42">
        <v>2026</v>
      </c>
      <c r="B42">
        <v>2</v>
      </c>
      <c r="C42" s="333">
        <f>C41+$C$41</f>
        <v>54631669.043980904</v>
      </c>
      <c r="D42" s="333">
        <f>C42/25</f>
        <v>2185266.761759236</v>
      </c>
      <c r="E42" s="333">
        <f>E41+D42</f>
        <v>3277900.1426388538</v>
      </c>
      <c r="F42" s="1335">
        <f>1+Assumptions!$C$6+Assumptions!$C$10</f>
        <v>1.0449999999999999</v>
      </c>
      <c r="G42" s="347">
        <f>G41*F42</f>
        <v>38.220874999999992</v>
      </c>
      <c r="H42" s="347">
        <f t="shared" ref="H42:H72" si="24">D42*G42</f>
        <v>83522807.742854521</v>
      </c>
      <c r="I42" s="347">
        <f>'Present Value'!$M$68</f>
        <v>12571880508.826086</v>
      </c>
      <c r="J42" s="1274">
        <f t="shared" ref="J42:J69" si="25">I42-H42</f>
        <v>12488357701.083231</v>
      </c>
      <c r="K42" s="327">
        <f t="shared" ref="K42:K70" si="26">H42/I42</f>
        <v>6.6436208715328904E-3</v>
      </c>
      <c r="L42" s="347">
        <f>L41*F42</f>
        <v>81.90187499999999</v>
      </c>
      <c r="M42" s="347">
        <f t="shared" si="23"/>
        <v>178977445.16325971</v>
      </c>
      <c r="N42" s="347">
        <f>'Present Value'!$M$68</f>
        <v>12571880508.826086</v>
      </c>
      <c r="O42" s="1274">
        <f>N42-M42</f>
        <v>12392903063.662827</v>
      </c>
      <c r="P42" s="327">
        <f t="shared" ref="P42:P70" si="27">M42/N42</f>
        <v>1.4236330438999053E-2</v>
      </c>
      <c r="Q42" s="327"/>
    </row>
    <row r="43" spans="1:36" x14ac:dyDescent="0.35">
      <c r="A43">
        <v>2027</v>
      </c>
      <c r="B43">
        <v>3</v>
      </c>
      <c r="C43" s="333">
        <f>C42+$C$41</f>
        <v>81947503.56597136</v>
      </c>
      <c r="D43" s="333">
        <f t="shared" ref="D43:D72" si="28">C43/25</f>
        <v>3277900.1426388542</v>
      </c>
      <c r="E43" s="333">
        <f t="shared" ref="E43:E93" si="29">E42+D43</f>
        <v>6555800.2852777075</v>
      </c>
      <c r="F43" s="1335">
        <f>1+Assumptions!$C$6+Assumptions!$C$10</f>
        <v>1.0449999999999999</v>
      </c>
      <c r="G43" s="347">
        <f t="shared" ref="G43:G94" si="30">G42*F43</f>
        <v>39.940814374999988</v>
      </c>
      <c r="H43" s="347">
        <f t="shared" si="24"/>
        <v>130922001.13692446</v>
      </c>
      <c r="I43" s="347">
        <f>'Present Value'!$N$68</f>
        <v>13266999535.062355</v>
      </c>
      <c r="J43" s="1274">
        <f t="shared" si="25"/>
        <v>13136077533.92543</v>
      </c>
      <c r="K43" s="327">
        <f t="shared" si="26"/>
        <v>9.8682449479944988E-3</v>
      </c>
      <c r="L43" s="347">
        <f t="shared" ref="L43:L94" si="31">L42*F43</f>
        <v>85.58745937499998</v>
      </c>
      <c r="M43" s="347">
        <f t="shared" si="23"/>
        <v>280547145.29340959</v>
      </c>
      <c r="N43" s="347">
        <f>'Present Value'!$N$68</f>
        <v>13266999535.062355</v>
      </c>
      <c r="O43" s="1274">
        <f>N43-M43</f>
        <v>12986452389.768946</v>
      </c>
      <c r="P43" s="327">
        <f t="shared" si="27"/>
        <v>2.1146239174273929E-2</v>
      </c>
      <c r="Q43" s="327"/>
      <c r="S43" s="1329"/>
      <c r="T43" s="1329" t="s">
        <v>1371</v>
      </c>
      <c r="U43" s="1329" t="s">
        <v>1370</v>
      </c>
    </row>
    <row r="44" spans="1:36" x14ac:dyDescent="0.35">
      <c r="A44">
        <v>2028</v>
      </c>
      <c r="B44">
        <v>4</v>
      </c>
      <c r="C44" s="333">
        <f>C43+$C$41</f>
        <v>109263338.08796181</v>
      </c>
      <c r="D44" s="333">
        <f t="shared" si="28"/>
        <v>4370533.523518472</v>
      </c>
      <c r="E44" s="333">
        <f t="shared" si="29"/>
        <v>10926333.808796179</v>
      </c>
      <c r="F44" s="1335">
        <f>1+Assumptions!$C$6+Assumptions!$C$10</f>
        <v>1.0449999999999999</v>
      </c>
      <c r="G44" s="347">
        <f t="shared" si="30"/>
        <v>41.738151021874984</v>
      </c>
      <c r="H44" s="347">
        <f t="shared" si="24"/>
        <v>182417988.25078139</v>
      </c>
      <c r="I44" s="347">
        <f>'Present Value'!$O$68</f>
        <v>13639431403.481693</v>
      </c>
      <c r="J44" s="1274">
        <f t="shared" si="25"/>
        <v>13457013415.230911</v>
      </c>
      <c r="K44" s="327">
        <f t="shared" si="26"/>
        <v>1.3374310325298174E-2</v>
      </c>
      <c r="L44" s="347">
        <f t="shared" si="31"/>
        <v>89.438895046874975</v>
      </c>
      <c r="M44" s="347">
        <f t="shared" si="23"/>
        <v>390895689.10881728</v>
      </c>
      <c r="N44" s="347">
        <f>'Present Value'!$O$68</f>
        <v>13639431403.481693</v>
      </c>
      <c r="O44" s="1274">
        <f t="shared" ref="O44:O68" si="32">N44-M44</f>
        <v>13248535714.372875</v>
      </c>
      <c r="P44" s="327">
        <f t="shared" si="27"/>
        <v>2.8659236411353234E-2</v>
      </c>
      <c r="Q44" s="327"/>
      <c r="S44" s="1321" t="s">
        <v>1312</v>
      </c>
      <c r="T44" s="1322">
        <f>Assumptions!C8</f>
        <v>35</v>
      </c>
      <c r="U44" s="1322">
        <f>Assumptions!C9</f>
        <v>75</v>
      </c>
    </row>
    <row r="45" spans="1:36" x14ac:dyDescent="0.35">
      <c r="A45">
        <v>2029</v>
      </c>
      <c r="B45">
        <v>5</v>
      </c>
      <c r="C45" s="333">
        <f>C44+$C$41</f>
        <v>136579172.60995227</v>
      </c>
      <c r="D45" s="333">
        <f t="shared" si="28"/>
        <v>5463166.9043980911</v>
      </c>
      <c r="E45" s="333">
        <f t="shared" si="29"/>
        <v>16389500.71319427</v>
      </c>
      <c r="F45" s="1335">
        <f>1+Assumptions!$C$6+Assumptions!$C$10</f>
        <v>1.0449999999999999</v>
      </c>
      <c r="G45" s="347">
        <f t="shared" si="30"/>
        <v>43.616367817859356</v>
      </c>
      <c r="H45" s="347">
        <f t="shared" si="24"/>
        <v>238283497.15258321</v>
      </c>
      <c r="I45" s="347">
        <f>'Present Value'!$P$68</f>
        <v>13795764717.530067</v>
      </c>
      <c r="J45" s="1274">
        <f t="shared" si="25"/>
        <v>13557481220.377483</v>
      </c>
      <c r="K45" s="327">
        <f t="shared" si="26"/>
        <v>1.7272221006335374E-2</v>
      </c>
      <c r="L45" s="347">
        <f t="shared" si="31"/>
        <v>93.463645323984338</v>
      </c>
      <c r="M45" s="347">
        <f t="shared" si="23"/>
        <v>510607493.89839262</v>
      </c>
      <c r="N45" s="347">
        <f>'Present Value'!$P$68</f>
        <v>13795764717.530067</v>
      </c>
      <c r="O45" s="1274">
        <f t="shared" si="32"/>
        <v>13285157223.631676</v>
      </c>
      <c r="P45" s="327">
        <f t="shared" si="27"/>
        <v>3.7011902156432942E-2</v>
      </c>
      <c r="Q45" s="327"/>
      <c r="S45" s="1321" t="s">
        <v>1363</v>
      </c>
      <c r="T45" s="1323">
        <f>Assumptions!C10+Assumptions!C6</f>
        <v>4.4999999999999998E-2</v>
      </c>
      <c r="U45" s="1323">
        <f>Assumptions!C10+Assumptions!C6</f>
        <v>4.4999999999999998E-2</v>
      </c>
    </row>
    <row r="46" spans="1:36" x14ac:dyDescent="0.35">
      <c r="A46">
        <v>2030</v>
      </c>
      <c r="B46">
        <v>6</v>
      </c>
      <c r="C46" s="333">
        <f t="shared" ref="C46:C65" si="33">C45+$C$41</f>
        <v>163895007.13194272</v>
      </c>
      <c r="D46" s="333">
        <f t="shared" si="28"/>
        <v>6555800.2852777084</v>
      </c>
      <c r="E46" s="333">
        <f t="shared" si="29"/>
        <v>22945300.998471979</v>
      </c>
      <c r="F46" s="1335">
        <f>1+Assumptions!$C$6+Assumptions!$C$10</f>
        <v>1.0449999999999999</v>
      </c>
      <c r="G46" s="347">
        <f t="shared" si="30"/>
        <v>45.579104369663021</v>
      </c>
      <c r="H46" s="347">
        <f t="shared" si="24"/>
        <v>298807505.42933929</v>
      </c>
      <c r="I46" s="347">
        <f>'Present Value'!$Q$68</f>
        <v>14388570159.825434</v>
      </c>
      <c r="J46" s="1274">
        <f t="shared" si="25"/>
        <v>14089762654.396095</v>
      </c>
      <c r="K46" s="327">
        <f t="shared" si="26"/>
        <v>2.0767004789930044E-2</v>
      </c>
      <c r="L46" s="347">
        <f t="shared" si="31"/>
        <v>97.66950936356362</v>
      </c>
      <c r="M46" s="347">
        <f t="shared" si="23"/>
        <v>640301797.34858418</v>
      </c>
      <c r="N46" s="347">
        <f>'Present Value'!$Q$68</f>
        <v>14388570159.825434</v>
      </c>
      <c r="O46" s="1274">
        <f t="shared" si="32"/>
        <v>13748268362.476849</v>
      </c>
      <c r="P46" s="327">
        <f t="shared" si="27"/>
        <v>4.4500724549850094E-2</v>
      </c>
      <c r="Q46" s="327"/>
      <c r="S46" s="1321" t="s">
        <v>1368</v>
      </c>
      <c r="T46" s="1324">
        <f>NPV(Assumptions!C5,'Native vegetation - Carbon'!H41:H70)</f>
        <v>15647057737.026995</v>
      </c>
      <c r="U46" s="1325">
        <f>NPV(Assumptions!C5,'Native vegetation - Carbon'!M41:M70)</f>
        <v>33529409436.486416</v>
      </c>
    </row>
    <row r="47" spans="1:36" x14ac:dyDescent="0.35">
      <c r="A47">
        <v>2031</v>
      </c>
      <c r="B47">
        <v>7</v>
      </c>
      <c r="C47" s="333">
        <f t="shared" si="33"/>
        <v>191210841.65393317</v>
      </c>
      <c r="D47" s="333">
        <f t="shared" si="28"/>
        <v>7648433.6661573267</v>
      </c>
      <c r="E47" s="333">
        <f t="shared" si="29"/>
        <v>30593734.664629307</v>
      </c>
      <c r="F47" s="1335">
        <f>1+Assumptions!$C$6+Assumptions!$C$10</f>
        <v>1.0449999999999999</v>
      </c>
      <c r="G47" s="347">
        <f t="shared" si="30"/>
        <v>47.630164066297851</v>
      </c>
      <c r="H47" s="347">
        <f t="shared" si="24"/>
        <v>364296150.36926943</v>
      </c>
      <c r="I47" s="347">
        <f>'Present Value'!$R$68</f>
        <v>14792175115.843384</v>
      </c>
      <c r="J47" s="1274">
        <f t="shared" si="25"/>
        <v>14427878965.474113</v>
      </c>
      <c r="K47" s="327">
        <f t="shared" si="26"/>
        <v>2.4627625586928357E-2</v>
      </c>
      <c r="L47" s="347">
        <f t="shared" si="31"/>
        <v>102.06463728492398</v>
      </c>
      <c r="M47" s="347">
        <f t="shared" si="23"/>
        <v>780634607.93414891</v>
      </c>
      <c r="N47" s="347">
        <f>'Present Value'!$R$68</f>
        <v>14792175115.843384</v>
      </c>
      <c r="O47" s="1274">
        <f t="shared" si="32"/>
        <v>14011540507.909235</v>
      </c>
      <c r="P47" s="327">
        <f t="shared" si="27"/>
        <v>5.2773483400560768E-2</v>
      </c>
      <c r="Q47" s="327"/>
      <c r="S47" s="1321" t="s">
        <v>1292</v>
      </c>
      <c r="T47" s="1324">
        <f>T46/Assumptions!$C$4</f>
        <v>521568591.23423314</v>
      </c>
      <c r="U47" s="1325">
        <f>U46/Assumptions!$C$4</f>
        <v>1117646981.2162139</v>
      </c>
    </row>
    <row r="48" spans="1:36" x14ac:dyDescent="0.35">
      <c r="A48">
        <v>2032</v>
      </c>
      <c r="B48">
        <v>8</v>
      </c>
      <c r="C48" s="333">
        <f t="shared" si="33"/>
        <v>218526676.17592362</v>
      </c>
      <c r="D48" s="333">
        <f t="shared" si="28"/>
        <v>8741067.047036944</v>
      </c>
      <c r="E48" s="333">
        <f t="shared" si="29"/>
        <v>39334801.711666249</v>
      </c>
      <c r="F48" s="1335">
        <f>1+Assumptions!$C$6+Assumptions!$C$10</f>
        <v>1.0449999999999999</v>
      </c>
      <c r="G48" s="347">
        <f t="shared" si="30"/>
        <v>49.773521449281255</v>
      </c>
      <c r="H48" s="347">
        <f t="shared" si="24"/>
        <v>435073688.15529889</v>
      </c>
      <c r="I48" s="347">
        <f>'Present Value'!$S$68</f>
        <v>14821958514.060696</v>
      </c>
      <c r="J48" s="1274">
        <f t="shared" si="25"/>
        <v>14386884825.905397</v>
      </c>
      <c r="K48" s="327">
        <f t="shared" si="26"/>
        <v>2.9353319788513157E-2</v>
      </c>
      <c r="L48" s="347">
        <f t="shared" si="31"/>
        <v>106.65754596274554</v>
      </c>
      <c r="M48" s="347">
        <f t="shared" si="23"/>
        <v>932300760.33278334</v>
      </c>
      <c r="N48" s="347">
        <f>'Present Value'!$S$68</f>
        <v>14821958514.060696</v>
      </c>
      <c r="O48" s="1274">
        <f t="shared" si="32"/>
        <v>13889657753.727913</v>
      </c>
      <c r="P48" s="327">
        <f t="shared" si="27"/>
        <v>6.2899970975385341E-2</v>
      </c>
      <c r="Q48" s="327"/>
      <c r="S48" s="1321" t="s">
        <v>1294</v>
      </c>
      <c r="T48" s="1326">
        <f>NPV(Assumptions!$C$5,'Native vegetation - Carbon'!J41:J94)/Assumptions!$C$4</f>
        <v>6771940241.3773842</v>
      </c>
      <c r="U48" s="1326">
        <f>NPV(Assumptions!$C$5,'Native vegetation - Carbon'!O41:O94)/Assumptions!$C$4</f>
        <v>6175861851.3954029</v>
      </c>
    </row>
    <row r="49" spans="1:21" x14ac:dyDescent="0.35">
      <c r="A49">
        <v>2033</v>
      </c>
      <c r="B49">
        <v>9</v>
      </c>
      <c r="C49" s="333">
        <f t="shared" si="33"/>
        <v>245842510.69791406</v>
      </c>
      <c r="D49" s="333">
        <f t="shared" si="28"/>
        <v>9833700.4279165622</v>
      </c>
      <c r="E49" s="333">
        <f t="shared" si="29"/>
        <v>49168502.139582813</v>
      </c>
      <c r="F49" s="1335">
        <f>1+Assumptions!$C$6+Assumptions!$C$10</f>
        <v>1.0449999999999999</v>
      </c>
      <c r="G49" s="347">
        <f t="shared" si="30"/>
        <v>52.013329914498911</v>
      </c>
      <c r="H49" s="347">
        <f t="shared" si="24"/>
        <v>511483504.63757324</v>
      </c>
      <c r="I49" s="347">
        <f>'Present Value'!$T$68</f>
        <v>15238620145.724411</v>
      </c>
      <c r="J49" s="1274">
        <f t="shared" si="25"/>
        <v>14727136641.086838</v>
      </c>
      <c r="K49" s="327">
        <f t="shared" si="26"/>
        <v>3.3564948777930079E-2</v>
      </c>
      <c r="L49" s="347">
        <f t="shared" si="31"/>
        <v>111.45713553106908</v>
      </c>
      <c r="M49" s="347">
        <f t="shared" si="23"/>
        <v>1096036081.3662283</v>
      </c>
      <c r="N49" s="347">
        <f>'Present Value'!$T$68</f>
        <v>15238620145.724411</v>
      </c>
      <c r="O49" s="1274">
        <f t="shared" si="32"/>
        <v>14142584064.358183</v>
      </c>
      <c r="P49" s="327">
        <f t="shared" si="27"/>
        <v>7.1924890238421593E-2</v>
      </c>
      <c r="Q49" s="327"/>
      <c r="S49" s="1327" t="s">
        <v>1293</v>
      </c>
      <c r="T49" s="1328">
        <f>T47/'Present Value'!I68</f>
        <v>7.1511340179932673E-2</v>
      </c>
      <c r="U49" s="1328">
        <f>U47/'Present Value'!I68</f>
        <v>0.15323858609985574</v>
      </c>
    </row>
    <row r="50" spans="1:21" x14ac:dyDescent="0.35">
      <c r="A50">
        <v>2034</v>
      </c>
      <c r="B50">
        <v>10</v>
      </c>
      <c r="C50" s="333">
        <f t="shared" si="33"/>
        <v>273158345.21990454</v>
      </c>
      <c r="D50" s="333">
        <f t="shared" si="28"/>
        <v>10926333.808796182</v>
      </c>
      <c r="E50" s="333">
        <f t="shared" si="29"/>
        <v>60094835.948378995</v>
      </c>
      <c r="F50" s="1335">
        <f>1+Assumptions!$C$6+Assumptions!$C$10</f>
        <v>1.0449999999999999</v>
      </c>
      <c r="G50" s="347">
        <f t="shared" si="30"/>
        <v>54.353929760651361</v>
      </c>
      <c r="H50" s="347">
        <f t="shared" si="24"/>
        <v>593889180.38473797</v>
      </c>
      <c r="I50" s="347">
        <f>'Present Value'!$U$68</f>
        <v>14347791883.455769</v>
      </c>
      <c r="J50" s="1274">
        <f t="shared" si="25"/>
        <v>13753902703.07103</v>
      </c>
      <c r="K50" s="327">
        <f t="shared" si="26"/>
        <v>4.1392374883102608E-2</v>
      </c>
      <c r="L50" s="347">
        <f t="shared" si="31"/>
        <v>116.47270662996719</v>
      </c>
      <c r="M50" s="347">
        <f t="shared" si="23"/>
        <v>1272619672.2530098</v>
      </c>
      <c r="N50" s="347">
        <f>'Present Value'!$U$68</f>
        <v>14347791883.455769</v>
      </c>
      <c r="O50" s="1274">
        <f t="shared" si="32"/>
        <v>13075172211.202759</v>
      </c>
      <c r="P50" s="327">
        <f t="shared" si="27"/>
        <v>8.8697946178076997E-2</v>
      </c>
      <c r="Q50" s="327"/>
      <c r="S50" s="119" t="s">
        <v>1369</v>
      </c>
    </row>
    <row r="51" spans="1:21" x14ac:dyDescent="0.35">
      <c r="A51">
        <v>2035</v>
      </c>
      <c r="B51">
        <v>11</v>
      </c>
      <c r="C51" s="333">
        <f t="shared" si="33"/>
        <v>300474179.74189502</v>
      </c>
      <c r="D51" s="333">
        <f t="shared" si="28"/>
        <v>12018967.189675801</v>
      </c>
      <c r="E51" s="333">
        <f t="shared" si="29"/>
        <v>72113803.138054788</v>
      </c>
      <c r="F51" s="1335">
        <f>1+Assumptions!$C$6+Assumptions!$C$10</f>
        <v>1.0449999999999999</v>
      </c>
      <c r="G51" s="347">
        <f t="shared" si="30"/>
        <v>56.79985659988067</v>
      </c>
      <c r="H51" s="347">
        <f t="shared" si="24"/>
        <v>682675612.8522563</v>
      </c>
      <c r="I51" s="347">
        <f>'Present Value'!$V$68</f>
        <v>11795198189.368538</v>
      </c>
      <c r="J51" s="1274">
        <f t="shared" si="25"/>
        <v>11112522576.516281</v>
      </c>
      <c r="K51" s="327">
        <f t="shared" si="26"/>
        <v>5.7877417733224516E-2</v>
      </c>
      <c r="L51" s="347">
        <f t="shared" si="31"/>
        <v>121.71397842831571</v>
      </c>
      <c r="M51" s="347">
        <f t="shared" si="23"/>
        <v>1462876313.2548347</v>
      </c>
      <c r="N51" s="347">
        <f>'Present Value'!$V$68</f>
        <v>11795198189.368538</v>
      </c>
      <c r="O51" s="1274">
        <f t="shared" si="32"/>
        <v>10332321876.113703</v>
      </c>
      <c r="P51" s="327">
        <f t="shared" si="27"/>
        <v>0.1240230379997668</v>
      </c>
      <c r="Q51" s="327"/>
    </row>
    <row r="52" spans="1:21" x14ac:dyDescent="0.35">
      <c r="A52">
        <v>2036</v>
      </c>
      <c r="B52">
        <v>12</v>
      </c>
      <c r="C52" s="333">
        <f t="shared" si="33"/>
        <v>327790014.2638855</v>
      </c>
      <c r="D52" s="333">
        <f t="shared" si="28"/>
        <v>13111600.570555421</v>
      </c>
      <c r="E52" s="333">
        <f t="shared" si="29"/>
        <v>85225403.708610207</v>
      </c>
      <c r="F52" s="1335">
        <f>1+Assumptions!$C$6+Assumptions!$C$10</f>
        <v>1.0449999999999999</v>
      </c>
      <c r="G52" s="347">
        <f t="shared" si="30"/>
        <v>59.355850146875298</v>
      </c>
      <c r="H52" s="347">
        <f t="shared" si="24"/>
        <v>778250198.65157223</v>
      </c>
      <c r="I52" s="347">
        <f>'Present Value'!$W$68</f>
        <v>12139736444.840332</v>
      </c>
      <c r="J52" s="1274">
        <f t="shared" si="25"/>
        <v>11361486246.188759</v>
      </c>
      <c r="K52" s="327">
        <f t="shared" si="26"/>
        <v>6.4107668415021191E-2</v>
      </c>
      <c r="L52" s="347">
        <f t="shared" si="31"/>
        <v>127.19110745758991</v>
      </c>
      <c r="M52" s="347">
        <f t="shared" si="23"/>
        <v>1667678997.1105115</v>
      </c>
      <c r="N52" s="347">
        <f>'Present Value'!$W$68</f>
        <v>12139736444.840332</v>
      </c>
      <c r="O52" s="1274">
        <f t="shared" si="32"/>
        <v>10472057447.72982</v>
      </c>
      <c r="P52" s="327">
        <f t="shared" si="27"/>
        <v>0.13737357517504539</v>
      </c>
      <c r="Q52" s="327"/>
    </row>
    <row r="53" spans="1:21" x14ac:dyDescent="0.35">
      <c r="A53">
        <v>2037</v>
      </c>
      <c r="B53">
        <v>13</v>
      </c>
      <c r="C53" s="333">
        <f t="shared" si="33"/>
        <v>355105848.78587598</v>
      </c>
      <c r="D53" s="333">
        <f t="shared" si="28"/>
        <v>14204233.951435039</v>
      </c>
      <c r="E53" s="333">
        <f t="shared" si="29"/>
        <v>99429637.660045251</v>
      </c>
      <c r="F53" s="1335">
        <f>1+Assumptions!$C$6+Assumptions!$C$10</f>
        <v>1.0449999999999999</v>
      </c>
      <c r="G53" s="347">
        <f t="shared" si="30"/>
        <v>62.026863403484683</v>
      </c>
      <c r="H53" s="347">
        <f t="shared" si="24"/>
        <v>881044079.0568006</v>
      </c>
      <c r="I53" s="347">
        <f>'Present Value'!$X$68</f>
        <v>12494129614.217365</v>
      </c>
      <c r="J53" s="1274">
        <f t="shared" si="25"/>
        <v>11613085535.160564</v>
      </c>
      <c r="K53" s="327">
        <f t="shared" si="26"/>
        <v>7.0516643116479261E-2</v>
      </c>
      <c r="L53" s="347">
        <f t="shared" si="31"/>
        <v>132.91470729318144</v>
      </c>
      <c r="M53" s="347">
        <f t="shared" si="23"/>
        <v>1887951597.9788582</v>
      </c>
      <c r="N53" s="347">
        <f>'Present Value'!$X$68</f>
        <v>12494129614.217365</v>
      </c>
      <c r="O53" s="1274">
        <f t="shared" si="32"/>
        <v>10606178016.238506</v>
      </c>
      <c r="P53" s="327">
        <f t="shared" si="27"/>
        <v>0.15110709239245554</v>
      </c>
      <c r="Q53" s="327"/>
    </row>
    <row r="54" spans="1:21" x14ac:dyDescent="0.35">
      <c r="A54">
        <v>2038</v>
      </c>
      <c r="B54">
        <v>14</v>
      </c>
      <c r="C54" s="333">
        <f t="shared" si="33"/>
        <v>382421683.30786645</v>
      </c>
      <c r="D54" s="333">
        <f t="shared" si="28"/>
        <v>15296867.332314659</v>
      </c>
      <c r="E54" s="333">
        <f t="shared" si="29"/>
        <v>114726504.99235991</v>
      </c>
      <c r="F54" s="1335">
        <f>1+Assumptions!$C$6+Assumptions!$C$10</f>
        <v>1.0449999999999999</v>
      </c>
      <c r="G54" s="347">
        <f t="shared" si="30"/>
        <v>64.818072256641486</v>
      </c>
      <c r="H54" s="347">
        <f t="shared" si="24"/>
        <v>991513452.0462302</v>
      </c>
      <c r="I54" s="347">
        <f>'Present Value'!$Y$68</f>
        <v>12858655106.785221</v>
      </c>
      <c r="J54" s="1274">
        <f t="shared" si="25"/>
        <v>11867141654.738991</v>
      </c>
      <c r="K54" s="327">
        <f t="shared" si="26"/>
        <v>7.7108643463267859E-2</v>
      </c>
      <c r="L54" s="347">
        <f t="shared" si="31"/>
        <v>138.8958691213746</v>
      </c>
      <c r="M54" s="347">
        <f t="shared" si="23"/>
        <v>2124671682.9562075</v>
      </c>
      <c r="N54" s="347">
        <f>'Present Value'!$Y$68</f>
        <v>12858655106.785221</v>
      </c>
      <c r="O54" s="1274">
        <f t="shared" si="32"/>
        <v>10733983423.829014</v>
      </c>
      <c r="P54" s="327">
        <f t="shared" si="27"/>
        <v>0.16523280742128829</v>
      </c>
      <c r="Q54" s="327"/>
    </row>
    <row r="55" spans="1:21" x14ac:dyDescent="0.35">
      <c r="A55">
        <v>2039</v>
      </c>
      <c r="B55">
        <v>15</v>
      </c>
      <c r="C55" s="333">
        <f t="shared" si="33"/>
        <v>409737517.82985693</v>
      </c>
      <c r="D55" s="333">
        <f t="shared" si="28"/>
        <v>16389500.713194277</v>
      </c>
      <c r="E55" s="333">
        <f t="shared" si="29"/>
        <v>131116005.70555419</v>
      </c>
      <c r="F55" s="1335">
        <f>1+Assumptions!$C$6+Assumptions!$C$10</f>
        <v>1.0449999999999999</v>
      </c>
      <c r="G55" s="347">
        <f t="shared" si="30"/>
        <v>67.734885508190345</v>
      </c>
      <c r="H55" s="347">
        <f t="shared" si="24"/>
        <v>1110140954.3446183</v>
      </c>
      <c r="I55" s="347">
        <f>'Present Value'!$Z$68</f>
        <v>13233598042.972586</v>
      </c>
      <c r="J55" s="1274">
        <f t="shared" si="25"/>
        <v>12123457088.627968</v>
      </c>
      <c r="K55" s="327">
        <f t="shared" si="26"/>
        <v>8.3888066627060248E-2</v>
      </c>
      <c r="L55" s="347">
        <f t="shared" si="31"/>
        <v>145.14618323183646</v>
      </c>
      <c r="M55" s="347">
        <f t="shared" si="23"/>
        <v>2378873473.5956111</v>
      </c>
      <c r="N55" s="347">
        <f>'Present Value'!$Z$68</f>
        <v>13233598042.972586</v>
      </c>
      <c r="O55" s="1274">
        <f t="shared" si="32"/>
        <v>10854724569.376974</v>
      </c>
      <c r="P55" s="327">
        <f t="shared" si="27"/>
        <v>0.17976014277227198</v>
      </c>
      <c r="Q55" s="327"/>
    </row>
    <row r="56" spans="1:21" x14ac:dyDescent="0.35">
      <c r="A56">
        <v>2040</v>
      </c>
      <c r="B56">
        <v>16</v>
      </c>
      <c r="C56" s="333">
        <f t="shared" si="33"/>
        <v>437053352.35184741</v>
      </c>
      <c r="D56" s="333">
        <f t="shared" si="28"/>
        <v>17482134.094073895</v>
      </c>
      <c r="E56" s="333">
        <f t="shared" si="29"/>
        <v>148598139.79962808</v>
      </c>
      <c r="F56" s="1335">
        <f>1+Assumptions!$C$6+Assumptions!$C$10</f>
        <v>1.0449999999999999</v>
      </c>
      <c r="G56" s="347">
        <f t="shared" si="30"/>
        <v>70.782955356058906</v>
      </c>
      <c r="H56" s="347">
        <f t="shared" si="24"/>
        <v>1237437117.1094677</v>
      </c>
      <c r="I56" s="347">
        <f>'Present Value'!$AA$68</f>
        <v>13619251466.52758</v>
      </c>
      <c r="J56" s="1274">
        <f t="shared" si="25"/>
        <v>12381814349.418112</v>
      </c>
      <c r="K56" s="327">
        <f t="shared" si="26"/>
        <v>9.0859407372773163E-2</v>
      </c>
      <c r="L56" s="347">
        <f t="shared" si="31"/>
        <v>151.67776147726909</v>
      </c>
      <c r="M56" s="347">
        <f t="shared" si="23"/>
        <v>2651650965.2345738</v>
      </c>
      <c r="N56" s="347">
        <f>'Present Value'!$AA$68</f>
        <v>13619251466.52758</v>
      </c>
      <c r="O56" s="1274">
        <f t="shared" si="32"/>
        <v>10967600501.293007</v>
      </c>
      <c r="P56" s="327">
        <f t="shared" si="27"/>
        <v>0.19469873008451394</v>
      </c>
      <c r="Q56" s="327"/>
    </row>
    <row r="57" spans="1:21" x14ac:dyDescent="0.35">
      <c r="A57">
        <v>2041</v>
      </c>
      <c r="B57">
        <v>17</v>
      </c>
      <c r="C57" s="333">
        <f t="shared" si="33"/>
        <v>464369186.87383789</v>
      </c>
      <c r="D57" s="333">
        <f t="shared" si="28"/>
        <v>18574767.474953517</v>
      </c>
      <c r="E57" s="333">
        <f t="shared" si="29"/>
        <v>167172907.27458161</v>
      </c>
      <c r="F57" s="1335">
        <f>1+Assumptions!$C$6+Assumptions!$C$10</f>
        <v>1.0449999999999999</v>
      </c>
      <c r="G57" s="347">
        <f t="shared" si="30"/>
        <v>73.968188347081551</v>
      </c>
      <c r="H57" s="347">
        <f t="shared" si="24"/>
        <v>1373941899.0906062</v>
      </c>
      <c r="I57" s="347">
        <f>'Present Value'!$AB$68</f>
        <v>14015916562.483463</v>
      </c>
      <c r="J57" s="1274">
        <f t="shared" si="25"/>
        <v>12641974663.392857</v>
      </c>
      <c r="K57" s="327">
        <f t="shared" si="26"/>
        <v>9.8027260148526391E-2</v>
      </c>
      <c r="L57" s="347">
        <f t="shared" si="31"/>
        <v>158.50326074374618</v>
      </c>
      <c r="M57" s="347">
        <f t="shared" si="23"/>
        <v>2944161212.3370132</v>
      </c>
      <c r="N57" s="347">
        <f>'Present Value'!$AB$68</f>
        <v>14015916562.483463</v>
      </c>
      <c r="O57" s="1274">
        <f t="shared" si="32"/>
        <v>11071755350.14645</v>
      </c>
      <c r="P57" s="327">
        <f t="shared" si="27"/>
        <v>0.21005841460398511</v>
      </c>
      <c r="Q57" s="327"/>
    </row>
    <row r="58" spans="1:21" x14ac:dyDescent="0.35">
      <c r="A58">
        <v>2042</v>
      </c>
      <c r="B58">
        <v>18</v>
      </c>
      <c r="C58" s="333">
        <f t="shared" si="33"/>
        <v>491685021.39582837</v>
      </c>
      <c r="D58" s="333">
        <f t="shared" si="28"/>
        <v>19667400.855833136</v>
      </c>
      <c r="E58" s="333">
        <f t="shared" si="29"/>
        <v>186840308.13041475</v>
      </c>
      <c r="F58" s="1335">
        <f>1+Assumptions!$C$6+Assumptions!$C$10</f>
        <v>1.0449999999999999</v>
      </c>
      <c r="G58" s="347">
        <f t="shared" si="30"/>
        <v>77.296756822700218</v>
      </c>
      <c r="H58" s="347">
        <f t="shared" si="24"/>
        <v>1520226301.2879</v>
      </c>
      <c r="I58" s="347">
        <f>'Present Value'!$AC$68</f>
        <v>14423902881.070557</v>
      </c>
      <c r="J58" s="1274">
        <f t="shared" si="25"/>
        <v>12903676579.782658</v>
      </c>
      <c r="K58" s="327">
        <f t="shared" si="26"/>
        <v>0.105396321219203</v>
      </c>
      <c r="L58" s="347">
        <f t="shared" si="31"/>
        <v>165.63590747721474</v>
      </c>
      <c r="M58" s="347">
        <f t="shared" si="23"/>
        <v>3257627788.4740715</v>
      </c>
      <c r="N58" s="347">
        <f>'Present Value'!$AC$68</f>
        <v>14423902881.070557</v>
      </c>
      <c r="O58" s="1274">
        <f t="shared" si="32"/>
        <v>11166275092.596485</v>
      </c>
      <c r="P58" s="327">
        <f t="shared" si="27"/>
        <v>0.22584925975543502</v>
      </c>
      <c r="Q58" s="327"/>
    </row>
    <row r="59" spans="1:21" x14ac:dyDescent="0.35">
      <c r="A59">
        <v>2043</v>
      </c>
      <c r="B59">
        <v>19</v>
      </c>
      <c r="C59" s="333">
        <f t="shared" si="33"/>
        <v>519000855.91781884</v>
      </c>
      <c r="D59" s="333">
        <f t="shared" si="28"/>
        <v>20760034.236712754</v>
      </c>
      <c r="E59" s="333">
        <f t="shared" si="29"/>
        <v>207600342.36712751</v>
      </c>
      <c r="F59" s="1335">
        <f>1+Assumptions!$C$6+Assumptions!$C$10</f>
        <v>1.0449999999999999</v>
      </c>
      <c r="G59" s="347">
        <f t="shared" si="30"/>
        <v>80.775110879721723</v>
      </c>
      <c r="H59" s="347">
        <f t="shared" si="24"/>
        <v>1676894067.3372917</v>
      </c>
      <c r="I59" s="347">
        <f>'Present Value'!$AD$68</f>
        <v>14843528567.73546</v>
      </c>
      <c r="J59" s="1274">
        <f t="shared" si="25"/>
        <v>13166634500.398169</v>
      </c>
      <c r="K59" s="327">
        <f t="shared" si="26"/>
        <v>0.11297139084450995</v>
      </c>
      <c r="L59" s="347">
        <f t="shared" si="31"/>
        <v>173.0895233136894</v>
      </c>
      <c r="M59" s="347">
        <f t="shared" si="23"/>
        <v>3593344430.0084825</v>
      </c>
      <c r="N59" s="347">
        <f>'Present Value'!$AD$68</f>
        <v>14843528567.73546</v>
      </c>
      <c r="O59" s="1274">
        <f t="shared" si="32"/>
        <v>11250184137.726978</v>
      </c>
      <c r="P59" s="327">
        <f t="shared" si="27"/>
        <v>0.2420815518096642</v>
      </c>
      <c r="Q59" s="327"/>
    </row>
    <row r="60" spans="1:21" x14ac:dyDescent="0.35">
      <c r="A60">
        <v>2044</v>
      </c>
      <c r="B60">
        <v>20</v>
      </c>
      <c r="C60" s="333">
        <f t="shared" si="33"/>
        <v>546316690.43980932</v>
      </c>
      <c r="D60" s="333">
        <f t="shared" si="28"/>
        <v>21852667.617592372</v>
      </c>
      <c r="E60" s="333">
        <f t="shared" si="29"/>
        <v>229453009.98471987</v>
      </c>
      <c r="F60" s="1335">
        <f>1+Assumptions!$C$6+Assumptions!$C$10</f>
        <v>1.0449999999999999</v>
      </c>
      <c r="G60" s="347">
        <f t="shared" si="30"/>
        <v>84.409990869309198</v>
      </c>
      <c r="H60" s="347">
        <f t="shared" si="24"/>
        <v>1844583474.0710208</v>
      </c>
      <c r="I60" s="347">
        <f>'Present Value'!$AE$68</f>
        <v>15275120599.432934</v>
      </c>
      <c r="J60" s="1274">
        <f t="shared" si="25"/>
        <v>13430537125.361914</v>
      </c>
      <c r="K60" s="327">
        <f t="shared" si="26"/>
        <v>0.12075737550245583</v>
      </c>
      <c r="L60" s="347">
        <f t="shared" si="31"/>
        <v>180.87855186280541</v>
      </c>
      <c r="M60" s="347">
        <f t="shared" si="23"/>
        <v>3952678873.0093303</v>
      </c>
      <c r="N60" s="347">
        <f>'Present Value'!$AE$68</f>
        <v>15275120599.432934</v>
      </c>
      <c r="O60" s="1274">
        <f t="shared" si="32"/>
        <v>11322441726.423603</v>
      </c>
      <c r="P60" s="327">
        <f t="shared" si="27"/>
        <v>0.2587658046481196</v>
      </c>
      <c r="Q60" s="327"/>
    </row>
    <row r="61" spans="1:21" x14ac:dyDescent="0.35">
      <c r="A61">
        <v>2045</v>
      </c>
      <c r="B61">
        <v>21</v>
      </c>
      <c r="C61" s="333">
        <f t="shared" si="33"/>
        <v>573632524.96179974</v>
      </c>
      <c r="D61" s="333">
        <f t="shared" si="28"/>
        <v>22945300.99847199</v>
      </c>
      <c r="E61" s="333">
        <f t="shared" si="29"/>
        <v>252398310.98319185</v>
      </c>
      <c r="F61" s="1335">
        <f>1+Assumptions!$C$6+Assumptions!$C$10</f>
        <v>1.0449999999999999</v>
      </c>
      <c r="G61" s="347">
        <f t="shared" si="30"/>
        <v>88.2084404584281</v>
      </c>
      <c r="H61" s="347">
        <f t="shared" si="24"/>
        <v>2023969216.9244273</v>
      </c>
      <c r="I61" s="347">
        <f>'Present Value'!$AF$68</f>
        <v>14990937751.119253</v>
      </c>
      <c r="J61" s="1274">
        <f t="shared" si="25"/>
        <v>12966968534.194826</v>
      </c>
      <c r="K61" s="327">
        <f t="shared" si="26"/>
        <v>0.13501284913102343</v>
      </c>
      <c r="L61" s="347">
        <f t="shared" si="31"/>
        <v>189.01808669663163</v>
      </c>
      <c r="M61" s="347">
        <f t="shared" si="23"/>
        <v>4337076893.4094868</v>
      </c>
      <c r="N61" s="347">
        <f>'Present Value'!$AF$68</f>
        <v>14990937751.119253</v>
      </c>
      <c r="O61" s="1274">
        <f t="shared" si="32"/>
        <v>10653860857.709766</v>
      </c>
      <c r="P61" s="327">
        <f t="shared" si="27"/>
        <v>0.28931324813790732</v>
      </c>
      <c r="Q61" s="327"/>
    </row>
    <row r="62" spans="1:21" x14ac:dyDescent="0.35">
      <c r="A62">
        <v>2046</v>
      </c>
      <c r="B62">
        <v>22</v>
      </c>
      <c r="C62" s="333">
        <f t="shared" si="33"/>
        <v>600948359.48379016</v>
      </c>
      <c r="D62" s="333">
        <f t="shared" si="28"/>
        <v>24037934.379351605</v>
      </c>
      <c r="E62" s="333">
        <f t="shared" si="29"/>
        <v>276436245.36254346</v>
      </c>
      <c r="F62" s="1335">
        <f>1+Assumptions!$C$6+Assumptions!$C$10</f>
        <v>1.0449999999999999</v>
      </c>
      <c r="G62" s="347">
        <f t="shared" si="30"/>
        <v>92.177820279057357</v>
      </c>
      <c r="H62" s="347">
        <f t="shared" si="24"/>
        <v>2215764395.0996466</v>
      </c>
      <c r="I62" s="347">
        <f>'Present Value'!$AG$68</f>
        <v>15429278018.162468</v>
      </c>
      <c r="J62" s="1274">
        <f t="shared" si="25"/>
        <v>13213513623.06282</v>
      </c>
      <c r="K62" s="327">
        <f t="shared" si="26"/>
        <v>0.14360778206805105</v>
      </c>
      <c r="L62" s="347">
        <f t="shared" si="31"/>
        <v>197.52390059798003</v>
      </c>
      <c r="M62" s="347">
        <f t="shared" si="23"/>
        <v>4748066560.9278135</v>
      </c>
      <c r="N62" s="347">
        <f>'Present Value'!$AG$68</f>
        <v>15429278018.162468</v>
      </c>
      <c r="O62" s="1274">
        <f t="shared" si="32"/>
        <v>10681211457.234653</v>
      </c>
      <c r="P62" s="327">
        <f t="shared" si="27"/>
        <v>0.30773096157439511</v>
      </c>
      <c r="Q62" s="327"/>
    </row>
    <row r="63" spans="1:21" x14ac:dyDescent="0.35">
      <c r="A63">
        <v>2047</v>
      </c>
      <c r="B63">
        <v>23</v>
      </c>
      <c r="C63" s="333">
        <f t="shared" si="33"/>
        <v>628264194.00578058</v>
      </c>
      <c r="D63" s="333">
        <f t="shared" si="28"/>
        <v>25130567.760231223</v>
      </c>
      <c r="E63" s="333">
        <f t="shared" si="29"/>
        <v>301566813.12277466</v>
      </c>
      <c r="F63" s="1335">
        <f>1+Assumptions!$C$6+Assumptions!$C$10</f>
        <v>1.0449999999999999</v>
      </c>
      <c r="G63" s="347">
        <f t="shared" si="30"/>
        <v>96.325822191614932</v>
      </c>
      <c r="H63" s="347">
        <f t="shared" si="24"/>
        <v>2420722601.6463637</v>
      </c>
      <c r="I63" s="347">
        <f>'Present Value'!$AH$68</f>
        <v>15880165962.46339</v>
      </c>
      <c r="J63" s="1274">
        <f t="shared" si="25"/>
        <v>13459443360.817026</v>
      </c>
      <c r="K63" s="327">
        <f t="shared" si="26"/>
        <v>0.15243685786208575</v>
      </c>
      <c r="L63" s="347">
        <f t="shared" si="31"/>
        <v>206.41247612488911</v>
      </c>
      <c r="M63" s="347">
        <f t="shared" si="23"/>
        <v>5187262717.8136349</v>
      </c>
      <c r="N63" s="347">
        <f>'Present Value'!$AH$68</f>
        <v>15880165962.46339</v>
      </c>
      <c r="O63" s="1274">
        <f t="shared" si="32"/>
        <v>10692903244.649755</v>
      </c>
      <c r="P63" s="327">
        <f t="shared" si="27"/>
        <v>0.32665040970446935</v>
      </c>
      <c r="Q63" s="327"/>
    </row>
    <row r="64" spans="1:21" x14ac:dyDescent="0.35">
      <c r="A64">
        <v>2048</v>
      </c>
      <c r="B64">
        <v>24</v>
      </c>
      <c r="C64" s="333">
        <f>C63+$C$41</f>
        <v>655580028.527771</v>
      </c>
      <c r="D64" s="333">
        <f t="shared" si="28"/>
        <v>26223201.141110841</v>
      </c>
      <c r="E64" s="333">
        <f t="shared" si="29"/>
        <v>327790014.2638855</v>
      </c>
      <c r="F64" s="1335">
        <f>1+Assumptions!$C$6+Assumptions!$C$10</f>
        <v>1.0449999999999999</v>
      </c>
      <c r="G64" s="347">
        <f t="shared" si="30"/>
        <v>100.6604841902376</v>
      </c>
      <c r="H64" s="347">
        <f t="shared" si="24"/>
        <v>2639640123.8822083</v>
      </c>
      <c r="I64" s="347">
        <f>'Present Value'!$AI$68</f>
        <v>16343955005.218014</v>
      </c>
      <c r="J64" s="1274">
        <f t="shared" si="25"/>
        <v>13704314881.335806</v>
      </c>
      <c r="K64" s="327">
        <f t="shared" si="26"/>
        <v>0.16150559170283263</v>
      </c>
      <c r="L64" s="347">
        <f t="shared" si="31"/>
        <v>215.70103755050911</v>
      </c>
      <c r="M64" s="347">
        <f t="shared" si="23"/>
        <v>5656371694.0333033</v>
      </c>
      <c r="N64" s="347">
        <f>'Present Value'!$AI$68</f>
        <v>16343955005.218014</v>
      </c>
      <c r="O64" s="1274">
        <f t="shared" si="32"/>
        <v>10687583311.184711</v>
      </c>
      <c r="P64" s="327">
        <f t="shared" si="27"/>
        <v>0.34608341079178417</v>
      </c>
      <c r="Q64" s="327"/>
    </row>
    <row r="65" spans="1:17" x14ac:dyDescent="0.35">
      <c r="A65">
        <v>2049</v>
      </c>
      <c r="B65">
        <v>25</v>
      </c>
      <c r="C65" s="333">
        <f t="shared" si="33"/>
        <v>682895863.04976141</v>
      </c>
      <c r="D65" s="333">
        <f t="shared" si="28"/>
        <v>27315834.521990456</v>
      </c>
      <c r="E65" s="333">
        <f t="shared" si="29"/>
        <v>355105848.78587598</v>
      </c>
      <c r="F65" s="1335">
        <f>1+Assumptions!$C$6+Assumptions!$C$10</f>
        <v>1.0449999999999999</v>
      </c>
      <c r="G65" s="347">
        <f t="shared" si="30"/>
        <v>105.19020597879828</v>
      </c>
      <c r="H65" s="347">
        <f t="shared" si="24"/>
        <v>2873358259.8509445</v>
      </c>
      <c r="I65" s="347">
        <f>'Present Value'!$AJ$68</f>
        <v>16821008396.383827</v>
      </c>
      <c r="J65" s="1274">
        <f t="shared" si="25"/>
        <v>13947650136.532883</v>
      </c>
      <c r="K65" s="327">
        <f t="shared" si="26"/>
        <v>0.17081961985517216</v>
      </c>
      <c r="L65" s="347">
        <f t="shared" si="31"/>
        <v>225.40758424028201</v>
      </c>
      <c r="M65" s="347">
        <f t="shared" si="23"/>
        <v>6157196271.1091671</v>
      </c>
      <c r="N65" s="347">
        <f>'Present Value'!$AJ$68</f>
        <v>16821008396.383827</v>
      </c>
      <c r="O65" s="1274">
        <f t="shared" si="32"/>
        <v>10663812125.27466</v>
      </c>
      <c r="P65" s="327">
        <f t="shared" si="27"/>
        <v>0.36604204254679751</v>
      </c>
      <c r="Q65" s="327"/>
    </row>
    <row r="66" spans="1:17" x14ac:dyDescent="0.35">
      <c r="A66">
        <v>2050</v>
      </c>
      <c r="B66">
        <v>26</v>
      </c>
      <c r="C66" s="333">
        <f>C65+$C$41-$C$41</f>
        <v>682895863.04976141</v>
      </c>
      <c r="D66" s="333">
        <f t="shared" si="28"/>
        <v>27315834.521990456</v>
      </c>
      <c r="E66" s="333">
        <f>E65+D66</f>
        <v>382421683.30786645</v>
      </c>
      <c r="F66" s="1335">
        <f>1+Assumptions!$C$6+Assumptions!$C$10</f>
        <v>1.0449999999999999</v>
      </c>
      <c r="G66" s="347">
        <f t="shared" si="30"/>
        <v>109.92376524784419</v>
      </c>
      <c r="H66" s="347">
        <f t="shared" si="24"/>
        <v>3002659381.5442371</v>
      </c>
      <c r="I66" s="347">
        <f>'Present Value'!$AK$68</f>
        <v>17293901957.466232</v>
      </c>
      <c r="J66" s="1274">
        <f t="shared" si="25"/>
        <v>14291242575.921995</v>
      </c>
      <c r="K66" s="327">
        <f t="shared" si="26"/>
        <v>0.17362532694641014</v>
      </c>
      <c r="L66" s="347">
        <f t="shared" si="31"/>
        <v>235.55092553109469</v>
      </c>
      <c r="M66" s="347">
        <f t="shared" si="23"/>
        <v>6434270103.3090792</v>
      </c>
      <c r="N66" s="347">
        <f>'Present Value'!$AK$68</f>
        <v>17293901957.466232</v>
      </c>
      <c r="O66" s="1274">
        <f t="shared" si="32"/>
        <v>10859631854.157154</v>
      </c>
      <c r="P66" s="327">
        <f t="shared" si="27"/>
        <v>0.37205427202802172</v>
      </c>
      <c r="Q66" s="327"/>
    </row>
    <row r="67" spans="1:17" x14ac:dyDescent="0.35">
      <c r="A67">
        <v>2051</v>
      </c>
      <c r="B67">
        <v>27</v>
      </c>
      <c r="C67" s="333">
        <f>C66+$C$41-$C$41</f>
        <v>682895863.04976141</v>
      </c>
      <c r="D67" s="333">
        <f t="shared" si="28"/>
        <v>27315834.521990456</v>
      </c>
      <c r="E67" s="333">
        <f t="shared" si="29"/>
        <v>409737517.82985693</v>
      </c>
      <c r="F67" s="1335">
        <f>1+Assumptions!$C$6+Assumptions!$C$10</f>
        <v>1.0449999999999999</v>
      </c>
      <c r="G67" s="347">
        <f t="shared" si="30"/>
        <v>114.87033468399717</v>
      </c>
      <c r="H67" s="347">
        <f t="shared" si="24"/>
        <v>3137779053.7137275</v>
      </c>
      <c r="I67" s="347">
        <f>'Present Value'!$AL$68</f>
        <v>17798169532.312538</v>
      </c>
      <c r="J67" s="1274">
        <f t="shared" si="25"/>
        <v>14660390478.59881</v>
      </c>
      <c r="K67" s="327">
        <f t="shared" si="26"/>
        <v>0.17629785175476032</v>
      </c>
      <c r="L67" s="347">
        <f t="shared" si="31"/>
        <v>246.15071717999393</v>
      </c>
      <c r="M67" s="347">
        <f t="shared" si="23"/>
        <v>6723812257.9579878</v>
      </c>
      <c r="N67" s="347">
        <f>'Present Value'!$AL$68</f>
        <v>17798169532.312538</v>
      </c>
      <c r="O67" s="1274">
        <f t="shared" si="32"/>
        <v>11074357274.354549</v>
      </c>
      <c r="P67" s="327">
        <f t="shared" si="27"/>
        <v>0.37778111090305783</v>
      </c>
      <c r="Q67" s="327"/>
    </row>
    <row r="68" spans="1:17" x14ac:dyDescent="0.35">
      <c r="A68">
        <v>2052</v>
      </c>
      <c r="B68">
        <v>28</v>
      </c>
      <c r="C68" s="333">
        <f>C67+$C$41-$C$41</f>
        <v>682895863.04976141</v>
      </c>
      <c r="D68" s="333">
        <f t="shared" si="28"/>
        <v>27315834.521990456</v>
      </c>
      <c r="E68" s="333">
        <f t="shared" si="29"/>
        <v>437053352.35184741</v>
      </c>
      <c r="F68" s="1335">
        <f>1+Assumptions!$C$6+Assumptions!$C$10</f>
        <v>1.0449999999999999</v>
      </c>
      <c r="G68" s="347">
        <f t="shared" si="30"/>
        <v>120.03949974477703</v>
      </c>
      <c r="H68" s="347">
        <f t="shared" si="24"/>
        <v>3278979111.1308451</v>
      </c>
      <c r="I68" s="347">
        <f>'Present Value'!$AM$68</f>
        <v>18316841797.177746</v>
      </c>
      <c r="J68" s="1274">
        <f t="shared" si="25"/>
        <v>15037862686.046902</v>
      </c>
      <c r="K68" s="327">
        <f t="shared" si="26"/>
        <v>0.17901443640988751</v>
      </c>
      <c r="L68" s="347">
        <f t="shared" si="31"/>
        <v>257.22749945309363</v>
      </c>
      <c r="M68" s="347">
        <f t="shared" si="23"/>
        <v>7026383809.5660963</v>
      </c>
      <c r="N68" s="347">
        <f>'Present Value'!$AM$68</f>
        <v>18316841797.177746</v>
      </c>
      <c r="O68" s="1274">
        <f t="shared" si="32"/>
        <v>11290457987.611649</v>
      </c>
      <c r="P68" s="327">
        <f t="shared" si="27"/>
        <v>0.38360236373547318</v>
      </c>
      <c r="Q68" s="327"/>
    </row>
    <row r="69" spans="1:17" x14ac:dyDescent="0.35">
      <c r="A69">
        <v>2053</v>
      </c>
      <c r="B69">
        <v>29</v>
      </c>
      <c r="C69" s="333">
        <f>C68+$C$41-$C$41</f>
        <v>682895863.04976141</v>
      </c>
      <c r="D69" s="333">
        <f t="shared" si="28"/>
        <v>27315834.521990456</v>
      </c>
      <c r="E69" s="333">
        <f t="shared" si="29"/>
        <v>464369186.87383789</v>
      </c>
      <c r="F69" s="1335">
        <f>1+Assumptions!$C$6+Assumptions!$C$10</f>
        <v>1.0449999999999999</v>
      </c>
      <c r="G69" s="347">
        <f t="shared" si="30"/>
        <v>125.44127723329198</v>
      </c>
      <c r="H69" s="347">
        <f t="shared" si="24"/>
        <v>3426533171.1317325</v>
      </c>
      <c r="I69" s="347">
        <f>'Present Value'!$AN$68</f>
        <v>18850323819.328522</v>
      </c>
      <c r="J69" s="1274">
        <f t="shared" si="25"/>
        <v>15423790648.196789</v>
      </c>
      <c r="K69" s="327">
        <f t="shared" si="26"/>
        <v>0.18177582539023943</v>
      </c>
      <c r="L69" s="347">
        <f t="shared" si="31"/>
        <v>268.80273692848283</v>
      </c>
      <c r="M69" s="347">
        <f t="shared" si="23"/>
        <v>7342571080.9965696</v>
      </c>
      <c r="N69" s="347">
        <f>'Present Value'!$AN$68</f>
        <v>18850323819.328522</v>
      </c>
      <c r="O69" s="1274">
        <f>N69-M69</f>
        <v>11507752738.331951</v>
      </c>
      <c r="P69" s="327">
        <f t="shared" si="27"/>
        <v>0.38951962583622735</v>
      </c>
      <c r="Q69" s="327"/>
    </row>
    <row r="70" spans="1:17" x14ac:dyDescent="0.35">
      <c r="A70" s="199">
        <v>2054</v>
      </c>
      <c r="B70" s="199">
        <v>30</v>
      </c>
      <c r="C70" s="1219">
        <f>C69+$C$41-$C$41</f>
        <v>682895863.04976141</v>
      </c>
      <c r="D70" s="1219">
        <f t="shared" si="28"/>
        <v>27315834.521990456</v>
      </c>
      <c r="E70" s="1219">
        <f t="shared" si="29"/>
        <v>491685021.39582837</v>
      </c>
      <c r="F70" s="1336">
        <f>1+Assumptions!$C$6+Assumptions!$C$10</f>
        <v>1.0449999999999999</v>
      </c>
      <c r="G70" s="1273">
        <f t="shared" si="30"/>
        <v>131.08613470879013</v>
      </c>
      <c r="H70" s="1273">
        <f t="shared" si="24"/>
        <v>3580727163.8326607</v>
      </c>
      <c r="I70" s="1273">
        <f>'Present Value'!$AO$68</f>
        <v>19399031916.463593</v>
      </c>
      <c r="J70" s="1330">
        <f>I70-H70</f>
        <v>15818304752.630932</v>
      </c>
      <c r="K70" s="1304">
        <f t="shared" si="26"/>
        <v>0.18458277605047729</v>
      </c>
      <c r="L70" s="1273">
        <f t="shared" si="31"/>
        <v>280.89886009026452</v>
      </c>
      <c r="M70" s="1273">
        <f t="shared" si="23"/>
        <v>7672986779.6414146</v>
      </c>
      <c r="N70" s="1273">
        <f>'Present Value'!$AO$68</f>
        <v>19399031916.463593</v>
      </c>
      <c r="O70" s="1330">
        <f>N70-M70</f>
        <v>11726045136.822178</v>
      </c>
      <c r="P70" s="1304">
        <f t="shared" si="27"/>
        <v>0.39553452010816559</v>
      </c>
      <c r="Q70" s="327"/>
    </row>
    <row r="71" spans="1:17" x14ac:dyDescent="0.35">
      <c r="A71">
        <v>2055</v>
      </c>
      <c r="B71">
        <v>31</v>
      </c>
      <c r="C71" s="333">
        <f>C70-$C$41</f>
        <v>655580028.527771</v>
      </c>
      <c r="D71" s="333">
        <f t="shared" si="28"/>
        <v>26223201.141110841</v>
      </c>
      <c r="E71" s="333">
        <f t="shared" si="29"/>
        <v>517908222.5369392</v>
      </c>
      <c r="F71" s="1335">
        <f>1+Assumptions!$C$6+Assumptions!$C$10</f>
        <v>1.0449999999999999</v>
      </c>
      <c r="G71" s="347">
        <f t="shared" si="30"/>
        <v>136.98501077068568</v>
      </c>
      <c r="H71" s="347">
        <f t="shared" si="24"/>
        <v>3592185490.7569256</v>
      </c>
      <c r="J71" s="327"/>
      <c r="K71" s="327"/>
      <c r="L71" s="347">
        <f t="shared" si="31"/>
        <v>293.53930879432642</v>
      </c>
      <c r="M71" s="347">
        <f t="shared" si="23"/>
        <v>7697540337.3362684</v>
      </c>
      <c r="O71" s="327"/>
      <c r="P71" s="327"/>
      <c r="Q71" s="327"/>
    </row>
    <row r="72" spans="1:17" x14ac:dyDescent="0.35">
      <c r="A72">
        <v>2056</v>
      </c>
      <c r="B72">
        <v>32</v>
      </c>
      <c r="C72" s="333">
        <f>C71-$C$41</f>
        <v>628264194.00578058</v>
      </c>
      <c r="D72" s="333">
        <f t="shared" si="28"/>
        <v>25130567.760231223</v>
      </c>
      <c r="E72" s="333">
        <f t="shared" si="29"/>
        <v>543038790.2971704</v>
      </c>
      <c r="F72" s="1335">
        <f>1+Assumptions!$C$6+Assumptions!$C$10</f>
        <v>1.0449999999999999</v>
      </c>
      <c r="G72" s="347">
        <f t="shared" si="30"/>
        <v>143.14933625536653</v>
      </c>
      <c r="H72" s="347">
        <f t="shared" si="24"/>
        <v>3597424094.5976129</v>
      </c>
      <c r="J72" s="327"/>
      <c r="K72" s="327"/>
      <c r="L72" s="347">
        <f t="shared" si="31"/>
        <v>306.7485776900711</v>
      </c>
      <c r="M72" s="347">
        <f t="shared" si="23"/>
        <v>7708765916.9948835</v>
      </c>
      <c r="O72" s="327"/>
      <c r="P72" s="327"/>
      <c r="Q72" s="327"/>
    </row>
    <row r="73" spans="1:17" x14ac:dyDescent="0.35">
      <c r="A73">
        <v>2057</v>
      </c>
      <c r="B73">
        <v>33</v>
      </c>
      <c r="C73" s="333">
        <f t="shared" ref="C73:C93" si="34">C72-$C$41</f>
        <v>600948359.48379016</v>
      </c>
      <c r="D73" s="333">
        <f t="shared" ref="D73:D94" si="35">C73/25</f>
        <v>24037934.379351605</v>
      </c>
      <c r="E73" s="333">
        <f t="shared" si="29"/>
        <v>567076724.67652202</v>
      </c>
      <c r="F73" s="1335">
        <f>1+Assumptions!$C$6+Assumptions!$C$10</f>
        <v>1.0449999999999999</v>
      </c>
      <c r="G73" s="347">
        <f t="shared" si="30"/>
        <v>149.59105638685801</v>
      </c>
      <c r="H73" s="347">
        <f t="shared" ref="H73:H94" si="36">D73*G73</f>
        <v>3595859997.1651788</v>
      </c>
      <c r="J73" s="327"/>
      <c r="K73" s="327"/>
      <c r="L73" s="347">
        <f t="shared" si="31"/>
        <v>320.55226368612426</v>
      </c>
      <c r="M73" s="347">
        <f t="shared" ref="M73:M94" si="37">L73*D73</f>
        <v>7705414279.6396675</v>
      </c>
      <c r="O73" s="327"/>
      <c r="P73" s="327"/>
      <c r="Q73" s="327"/>
    </row>
    <row r="74" spans="1:17" x14ac:dyDescent="0.35">
      <c r="A74">
        <v>2058</v>
      </c>
      <c r="B74">
        <v>34</v>
      </c>
      <c r="C74" s="333">
        <f t="shared" si="34"/>
        <v>573632524.96179974</v>
      </c>
      <c r="D74" s="333">
        <f t="shared" si="35"/>
        <v>22945300.99847199</v>
      </c>
      <c r="E74" s="333">
        <f t="shared" si="29"/>
        <v>590022025.67499399</v>
      </c>
      <c r="F74" s="1335">
        <f>1+Assumptions!$C$6+Assumptions!$C$10</f>
        <v>1.0449999999999999</v>
      </c>
      <c r="G74" s="347">
        <f t="shared" si="30"/>
        <v>156.3226539242666</v>
      </c>
      <c r="H74" s="347">
        <f t="shared" si="36"/>
        <v>3586870347.172266</v>
      </c>
      <c r="J74" s="327"/>
      <c r="K74" s="327"/>
      <c r="L74" s="347">
        <f t="shared" si="31"/>
        <v>334.97711555199982</v>
      </c>
      <c r="M74" s="347">
        <f t="shared" si="37"/>
        <v>7686150743.9405689</v>
      </c>
      <c r="O74" s="327"/>
      <c r="P74" s="327"/>
      <c r="Q74" s="327"/>
    </row>
    <row r="75" spans="1:17" x14ac:dyDescent="0.35">
      <c r="A75">
        <v>2059</v>
      </c>
      <c r="B75">
        <v>35</v>
      </c>
      <c r="C75" s="333">
        <f t="shared" si="34"/>
        <v>546316690.43980932</v>
      </c>
      <c r="D75" s="333">
        <f t="shared" si="35"/>
        <v>21852667.617592372</v>
      </c>
      <c r="E75" s="333">
        <f t="shared" si="29"/>
        <v>611874693.29258633</v>
      </c>
      <c r="F75" s="1335">
        <f>1+Assumptions!$C$6+Assumptions!$C$10</f>
        <v>1.0449999999999999</v>
      </c>
      <c r="G75" s="347">
        <f t="shared" si="30"/>
        <v>163.3571733508586</v>
      </c>
      <c r="H75" s="347">
        <f t="shared" si="36"/>
        <v>3569790012.1857314</v>
      </c>
      <c r="J75" s="327"/>
      <c r="K75" s="327"/>
      <c r="L75" s="347">
        <f t="shared" si="31"/>
        <v>350.05108575183976</v>
      </c>
      <c r="M75" s="347">
        <f t="shared" si="37"/>
        <v>7649550026.1122789</v>
      </c>
      <c r="O75" s="327"/>
      <c r="P75" s="327"/>
      <c r="Q75" s="327"/>
    </row>
    <row r="76" spans="1:17" x14ac:dyDescent="0.35">
      <c r="A76">
        <v>2060</v>
      </c>
      <c r="B76">
        <v>36</v>
      </c>
      <c r="C76" s="333">
        <f t="shared" si="34"/>
        <v>519000855.91781884</v>
      </c>
      <c r="D76" s="333">
        <f t="shared" si="35"/>
        <v>20760034.236712754</v>
      </c>
      <c r="E76" s="333">
        <f t="shared" si="29"/>
        <v>632634727.52929902</v>
      </c>
      <c r="F76" s="1335">
        <f>1+Assumptions!$C$6+Assumptions!$C$10</f>
        <v>1.0449999999999999</v>
      </c>
      <c r="G76" s="347">
        <f t="shared" si="30"/>
        <v>170.70824615164722</v>
      </c>
      <c r="H76" s="347">
        <f t="shared" si="36"/>
        <v>3543909034.5973845</v>
      </c>
      <c r="J76" s="327"/>
      <c r="K76" s="327"/>
      <c r="L76" s="347">
        <f t="shared" si="31"/>
        <v>365.80338461067254</v>
      </c>
      <c r="M76" s="347">
        <f t="shared" si="37"/>
        <v>7594090788.422965</v>
      </c>
      <c r="O76" s="327"/>
      <c r="Q76" s="327"/>
    </row>
    <row r="77" spans="1:17" x14ac:dyDescent="0.35">
      <c r="A77">
        <v>2061</v>
      </c>
      <c r="B77">
        <v>37</v>
      </c>
      <c r="C77" s="333">
        <f t="shared" si="34"/>
        <v>491685021.39582837</v>
      </c>
      <c r="D77" s="333">
        <f t="shared" si="35"/>
        <v>19667400.855833136</v>
      </c>
      <c r="E77" s="333">
        <f t="shared" si="29"/>
        <v>652302128.38513219</v>
      </c>
      <c r="F77" s="1335">
        <f>1+Assumptions!$C$6+Assumptions!$C$10</f>
        <v>1.0449999999999999</v>
      </c>
      <c r="G77" s="347">
        <f t="shared" si="30"/>
        <v>178.39011722847133</v>
      </c>
      <c r="H77" s="347">
        <f t="shared" si="36"/>
        <v>3508469944.2514105</v>
      </c>
      <c r="J77" s="327"/>
      <c r="K77" s="327"/>
      <c r="L77" s="347">
        <f t="shared" si="31"/>
        <v>382.26453691815277</v>
      </c>
      <c r="M77" s="347">
        <f t="shared" si="37"/>
        <v>7518149880.5387354</v>
      </c>
      <c r="O77" s="327"/>
      <c r="P77" s="327"/>
      <c r="Q77" s="327"/>
    </row>
    <row r="78" spans="1:17" x14ac:dyDescent="0.35">
      <c r="A78">
        <v>2062</v>
      </c>
      <c r="B78">
        <v>38</v>
      </c>
      <c r="C78" s="333">
        <f t="shared" si="34"/>
        <v>464369186.87383789</v>
      </c>
      <c r="D78" s="333">
        <f t="shared" si="35"/>
        <v>18574767.474953517</v>
      </c>
      <c r="E78" s="333">
        <f t="shared" si="29"/>
        <v>670876895.86008573</v>
      </c>
      <c r="F78" s="1335">
        <f>1+Assumptions!$C$6+Assumptions!$C$10</f>
        <v>1.0449999999999999</v>
      </c>
      <c r="G78" s="347">
        <f t="shared" si="30"/>
        <v>186.41767250375253</v>
      </c>
      <c r="H78" s="347">
        <f t="shared" si="36"/>
        <v>3462664919.979239</v>
      </c>
      <c r="J78" s="327"/>
      <c r="K78" s="327"/>
      <c r="L78" s="347">
        <f t="shared" si="31"/>
        <v>399.46644107946963</v>
      </c>
      <c r="M78" s="347">
        <f t="shared" si="37"/>
        <v>7419996257.0983677</v>
      </c>
      <c r="O78" s="327"/>
      <c r="P78" s="327"/>
      <c r="Q78" s="327"/>
    </row>
    <row r="79" spans="1:17" x14ac:dyDescent="0.35">
      <c r="A79">
        <v>2063</v>
      </c>
      <c r="B79">
        <v>39</v>
      </c>
      <c r="C79" s="333">
        <f t="shared" si="34"/>
        <v>437053352.35184741</v>
      </c>
      <c r="D79" s="333">
        <f t="shared" si="35"/>
        <v>17482134.094073895</v>
      </c>
      <c r="E79" s="333">
        <f t="shared" si="29"/>
        <v>688359029.95415962</v>
      </c>
      <c r="F79" s="1335">
        <f>1+Assumptions!$C$6+Assumptions!$C$10</f>
        <v>1.0449999999999999</v>
      </c>
      <c r="G79" s="347">
        <f t="shared" si="30"/>
        <v>194.80646776642138</v>
      </c>
      <c r="H79" s="347">
        <f t="shared" si="36"/>
        <v>3405632791.8854623</v>
      </c>
      <c r="J79" s="327"/>
      <c r="K79" s="327"/>
      <c r="L79" s="347">
        <f t="shared" si="31"/>
        <v>417.44243092804572</v>
      </c>
      <c r="M79" s="347">
        <f t="shared" si="37"/>
        <v>7297784554.0402756</v>
      </c>
      <c r="O79" s="327"/>
      <c r="P79" s="327"/>
    </row>
    <row r="80" spans="1:17" x14ac:dyDescent="0.35">
      <c r="A80">
        <v>2064</v>
      </c>
      <c r="B80">
        <v>40</v>
      </c>
      <c r="C80" s="333">
        <f t="shared" si="34"/>
        <v>409737517.82985693</v>
      </c>
      <c r="D80" s="333">
        <f t="shared" si="35"/>
        <v>16389500.713194277</v>
      </c>
      <c r="E80" s="333">
        <f t="shared" si="29"/>
        <v>704748530.66735387</v>
      </c>
      <c r="F80" s="1335">
        <f>1+Assumptions!$C$6+Assumptions!$C$10</f>
        <v>1.0449999999999999</v>
      </c>
      <c r="G80" s="347">
        <f t="shared" si="30"/>
        <v>203.57275881591033</v>
      </c>
      <c r="H80" s="347">
        <f t="shared" si="36"/>
        <v>3336455875.8002892</v>
      </c>
      <c r="J80" s="327"/>
      <c r="K80" s="327"/>
      <c r="L80" s="347">
        <f t="shared" si="31"/>
        <v>436.22734031980775</v>
      </c>
      <c r="M80" s="347">
        <f t="shared" si="37"/>
        <v>7149548305.2863321</v>
      </c>
      <c r="O80" s="327"/>
      <c r="P80" s="327"/>
      <c r="Q80" s="327"/>
    </row>
    <row r="81" spans="1:49" x14ac:dyDescent="0.35">
      <c r="A81">
        <v>2065</v>
      </c>
      <c r="B81">
        <v>41</v>
      </c>
      <c r="C81" s="333">
        <f t="shared" si="34"/>
        <v>382421683.30786645</v>
      </c>
      <c r="D81" s="333">
        <f t="shared" si="35"/>
        <v>15296867.332314659</v>
      </c>
      <c r="E81" s="333">
        <f t="shared" si="29"/>
        <v>720045397.99966848</v>
      </c>
      <c r="F81" s="1335">
        <f>1+Assumptions!$C$6+Assumptions!$C$10</f>
        <v>1.0449999999999999</v>
      </c>
      <c r="G81" s="347">
        <f t="shared" si="30"/>
        <v>212.73353296262627</v>
      </c>
      <c r="H81" s="347">
        <f t="shared" si="36"/>
        <v>3254156630.8638816</v>
      </c>
      <c r="L81" s="347">
        <f t="shared" si="31"/>
        <v>455.85757063419908</v>
      </c>
      <c r="M81" s="347">
        <f t="shared" si="37"/>
        <v>6973192780.4226017</v>
      </c>
      <c r="AS81" s="347"/>
      <c r="AT81" s="347"/>
      <c r="AU81" s="347"/>
      <c r="AV81" s="347"/>
      <c r="AW81" s="347"/>
    </row>
    <row r="82" spans="1:49" x14ac:dyDescent="0.35">
      <c r="A82">
        <v>2066</v>
      </c>
      <c r="B82">
        <v>42</v>
      </c>
      <c r="C82" s="333">
        <f t="shared" si="34"/>
        <v>355105848.78587598</v>
      </c>
      <c r="D82" s="333">
        <f t="shared" si="35"/>
        <v>14204233.951435039</v>
      </c>
      <c r="E82" s="333">
        <f t="shared" si="29"/>
        <v>734249631.95110357</v>
      </c>
      <c r="F82" s="1335">
        <f>1+Assumptions!$C$6+Assumptions!$C$10</f>
        <v>1.0449999999999999</v>
      </c>
      <c r="G82" s="347">
        <f t="shared" si="30"/>
        <v>222.30654194594445</v>
      </c>
      <c r="H82" s="347">
        <f t="shared" si="36"/>
        <v>3157694130.7347016</v>
      </c>
      <c r="J82" s="327"/>
      <c r="K82" s="327"/>
      <c r="L82" s="347">
        <f t="shared" si="31"/>
        <v>476.37116131273802</v>
      </c>
      <c r="M82" s="347">
        <f t="shared" si="37"/>
        <v>6766487423.0029316</v>
      </c>
      <c r="O82" s="327"/>
      <c r="P82" s="327"/>
      <c r="Q82" s="327"/>
    </row>
    <row r="83" spans="1:49" x14ac:dyDescent="0.35">
      <c r="A83">
        <v>2067</v>
      </c>
      <c r="B83">
        <v>43</v>
      </c>
      <c r="C83" s="333">
        <f t="shared" si="34"/>
        <v>327790014.2638855</v>
      </c>
      <c r="D83" s="333">
        <f t="shared" si="35"/>
        <v>13111600.570555421</v>
      </c>
      <c r="E83" s="333">
        <f t="shared" si="29"/>
        <v>747361232.52165902</v>
      </c>
      <c r="F83" s="1335">
        <f>1+Assumptions!$C$6+Assumptions!$C$10</f>
        <v>1.0449999999999999</v>
      </c>
      <c r="G83" s="347">
        <f t="shared" si="30"/>
        <v>232.31033633351194</v>
      </c>
      <c r="H83" s="347">
        <f t="shared" si="36"/>
        <v>3045960338.4163966</v>
      </c>
      <c r="J83" s="327"/>
      <c r="K83" s="327"/>
      <c r="L83" s="347">
        <f t="shared" si="31"/>
        <v>497.8078635718112</v>
      </c>
      <c r="M83" s="347">
        <f t="shared" si="37"/>
        <v>6527057868.0351343</v>
      </c>
      <c r="O83" s="327"/>
      <c r="P83" s="327"/>
      <c r="Q83" s="327"/>
    </row>
    <row r="84" spans="1:49" x14ac:dyDescent="0.35">
      <c r="A84">
        <v>2068</v>
      </c>
      <c r="B84">
        <v>44</v>
      </c>
      <c r="C84" s="333">
        <f t="shared" si="34"/>
        <v>300474179.74189502</v>
      </c>
      <c r="D84" s="333">
        <f t="shared" si="35"/>
        <v>12018967.189675801</v>
      </c>
      <c r="E84" s="333">
        <f t="shared" si="29"/>
        <v>759380199.71133482</v>
      </c>
      <c r="F84" s="1335">
        <f>1+Assumptions!$C$6+Assumptions!$C$10</f>
        <v>1.0449999999999999</v>
      </c>
      <c r="G84" s="347">
        <f t="shared" si="30"/>
        <v>242.76430146851996</v>
      </c>
      <c r="H84" s="347">
        <f t="shared" si="36"/>
        <v>2917776174.174706</v>
      </c>
      <c r="L84" s="347">
        <f t="shared" si="31"/>
        <v>520.20921743254269</v>
      </c>
      <c r="M84" s="347">
        <f t="shared" si="37"/>
        <v>6252377516.0886555</v>
      </c>
    </row>
    <row r="85" spans="1:49" x14ac:dyDescent="0.35">
      <c r="A85">
        <v>2069</v>
      </c>
      <c r="B85">
        <v>45</v>
      </c>
      <c r="C85" s="333">
        <f t="shared" si="34"/>
        <v>273158345.21990454</v>
      </c>
      <c r="D85" s="333">
        <f t="shared" si="35"/>
        <v>10926333.808796182</v>
      </c>
      <c r="E85" s="333">
        <f t="shared" si="29"/>
        <v>770306533.52013099</v>
      </c>
      <c r="F85" s="1335">
        <f>1+Assumptions!$C$6+Assumptions!$C$10</f>
        <v>1.0449999999999999</v>
      </c>
      <c r="G85" s="347">
        <f t="shared" si="30"/>
        <v>253.68869503460334</v>
      </c>
      <c r="H85" s="347">
        <f t="shared" si="36"/>
        <v>2771887365.4659705</v>
      </c>
      <c r="J85" s="347"/>
      <c r="K85" s="347"/>
      <c r="L85" s="347">
        <f t="shared" si="31"/>
        <v>543.61863221700708</v>
      </c>
      <c r="M85" s="347">
        <f t="shared" si="37"/>
        <v>5939758640.2842216</v>
      </c>
      <c r="O85" s="347"/>
      <c r="P85" s="347"/>
      <c r="Q85" s="347"/>
      <c r="R85" s="347"/>
      <c r="S85" s="347"/>
      <c r="T85" s="347"/>
      <c r="U85" s="347"/>
      <c r="V85" s="347"/>
      <c r="W85" s="347"/>
      <c r="X85" s="347"/>
      <c r="Y85" s="347"/>
      <c r="Z85" s="347"/>
      <c r="AA85" s="347"/>
      <c r="AB85" s="347"/>
      <c r="AC85" s="347"/>
      <c r="AD85" s="347"/>
      <c r="AE85" s="347"/>
      <c r="AF85" s="347"/>
      <c r="AG85" s="347"/>
      <c r="AH85" s="347"/>
      <c r="AI85" s="347"/>
      <c r="AJ85" s="347"/>
      <c r="AK85" s="347"/>
      <c r="AL85" s="347"/>
      <c r="AM85" s="347"/>
      <c r="AN85" s="347"/>
    </row>
    <row r="86" spans="1:49" x14ac:dyDescent="0.35">
      <c r="A86">
        <v>2070</v>
      </c>
      <c r="B86">
        <v>46</v>
      </c>
      <c r="C86" s="333">
        <f t="shared" si="34"/>
        <v>245842510.69791409</v>
      </c>
      <c r="D86" s="333">
        <f t="shared" si="35"/>
        <v>9833700.427916564</v>
      </c>
      <c r="E86" s="333">
        <f t="shared" si="29"/>
        <v>780140233.94804752</v>
      </c>
      <c r="F86" s="1335">
        <f>1+Assumptions!$C$6+Assumptions!$C$10</f>
        <v>1.0449999999999999</v>
      </c>
      <c r="G86" s="347">
        <f t="shared" si="30"/>
        <v>265.10468631116049</v>
      </c>
      <c r="H86" s="347">
        <f t="shared" si="36"/>
        <v>2606960067.2207456</v>
      </c>
      <c r="J86" s="327"/>
      <c r="K86" s="327"/>
      <c r="L86" s="347">
        <f t="shared" si="31"/>
        <v>568.08147066677236</v>
      </c>
      <c r="M86" s="347">
        <f t="shared" si="37"/>
        <v>5586343001.1873102</v>
      </c>
      <c r="O86" s="327"/>
      <c r="P86" s="327"/>
      <c r="Q86" s="327"/>
    </row>
    <row r="87" spans="1:49" x14ac:dyDescent="0.35">
      <c r="A87">
        <v>2071</v>
      </c>
      <c r="B87">
        <v>47</v>
      </c>
      <c r="C87" s="333">
        <f t="shared" si="34"/>
        <v>218526676.17592365</v>
      </c>
      <c r="D87" s="333">
        <f t="shared" si="35"/>
        <v>8741067.0470369458</v>
      </c>
      <c r="E87" s="333">
        <f t="shared" si="29"/>
        <v>788881300.99508452</v>
      </c>
      <c r="F87" s="1335">
        <f>1+Assumptions!$C$6+Assumptions!$C$10</f>
        <v>1.0449999999999999</v>
      </c>
      <c r="G87" s="347">
        <f t="shared" si="30"/>
        <v>277.03439719516268</v>
      </c>
      <c r="H87" s="347">
        <f t="shared" si="36"/>
        <v>2421576240.2183809</v>
      </c>
      <c r="J87" s="327"/>
      <c r="K87" s="327"/>
      <c r="L87" s="347">
        <f t="shared" si="31"/>
        <v>593.64513684677706</v>
      </c>
      <c r="M87" s="347">
        <f t="shared" si="37"/>
        <v>5189091943.3251009</v>
      </c>
      <c r="O87" s="327"/>
      <c r="P87" s="327"/>
      <c r="Q87" s="327"/>
    </row>
    <row r="88" spans="1:49" x14ac:dyDescent="0.35">
      <c r="A88">
        <v>2072</v>
      </c>
      <c r="B88">
        <v>48</v>
      </c>
      <c r="C88" s="333">
        <f t="shared" si="34"/>
        <v>191210841.6539332</v>
      </c>
      <c r="D88" s="333">
        <f t="shared" si="35"/>
        <v>7648433.6661573276</v>
      </c>
      <c r="E88" s="333">
        <f t="shared" si="29"/>
        <v>796529734.66124189</v>
      </c>
      <c r="F88" s="1335">
        <f>1+Assumptions!$C$6+Assumptions!$C$10</f>
        <v>1.0449999999999999</v>
      </c>
      <c r="G88" s="347">
        <f t="shared" si="30"/>
        <v>289.50094506894499</v>
      </c>
      <c r="H88" s="347">
        <f t="shared" si="36"/>
        <v>2214228774.649682</v>
      </c>
      <c r="J88" s="327"/>
      <c r="K88" s="327"/>
      <c r="L88" s="347">
        <f t="shared" si="31"/>
        <v>620.35916800488201</v>
      </c>
      <c r="M88" s="347">
        <f t="shared" si="37"/>
        <v>4744775945.6778889</v>
      </c>
      <c r="O88" s="327"/>
      <c r="P88" s="327"/>
      <c r="Q88" s="327"/>
    </row>
    <row r="89" spans="1:49" x14ac:dyDescent="0.35">
      <c r="A89">
        <v>2073</v>
      </c>
      <c r="B89">
        <v>49</v>
      </c>
      <c r="C89" s="333">
        <f t="shared" si="34"/>
        <v>163895007.13194275</v>
      </c>
      <c r="D89" s="333">
        <f t="shared" si="35"/>
        <v>6555800.2852777103</v>
      </c>
      <c r="E89" s="333">
        <f t="shared" si="29"/>
        <v>803085534.94651961</v>
      </c>
      <c r="F89" s="1335">
        <f>1+Assumptions!$C$6+Assumptions!$C$10</f>
        <v>1.0449999999999999</v>
      </c>
      <c r="G89" s="347">
        <f t="shared" si="30"/>
        <v>302.5284875970475</v>
      </c>
      <c r="H89" s="347">
        <f t="shared" si="36"/>
        <v>1983316345.2933583</v>
      </c>
      <c r="J89" s="327"/>
      <c r="K89" s="327"/>
      <c r="L89" s="347">
        <f t="shared" si="31"/>
        <v>648.27533056510163</v>
      </c>
      <c r="M89" s="347">
        <f t="shared" si="37"/>
        <v>4249963597.0571952</v>
      </c>
      <c r="O89" s="327"/>
      <c r="P89" s="327"/>
      <c r="Q89" s="327"/>
    </row>
    <row r="90" spans="1:49" x14ac:dyDescent="0.35">
      <c r="A90">
        <v>2074</v>
      </c>
      <c r="B90">
        <v>50</v>
      </c>
      <c r="C90" s="333">
        <f t="shared" si="34"/>
        <v>136579172.6099523</v>
      </c>
      <c r="D90" s="333">
        <f t="shared" si="35"/>
        <v>5463166.9043980921</v>
      </c>
      <c r="E90" s="333">
        <f t="shared" si="29"/>
        <v>808548701.8509177</v>
      </c>
      <c r="F90" s="1335">
        <f>1+Assumptions!$C$6+Assumptions!$C$10</f>
        <v>1.0449999999999999</v>
      </c>
      <c r="G90" s="347">
        <f t="shared" si="30"/>
        <v>316.1422695389146</v>
      </c>
      <c r="H90" s="347">
        <f t="shared" si="36"/>
        <v>1727137984.0262992</v>
      </c>
      <c r="J90" s="327"/>
      <c r="K90" s="327"/>
      <c r="L90" s="347">
        <f t="shared" si="31"/>
        <v>677.44772044053116</v>
      </c>
      <c r="M90" s="347">
        <f t="shared" si="37"/>
        <v>3701009965.7706409</v>
      </c>
      <c r="O90" s="327"/>
      <c r="P90" s="327"/>
      <c r="Q90" s="327"/>
    </row>
    <row r="91" spans="1:49" x14ac:dyDescent="0.35">
      <c r="A91">
        <v>2075</v>
      </c>
      <c r="B91">
        <v>51</v>
      </c>
      <c r="C91" s="333">
        <f t="shared" si="34"/>
        <v>109263338.08796185</v>
      </c>
      <c r="D91" s="333">
        <f t="shared" si="35"/>
        <v>4370533.5235184738</v>
      </c>
      <c r="E91" s="333">
        <f t="shared" si="29"/>
        <v>812919235.37443614</v>
      </c>
      <c r="F91" s="1335">
        <f>1+Assumptions!$C$6+Assumptions!$C$10</f>
        <v>1.0449999999999999</v>
      </c>
      <c r="G91" s="347">
        <f t="shared" si="30"/>
        <v>330.36867166816575</v>
      </c>
      <c r="H91" s="347">
        <f t="shared" si="36"/>
        <v>1443887354.6459863</v>
      </c>
      <c r="J91" s="327"/>
      <c r="K91" s="327"/>
      <c r="L91" s="347">
        <f t="shared" si="31"/>
        <v>707.93286786035503</v>
      </c>
      <c r="M91" s="347">
        <f t="shared" si="37"/>
        <v>3094044331.3842554</v>
      </c>
      <c r="O91" s="327"/>
      <c r="P91" s="327"/>
      <c r="Q91" s="327"/>
    </row>
    <row r="92" spans="1:49" x14ac:dyDescent="0.35">
      <c r="A92">
        <v>2076</v>
      </c>
      <c r="B92">
        <v>52</v>
      </c>
      <c r="C92" s="333">
        <f t="shared" si="34"/>
        <v>81947503.565971404</v>
      </c>
      <c r="D92" s="333">
        <f t="shared" si="35"/>
        <v>3277900.1426388561</v>
      </c>
      <c r="E92" s="333">
        <f t="shared" si="29"/>
        <v>816197135.51707494</v>
      </c>
      <c r="F92" s="1335">
        <f>1+Assumptions!$C$6+Assumptions!$C$10</f>
        <v>1.0449999999999999</v>
      </c>
      <c r="G92" s="347">
        <f t="shared" si="30"/>
        <v>345.2352618932332</v>
      </c>
      <c r="H92" s="347">
        <f t="shared" si="36"/>
        <v>1131646714.2037919</v>
      </c>
      <c r="J92" s="327"/>
      <c r="K92" s="327"/>
      <c r="L92" s="347">
        <f t="shared" si="31"/>
        <v>739.78984691407095</v>
      </c>
      <c r="M92" s="347">
        <f t="shared" si="37"/>
        <v>2424957244.7224107</v>
      </c>
      <c r="O92" s="327"/>
      <c r="P92" s="327"/>
      <c r="Q92" s="327"/>
    </row>
    <row r="93" spans="1:49" x14ac:dyDescent="0.35">
      <c r="A93">
        <v>2077</v>
      </c>
      <c r="B93">
        <v>53</v>
      </c>
      <c r="C93" s="333">
        <f t="shared" si="34"/>
        <v>54631669.043980956</v>
      </c>
      <c r="D93" s="333">
        <f t="shared" si="35"/>
        <v>2185266.7617592383</v>
      </c>
      <c r="E93" s="333">
        <f t="shared" si="29"/>
        <v>818382402.27883422</v>
      </c>
      <c r="F93" s="1335">
        <f>1+Assumptions!$C$6+Assumptions!$C$10</f>
        <v>1.0449999999999999</v>
      </c>
      <c r="G93" s="347">
        <f t="shared" si="30"/>
        <v>360.77084867842865</v>
      </c>
      <c r="H93" s="347">
        <f t="shared" si="36"/>
        <v>788380544.22864199</v>
      </c>
      <c r="J93" s="327"/>
      <c r="K93" s="327"/>
      <c r="L93" s="347">
        <f t="shared" si="31"/>
        <v>773.08039002520411</v>
      </c>
      <c r="M93" s="347">
        <f t="shared" si="37"/>
        <v>1689386880.4899468</v>
      </c>
      <c r="O93" s="327"/>
      <c r="P93" s="327"/>
      <c r="Q93" s="327"/>
    </row>
    <row r="94" spans="1:49" x14ac:dyDescent="0.35">
      <c r="A94">
        <v>2078</v>
      </c>
      <c r="B94">
        <v>54</v>
      </c>
      <c r="C94" s="333">
        <f>C93-$C$41</f>
        <v>27315834.521990504</v>
      </c>
      <c r="D94" s="333">
        <f t="shared" si="35"/>
        <v>1092633.3808796201</v>
      </c>
      <c r="E94" s="333">
        <f>E93+D94</f>
        <v>819475035.65971386</v>
      </c>
      <c r="F94" s="1335">
        <f>1+Assumptions!$C$6+Assumptions!$C$10</f>
        <v>1.0449999999999999</v>
      </c>
      <c r="G94" s="347">
        <f t="shared" si="30"/>
        <v>377.0055368689579</v>
      </c>
      <c r="H94" s="347">
        <f t="shared" si="36"/>
        <v>411928834.35946572</v>
      </c>
      <c r="J94" s="327"/>
      <c r="K94" s="327"/>
      <c r="L94" s="347">
        <f t="shared" si="31"/>
        <v>807.86900757633828</v>
      </c>
      <c r="M94" s="347">
        <f t="shared" si="37"/>
        <v>882704645.05599797</v>
      </c>
      <c r="O94" s="327"/>
      <c r="P94" s="327"/>
      <c r="Q94" s="327"/>
    </row>
  </sheetData>
  <mergeCells count="1">
    <mergeCell ref="D1:E1"/>
  </mergeCells>
  <hyperlinks>
    <hyperlink ref="S50" r:id="rId1" display="https://www.cleanenergyregulator.gov.au/NGER/The-Safeguard-Mechanism/The-Safeguard-Mechanism-for-financial-years-commencing-on-or-after-1-July-2023" xr:uid="{F4166EB5-EAE8-469A-AA9D-55D3A2550E27}"/>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7030A0"/>
  </sheetPr>
  <dimension ref="B1:AQ70"/>
  <sheetViews>
    <sheetView topLeftCell="A33" zoomScale="50" zoomScaleNormal="50" workbookViewId="0">
      <pane xSplit="2" topLeftCell="C1" activePane="topRight" state="frozen"/>
      <selection activeCell="G4" sqref="G4"/>
      <selection pane="topRight" activeCell="F61" sqref="F61"/>
    </sheetView>
  </sheetViews>
  <sheetFormatPr defaultColWidth="9" defaultRowHeight="14.5" x14ac:dyDescent="0.35"/>
  <cols>
    <col min="1" max="1" width="9" style="898"/>
    <col min="2" max="2" width="8.36328125" style="332" customWidth="1"/>
    <col min="3" max="3" width="183.54296875" customWidth="1"/>
    <col min="4" max="4" width="20" bestFit="1" customWidth="1"/>
    <col min="5" max="5" width="9.81640625" customWidth="1"/>
    <col min="6" max="6" width="18" bestFit="1" customWidth="1"/>
    <col min="7" max="7" width="9.81640625" bestFit="1" customWidth="1"/>
    <col min="8" max="8" width="26.7265625" bestFit="1" customWidth="1"/>
    <col min="9" max="9" width="26.1796875" bestFit="1" customWidth="1"/>
    <col min="10" max="10" width="5.7265625" bestFit="1" customWidth="1"/>
    <col min="11" max="11" width="7.453125" customWidth="1"/>
    <col min="12" max="12" width="20.453125" bestFit="1" customWidth="1"/>
    <col min="13" max="14" width="20.7265625" bestFit="1" customWidth="1"/>
    <col min="15" max="16" width="18" bestFit="1" customWidth="1"/>
    <col min="17" max="17" width="17.7265625" bestFit="1" customWidth="1"/>
    <col min="18" max="30" width="18" bestFit="1" customWidth="1"/>
    <col min="31" max="41" width="15.54296875" bestFit="1" customWidth="1"/>
    <col min="42" max="42" width="16.453125" style="898" bestFit="1" customWidth="1"/>
    <col min="43" max="43" width="13.1796875" style="898" bestFit="1" customWidth="1"/>
    <col min="44" max="16384" width="9" style="898"/>
  </cols>
  <sheetData>
    <row r="1" spans="2:42" x14ac:dyDescent="0.35">
      <c r="B1" s="902"/>
      <c r="C1" s="898"/>
      <c r="D1" s="898"/>
      <c r="E1" s="898"/>
      <c r="F1" s="898"/>
      <c r="G1" s="898"/>
      <c r="H1" s="898"/>
      <c r="I1" s="898"/>
      <c r="J1" s="898"/>
      <c r="K1" s="898"/>
      <c r="L1" s="898"/>
      <c r="M1" s="898"/>
      <c r="N1" s="898"/>
      <c r="O1" s="898"/>
      <c r="P1" s="898"/>
      <c r="Q1" s="898"/>
      <c r="R1" s="898"/>
      <c r="S1" s="898"/>
      <c r="T1" s="898"/>
      <c r="U1" s="898"/>
      <c r="V1" s="898"/>
      <c r="W1" s="898"/>
      <c r="X1" s="898"/>
      <c r="Y1" s="898"/>
      <c r="Z1" s="898"/>
      <c r="AA1" s="898"/>
      <c r="AB1" s="898"/>
      <c r="AC1" s="898"/>
      <c r="AD1" s="898"/>
      <c r="AE1" s="898"/>
      <c r="AF1" s="898"/>
      <c r="AG1" s="898"/>
      <c r="AH1" s="898"/>
      <c r="AI1" s="898"/>
      <c r="AJ1" s="898"/>
      <c r="AK1" s="898"/>
      <c r="AL1" s="898"/>
      <c r="AM1" s="898"/>
      <c r="AN1" s="898"/>
      <c r="AO1" s="898"/>
    </row>
    <row r="2" spans="2:42" x14ac:dyDescent="0.35">
      <c r="D2" s="67"/>
      <c r="E2" s="67"/>
      <c r="F2" s="67"/>
      <c r="G2" s="67"/>
      <c r="H2" s="67"/>
      <c r="I2" s="67"/>
      <c r="J2" s="805"/>
      <c r="K2" s="805"/>
      <c r="L2" s="806">
        <v>2025</v>
      </c>
      <c r="M2" s="806">
        <v>2026</v>
      </c>
      <c r="N2" s="806">
        <v>2027</v>
      </c>
      <c r="O2" s="806">
        <v>2028</v>
      </c>
      <c r="P2" s="806">
        <v>2029</v>
      </c>
      <c r="Q2" s="806">
        <v>2030</v>
      </c>
      <c r="R2" s="806">
        <v>2031</v>
      </c>
      <c r="S2" s="806">
        <v>2032</v>
      </c>
      <c r="T2" s="806">
        <v>2033</v>
      </c>
      <c r="U2" s="806">
        <v>2034</v>
      </c>
      <c r="V2" s="806">
        <v>2035</v>
      </c>
      <c r="W2" s="806">
        <v>2036</v>
      </c>
      <c r="X2" s="806">
        <v>2037</v>
      </c>
      <c r="Y2" s="806">
        <v>2038</v>
      </c>
      <c r="Z2" s="806">
        <v>2039</v>
      </c>
      <c r="AA2" s="806">
        <v>2040</v>
      </c>
      <c r="AB2" s="806">
        <v>2041</v>
      </c>
      <c r="AC2" s="806">
        <v>2042</v>
      </c>
      <c r="AD2" s="806">
        <v>2043</v>
      </c>
      <c r="AE2" s="806">
        <v>2044</v>
      </c>
      <c r="AF2" s="806">
        <v>2045</v>
      </c>
      <c r="AG2" s="806">
        <v>2046</v>
      </c>
      <c r="AH2" s="806">
        <v>2047</v>
      </c>
      <c r="AI2" s="806">
        <v>2048</v>
      </c>
      <c r="AJ2" s="806">
        <v>2049</v>
      </c>
      <c r="AK2" s="806">
        <v>2050</v>
      </c>
      <c r="AL2" s="806">
        <v>2051</v>
      </c>
      <c r="AM2" s="806">
        <v>2052</v>
      </c>
      <c r="AN2" s="806">
        <v>2053</v>
      </c>
      <c r="AO2" s="806">
        <v>2054</v>
      </c>
      <c r="AP2" s="901"/>
    </row>
    <row r="3" spans="2:42" x14ac:dyDescent="0.35">
      <c r="B3" s="903" t="s">
        <v>630</v>
      </c>
      <c r="C3" s="847" t="s">
        <v>1155</v>
      </c>
      <c r="D3" s="904" t="s">
        <v>938</v>
      </c>
      <c r="E3" s="747" t="s">
        <v>1</v>
      </c>
      <c r="F3" s="747" t="s">
        <v>2</v>
      </c>
      <c r="G3" s="747" t="s">
        <v>117</v>
      </c>
      <c r="H3" s="904" t="s">
        <v>118</v>
      </c>
      <c r="I3" s="904" t="s">
        <v>974</v>
      </c>
      <c r="J3" s="905"/>
      <c r="K3" s="806"/>
      <c r="L3" s="1332">
        <f>1+Assumptions!$C$6</f>
        <v>1.0249999999999999</v>
      </c>
      <c r="M3" s="1332">
        <f>1+Assumptions!$C$6</f>
        <v>1.0249999999999999</v>
      </c>
      <c r="N3" s="1332">
        <f>1+Assumptions!$C$6</f>
        <v>1.0249999999999999</v>
      </c>
      <c r="O3" s="1332">
        <f>1+Assumptions!$C$6</f>
        <v>1.0249999999999999</v>
      </c>
      <c r="P3" s="1332">
        <f>1+Assumptions!$C$6</f>
        <v>1.0249999999999999</v>
      </c>
      <c r="Q3" s="1332">
        <f>1+Assumptions!$C$6</f>
        <v>1.0249999999999999</v>
      </c>
      <c r="R3" s="1332">
        <f>1+Assumptions!$C$6</f>
        <v>1.0249999999999999</v>
      </c>
      <c r="S3" s="1332">
        <f>1+Assumptions!$C$6</f>
        <v>1.0249999999999999</v>
      </c>
      <c r="T3" s="1332">
        <f>1+Assumptions!$C$6</f>
        <v>1.0249999999999999</v>
      </c>
      <c r="U3" s="1332">
        <f>1+Assumptions!$C$6</f>
        <v>1.0249999999999999</v>
      </c>
      <c r="V3" s="1332">
        <f>1+Assumptions!$C$6</f>
        <v>1.0249999999999999</v>
      </c>
      <c r="W3" s="1332">
        <f>1+Assumptions!$C$6</f>
        <v>1.0249999999999999</v>
      </c>
      <c r="X3" s="1332">
        <f>1+Assumptions!$C$6</f>
        <v>1.0249999999999999</v>
      </c>
      <c r="Y3" s="1332">
        <f>1+Assumptions!$C$6</f>
        <v>1.0249999999999999</v>
      </c>
      <c r="Z3" s="1332">
        <f>1+Assumptions!$C$6</f>
        <v>1.0249999999999999</v>
      </c>
      <c r="AA3" s="1332">
        <f>1+Assumptions!$C$6</f>
        <v>1.0249999999999999</v>
      </c>
      <c r="AB3" s="1332">
        <f>1+Assumptions!$C$6</f>
        <v>1.0249999999999999</v>
      </c>
      <c r="AC3" s="1332">
        <f>1+Assumptions!$C$6</f>
        <v>1.0249999999999999</v>
      </c>
      <c r="AD3" s="1332">
        <f>1+Assumptions!$C$6</f>
        <v>1.0249999999999999</v>
      </c>
      <c r="AE3" s="1332">
        <f>1+Assumptions!$C$6</f>
        <v>1.0249999999999999</v>
      </c>
      <c r="AF3" s="1332">
        <f>1+Assumptions!$C$6</f>
        <v>1.0249999999999999</v>
      </c>
      <c r="AG3" s="1332">
        <f>1+Assumptions!$C$6</f>
        <v>1.0249999999999999</v>
      </c>
      <c r="AH3" s="1332">
        <f>1+Assumptions!$C$6</f>
        <v>1.0249999999999999</v>
      </c>
      <c r="AI3" s="1332">
        <f>1+Assumptions!$C$6</f>
        <v>1.0249999999999999</v>
      </c>
      <c r="AJ3" s="1332">
        <f>1+Assumptions!$C$6</f>
        <v>1.0249999999999999</v>
      </c>
      <c r="AK3" s="1332">
        <f>1+Assumptions!$C$6</f>
        <v>1.0249999999999999</v>
      </c>
      <c r="AL3" s="1332">
        <f>1+Assumptions!$C$6</f>
        <v>1.0249999999999999</v>
      </c>
      <c r="AM3" s="1332">
        <f>1+Assumptions!$C$6</f>
        <v>1.0249999999999999</v>
      </c>
      <c r="AN3" s="1332">
        <f>1+Assumptions!$C$6</f>
        <v>1.0249999999999999</v>
      </c>
      <c r="AO3" s="1332">
        <f>1+Assumptions!$C$6</f>
        <v>1.0249999999999999</v>
      </c>
      <c r="AP3" s="909"/>
    </row>
    <row r="4" spans="2:42" s="899" customFormat="1" x14ac:dyDescent="0.35">
      <c r="B4" s="914" t="s">
        <v>1198</v>
      </c>
      <c r="C4" s="864"/>
      <c r="D4" s="864"/>
      <c r="E4" s="864"/>
      <c r="F4" s="864"/>
      <c r="G4" s="864"/>
      <c r="H4" s="864"/>
      <c r="I4" s="864"/>
      <c r="J4" s="864"/>
      <c r="K4" s="864"/>
      <c r="L4" s="864"/>
      <c r="M4" s="864"/>
      <c r="N4" s="864"/>
      <c r="O4" s="864"/>
      <c r="P4" s="864"/>
      <c r="Q4" s="864"/>
      <c r="R4" s="915"/>
      <c r="S4" s="906"/>
      <c r="T4" s="906"/>
      <c r="U4" s="906"/>
      <c r="V4" s="906"/>
      <c r="W4" s="906"/>
      <c r="X4" s="906"/>
      <c r="Y4" s="906"/>
      <c r="Z4" s="906"/>
      <c r="AA4" s="906"/>
      <c r="AB4" s="906"/>
      <c r="AC4" s="906"/>
      <c r="AD4" s="906"/>
      <c r="AE4" s="906"/>
      <c r="AF4" s="906"/>
      <c r="AG4" s="906"/>
      <c r="AH4" s="906"/>
      <c r="AI4" s="906"/>
      <c r="AJ4" s="906"/>
      <c r="AK4" s="906"/>
      <c r="AL4" s="906"/>
      <c r="AM4" s="906"/>
      <c r="AN4" s="906"/>
      <c r="AO4" s="906"/>
      <c r="AP4" s="910"/>
    </row>
    <row r="5" spans="2:42" s="899" customFormat="1" x14ac:dyDescent="0.35">
      <c r="B5" s="1231" t="s">
        <v>1045</v>
      </c>
      <c r="C5" s="1230" t="s">
        <v>1262</v>
      </c>
      <c r="D5" s="787"/>
      <c r="E5" s="748"/>
      <c r="F5" s="755"/>
      <c r="G5" s="753"/>
      <c r="H5" s="787"/>
      <c r="I5" s="787"/>
      <c r="J5" s="787"/>
      <c r="K5" s="787"/>
      <c r="L5" s="787"/>
      <c r="M5" s="787"/>
      <c r="N5" s="787"/>
      <c r="O5" s="787"/>
      <c r="P5" s="787"/>
      <c r="Q5" s="787"/>
      <c r="R5" s="787"/>
      <c r="S5" s="787"/>
      <c r="T5" s="787"/>
      <c r="U5" s="787"/>
      <c r="V5" s="787"/>
      <c r="W5" s="787"/>
      <c r="X5" s="787"/>
      <c r="Y5" s="787"/>
      <c r="Z5" s="787"/>
      <c r="AA5" s="787"/>
      <c r="AB5" s="787"/>
      <c r="AC5" s="787"/>
      <c r="AD5" s="787"/>
      <c r="AE5" s="787"/>
      <c r="AF5" s="787"/>
      <c r="AG5" s="787"/>
      <c r="AH5" s="787"/>
      <c r="AI5" s="787"/>
      <c r="AJ5" s="787"/>
      <c r="AK5" s="787"/>
      <c r="AL5" s="787"/>
      <c r="AM5" s="787"/>
      <c r="AN5" s="787"/>
      <c r="AO5" s="787"/>
      <c r="AP5" s="911"/>
    </row>
    <row r="6" spans="2:42" s="899" customFormat="1" x14ac:dyDescent="0.35">
      <c r="B6" s="1073" t="s">
        <v>958</v>
      </c>
      <c r="C6" s="859" t="s">
        <v>1387</v>
      </c>
      <c r="D6" s="787">
        <f>Master!J11</f>
        <v>3800942000</v>
      </c>
      <c r="E6" s="748">
        <v>5</v>
      </c>
      <c r="F6" s="755">
        <f>D6/E6</f>
        <v>760188400</v>
      </c>
      <c r="G6" s="753">
        <v>2023</v>
      </c>
      <c r="H6" s="787">
        <f>NPV(Assumptions!$C$5, J6:AP6)</f>
        <v>3537912609.7262301</v>
      </c>
      <c r="I6" s="787">
        <f>H6/Assumptions!$C$4</f>
        <v>117930420.32420768</v>
      </c>
      <c r="J6" s="787"/>
      <c r="K6" s="907"/>
      <c r="L6" s="987">
        <f>$F6*L$3</f>
        <v>779193109.99999988</v>
      </c>
      <c r="M6" s="987">
        <f>L6*M$3</f>
        <v>798672937.74999976</v>
      </c>
      <c r="N6" s="987">
        <f>M6*N$3</f>
        <v>818639761.19374967</v>
      </c>
      <c r="O6" s="987">
        <f>N6*O$3</f>
        <v>839105755.22359335</v>
      </c>
      <c r="P6" s="987">
        <f>O6*P$3</f>
        <v>860083399.10418308</v>
      </c>
      <c r="Q6" s="787"/>
      <c r="R6" s="787"/>
      <c r="S6" s="787"/>
      <c r="T6" s="787"/>
      <c r="U6" s="787"/>
      <c r="V6" s="787"/>
      <c r="W6" s="787"/>
      <c r="X6" s="787"/>
      <c r="Y6" s="787"/>
      <c r="Z6" s="787"/>
      <c r="AA6" s="787"/>
      <c r="AB6" s="787"/>
      <c r="AC6" s="787"/>
      <c r="AD6" s="787"/>
      <c r="AE6" s="787"/>
      <c r="AF6" s="787"/>
      <c r="AG6" s="787"/>
      <c r="AH6" s="787"/>
      <c r="AI6" s="787"/>
      <c r="AJ6" s="787"/>
      <c r="AK6" s="787"/>
      <c r="AL6" s="787"/>
      <c r="AM6" s="787"/>
      <c r="AN6" s="787"/>
      <c r="AO6" s="787"/>
      <c r="AP6" s="911"/>
    </row>
    <row r="7" spans="2:42" s="899" customFormat="1" x14ac:dyDescent="0.35">
      <c r="B7" s="1073" t="s">
        <v>959</v>
      </c>
      <c r="C7" s="859" t="s">
        <v>1263</v>
      </c>
      <c r="D7" s="787">
        <f>Master!J12</f>
        <v>80125000</v>
      </c>
      <c r="E7" s="748">
        <v>10</v>
      </c>
      <c r="F7" s="755">
        <f>D7/E7</f>
        <v>8012500</v>
      </c>
      <c r="G7" s="753">
        <v>2023</v>
      </c>
      <c r="H7" s="787">
        <f>NPV(Assumptions!$C$5, J7:AP7)</f>
        <v>70347381.81966792</v>
      </c>
      <c r="I7" s="787">
        <f>H7/Assumptions!$C$4</f>
        <v>2344912.7273222641</v>
      </c>
      <c r="J7" s="787"/>
      <c r="K7" s="907"/>
      <c r="L7" s="987">
        <f>$F7*L$3</f>
        <v>8212812.4999999991</v>
      </c>
      <c r="M7" s="987">
        <f t="shared" ref="M7" si="0">L7*M$3</f>
        <v>8418132.8124999981</v>
      </c>
      <c r="N7" s="987">
        <f t="shared" ref="N7" si="1">M7*N$3</f>
        <v>8628586.1328124981</v>
      </c>
      <c r="O7" s="987">
        <f>N7*O$3</f>
        <v>8844300.7861328106</v>
      </c>
      <c r="P7" s="987">
        <f>O7*P$3</f>
        <v>9065408.3057861309</v>
      </c>
      <c r="Q7" s="987">
        <f>P7*Q$3</f>
        <v>9292043.5134307835</v>
      </c>
      <c r="R7" s="987">
        <f t="shared" ref="R7:U7" si="2">Q7*R$3</f>
        <v>9524344.6012665518</v>
      </c>
      <c r="S7" s="987">
        <f t="shared" si="2"/>
        <v>9762453.2162982151</v>
      </c>
      <c r="T7" s="987">
        <f t="shared" si="2"/>
        <v>10006514.546705669</v>
      </c>
      <c r="U7" s="987">
        <f t="shared" si="2"/>
        <v>10256677.41037331</v>
      </c>
      <c r="V7" s="908"/>
      <c r="W7" s="787"/>
      <c r="X7" s="787"/>
      <c r="Y7" s="787"/>
      <c r="Z7" s="787"/>
      <c r="AA7" s="787"/>
      <c r="AB7" s="787"/>
      <c r="AC7" s="787"/>
      <c r="AD7" s="787"/>
      <c r="AE7" s="787"/>
      <c r="AF7" s="787"/>
      <c r="AG7" s="787"/>
      <c r="AH7" s="787"/>
      <c r="AI7" s="787"/>
      <c r="AJ7" s="787"/>
      <c r="AK7" s="787"/>
      <c r="AL7" s="787"/>
      <c r="AM7" s="787"/>
      <c r="AN7" s="787"/>
      <c r="AO7" s="787"/>
      <c r="AP7" s="911"/>
    </row>
    <row r="8" spans="2:42" s="899" customFormat="1" x14ac:dyDescent="0.35">
      <c r="B8" s="1073" t="s">
        <v>960</v>
      </c>
      <c r="C8" s="859" t="s">
        <v>1264</v>
      </c>
      <c r="D8" s="787">
        <f>Master!J13</f>
        <v>300989000</v>
      </c>
      <c r="E8" s="748">
        <v>30</v>
      </c>
      <c r="F8" s="755">
        <f>D8/E8</f>
        <v>10032966.666666666</v>
      </c>
      <c r="G8" s="753">
        <v>2023</v>
      </c>
      <c r="H8" s="787">
        <f>NPV(Assumptions!$C$5, J8:AP8)</f>
        <v>211710413.07012606</v>
      </c>
      <c r="I8" s="787">
        <f>H8/Assumptions!$C$4</f>
        <v>7057013.7690042015</v>
      </c>
      <c r="J8" s="787"/>
      <c r="K8" s="907"/>
      <c r="L8" s="987">
        <f>$F8*L$3</f>
        <v>10283790.833333332</v>
      </c>
      <c r="M8" s="987">
        <f>L8*M$3</f>
        <v>10540885.604166664</v>
      </c>
      <c r="N8" s="987">
        <f t="shared" ref="N8:P8" si="3">M8*N$3</f>
        <v>10804407.744270829</v>
      </c>
      <c r="O8" s="987">
        <f t="shared" si="3"/>
        <v>11074517.937877599</v>
      </c>
      <c r="P8" s="987">
        <f t="shared" si="3"/>
        <v>11351380.886324538</v>
      </c>
      <c r="Q8" s="987">
        <f t="shared" ref="Q8:AO8" si="4">P8*Q$3</f>
        <v>11635165.40848265</v>
      </c>
      <c r="R8" s="987">
        <f t="shared" si="4"/>
        <v>11926044.543694716</v>
      </c>
      <c r="S8" s="987">
        <f t="shared" si="4"/>
        <v>12224195.657287084</v>
      </c>
      <c r="T8" s="987">
        <f t="shared" si="4"/>
        <v>12529800.548719259</v>
      </c>
      <c r="U8" s="987">
        <f t="shared" si="4"/>
        <v>12843045.56243724</v>
      </c>
      <c r="V8" s="987">
        <f t="shared" si="4"/>
        <v>13164121.701498169</v>
      </c>
      <c r="W8" s="987">
        <f t="shared" si="4"/>
        <v>13493224.744035622</v>
      </c>
      <c r="X8" s="987">
        <f t="shared" si="4"/>
        <v>13830555.362636512</v>
      </c>
      <c r="Y8" s="987">
        <f t="shared" si="4"/>
        <v>14176319.246702423</v>
      </c>
      <c r="Z8" s="987">
        <f t="shared" si="4"/>
        <v>14530727.227869982</v>
      </c>
      <c r="AA8" s="987">
        <f t="shared" si="4"/>
        <v>14893995.40856673</v>
      </c>
      <c r="AB8" s="987">
        <f t="shared" si="4"/>
        <v>15266345.293780897</v>
      </c>
      <c r="AC8" s="987">
        <f t="shared" si="4"/>
        <v>15648003.926125418</v>
      </c>
      <c r="AD8" s="987">
        <f t="shared" si="4"/>
        <v>16039204.024278553</v>
      </c>
      <c r="AE8" s="987">
        <f t="shared" si="4"/>
        <v>16440184.124885516</v>
      </c>
      <c r="AF8" s="987">
        <f t="shared" si="4"/>
        <v>16851188.728007652</v>
      </c>
      <c r="AG8" s="987">
        <f t="shared" si="4"/>
        <v>17272468.44620784</v>
      </c>
      <c r="AH8" s="987">
        <f t="shared" si="4"/>
        <v>17704280.157363035</v>
      </c>
      <c r="AI8" s="987">
        <f t="shared" si="4"/>
        <v>18146887.161297109</v>
      </c>
      <c r="AJ8" s="987">
        <f t="shared" si="4"/>
        <v>18600559.340329535</v>
      </c>
      <c r="AK8" s="987">
        <f t="shared" si="4"/>
        <v>19065573.323837772</v>
      </c>
      <c r="AL8" s="987">
        <f t="shared" si="4"/>
        <v>19542212.656933714</v>
      </c>
      <c r="AM8" s="987">
        <f t="shared" si="4"/>
        <v>20030767.973357055</v>
      </c>
      <c r="AN8" s="987">
        <f t="shared" si="4"/>
        <v>20531537.17269098</v>
      </c>
      <c r="AO8" s="987">
        <f t="shared" si="4"/>
        <v>21044825.602008253</v>
      </c>
      <c r="AP8" s="911"/>
    </row>
    <row r="9" spans="2:42" s="899" customFormat="1" x14ac:dyDescent="0.35">
      <c r="B9" s="1231" t="s">
        <v>1046</v>
      </c>
      <c r="C9" s="1230" t="s">
        <v>1156</v>
      </c>
      <c r="D9" s="787"/>
      <c r="E9" s="748"/>
      <c r="F9" s="755"/>
      <c r="G9" s="753"/>
      <c r="H9" s="787"/>
      <c r="I9" s="787"/>
      <c r="J9" s="787"/>
      <c r="K9" s="787"/>
      <c r="L9" s="787"/>
      <c r="M9" s="787"/>
      <c r="N9" s="787"/>
      <c r="O9" s="787"/>
      <c r="P9" s="787"/>
      <c r="Q9" s="787"/>
      <c r="R9" s="787"/>
      <c r="S9" s="787"/>
      <c r="T9" s="787"/>
      <c r="U9" s="787"/>
      <c r="V9" s="787"/>
      <c r="W9" s="787"/>
      <c r="X9" s="787"/>
      <c r="Y9" s="787"/>
      <c r="Z9" s="787"/>
      <c r="AA9" s="787"/>
      <c r="AB9" s="787"/>
      <c r="AC9" s="787"/>
      <c r="AD9" s="787"/>
      <c r="AE9" s="787"/>
      <c r="AF9" s="787"/>
      <c r="AG9" s="787"/>
      <c r="AH9" s="787"/>
      <c r="AI9" s="787"/>
      <c r="AJ9" s="787"/>
      <c r="AK9" s="787"/>
      <c r="AL9" s="787"/>
      <c r="AM9" s="787"/>
      <c r="AN9" s="787"/>
      <c r="AO9" s="787"/>
      <c r="AP9" s="911"/>
    </row>
    <row r="10" spans="2:42" s="899" customFormat="1" x14ac:dyDescent="0.35">
      <c r="B10" s="1073" t="s">
        <v>961</v>
      </c>
      <c r="C10" s="859" t="s">
        <v>1265</v>
      </c>
      <c r="D10" s="787">
        <f>Master!J15</f>
        <v>502160100</v>
      </c>
      <c r="E10" s="748">
        <v>10</v>
      </c>
      <c r="F10" s="755">
        <f>D10/E10</f>
        <v>50216010</v>
      </c>
      <c r="G10" s="753">
        <v>2023</v>
      </c>
      <c r="H10" s="787">
        <f>NPV(Assumptions!$C$5, J10:AP10)</f>
        <v>440881725.91953349</v>
      </c>
      <c r="I10" s="787">
        <f>H10/Assumptions!$C$4</f>
        <v>14696057.530651117</v>
      </c>
      <c r="J10" s="787"/>
      <c r="K10" s="907"/>
      <c r="L10" s="987">
        <f>$F10*L$3</f>
        <v>51471410.249999993</v>
      </c>
      <c r="M10" s="987">
        <f>L10*M$3</f>
        <v>52758195.506249987</v>
      </c>
      <c r="N10" s="987">
        <f t="shared" ref="N10:U10" si="5">M10*N$3</f>
        <v>54077150.393906228</v>
      </c>
      <c r="O10" s="987">
        <f t="shared" si="5"/>
        <v>55429079.153753877</v>
      </c>
      <c r="P10" s="987">
        <f t="shared" si="5"/>
        <v>56814806.132597722</v>
      </c>
      <c r="Q10" s="987">
        <f t="shared" si="5"/>
        <v>58235176.285912663</v>
      </c>
      <c r="R10" s="987">
        <f t="shared" si="5"/>
        <v>59691055.693060473</v>
      </c>
      <c r="S10" s="987">
        <f t="shared" si="5"/>
        <v>61183332.085386977</v>
      </c>
      <c r="T10" s="987">
        <f t="shared" si="5"/>
        <v>62712915.387521647</v>
      </c>
      <c r="U10" s="987">
        <f t="shared" si="5"/>
        <v>64280738.272209682</v>
      </c>
      <c r="V10" s="787"/>
      <c r="W10" s="787"/>
      <c r="X10" s="787"/>
      <c r="Y10" s="787"/>
      <c r="Z10" s="787"/>
      <c r="AA10" s="787"/>
      <c r="AB10" s="787"/>
      <c r="AC10" s="787"/>
      <c r="AD10" s="787"/>
      <c r="AE10" s="787"/>
      <c r="AF10" s="787"/>
      <c r="AG10" s="787"/>
      <c r="AH10" s="787"/>
      <c r="AI10" s="787"/>
      <c r="AJ10" s="787"/>
      <c r="AK10" s="787"/>
      <c r="AL10" s="787"/>
      <c r="AM10" s="787"/>
      <c r="AN10" s="787"/>
      <c r="AO10" s="787"/>
      <c r="AP10" s="911"/>
    </row>
    <row r="11" spans="2:42" s="899" customFormat="1" x14ac:dyDescent="0.35">
      <c r="B11" s="1073" t="s">
        <v>962</v>
      </c>
      <c r="C11" s="859" t="s">
        <v>1266</v>
      </c>
      <c r="D11" s="787">
        <f>Master!J16</f>
        <v>13455159900</v>
      </c>
      <c r="E11" s="748">
        <v>10</v>
      </c>
      <c r="F11" s="755">
        <f>D11/E11</f>
        <v>1345515990</v>
      </c>
      <c r="G11" s="753">
        <v>2023</v>
      </c>
      <c r="H11" s="787">
        <f>NPV(Assumptions!$C$5, J11:AP11)</f>
        <v>11813232710.514631</v>
      </c>
      <c r="I11" s="787">
        <f>H11/Assumptions!$C$4</f>
        <v>393774423.68382102</v>
      </c>
      <c r="J11" s="787"/>
      <c r="K11" s="907"/>
      <c r="L11" s="987">
        <f>$F11*L$3</f>
        <v>1379153889.7499998</v>
      </c>
      <c r="M11" s="987">
        <f>L11*M$3</f>
        <v>1413632736.9937496</v>
      </c>
      <c r="N11" s="987">
        <f>M11*N$3</f>
        <v>1448973555.4185932</v>
      </c>
      <c r="O11" s="987">
        <f t="shared" ref="O11:U11" si="6">N11*O$3</f>
        <v>1485197894.3040578</v>
      </c>
      <c r="P11" s="987">
        <f t="shared" si="6"/>
        <v>1522327841.6616592</v>
      </c>
      <c r="Q11" s="987">
        <f t="shared" si="6"/>
        <v>1560386037.7032006</v>
      </c>
      <c r="R11" s="987">
        <f t="shared" si="6"/>
        <v>1599395688.6457806</v>
      </c>
      <c r="S11" s="987">
        <f t="shared" si="6"/>
        <v>1639380580.8619249</v>
      </c>
      <c r="T11" s="987">
        <f t="shared" si="6"/>
        <v>1680365095.3834729</v>
      </c>
      <c r="U11" s="987">
        <f t="shared" si="6"/>
        <v>1722374222.7680595</v>
      </c>
      <c r="V11" s="787"/>
      <c r="W11" s="787"/>
      <c r="X11" s="787"/>
      <c r="Y11" s="787"/>
      <c r="Z11" s="787"/>
      <c r="AA11" s="787"/>
      <c r="AB11" s="787"/>
      <c r="AC11" s="787"/>
      <c r="AD11" s="787"/>
      <c r="AE11" s="787"/>
      <c r="AF11" s="787"/>
      <c r="AG11" s="787"/>
      <c r="AH11" s="787"/>
      <c r="AI11" s="787"/>
      <c r="AJ11" s="787"/>
      <c r="AK11" s="787"/>
      <c r="AL11" s="787"/>
      <c r="AM11" s="787"/>
      <c r="AN11" s="787"/>
      <c r="AO11" s="787"/>
      <c r="AP11" s="911"/>
    </row>
    <row r="12" spans="2:42" s="899" customFormat="1" x14ac:dyDescent="0.35">
      <c r="B12" s="1231" t="s">
        <v>1047</v>
      </c>
      <c r="C12" s="1230" t="s">
        <v>1267</v>
      </c>
      <c r="D12" s="787"/>
      <c r="E12" s="748"/>
      <c r="F12" s="755"/>
      <c r="G12" s="753"/>
      <c r="H12" s="787"/>
      <c r="I12" s="787"/>
      <c r="J12" s="787"/>
      <c r="K12" s="787"/>
      <c r="L12" s="787"/>
      <c r="M12" s="787"/>
      <c r="N12" s="787"/>
      <c r="O12" s="787"/>
      <c r="P12" s="787"/>
      <c r="Q12" s="787"/>
      <c r="R12" s="787"/>
      <c r="S12" s="787"/>
      <c r="T12" s="787"/>
      <c r="U12" s="787"/>
      <c r="V12" s="787"/>
      <c r="W12" s="787"/>
      <c r="X12" s="787"/>
      <c r="Y12" s="787"/>
      <c r="Z12" s="787"/>
      <c r="AA12" s="787"/>
      <c r="AB12" s="787"/>
      <c r="AC12" s="787"/>
      <c r="AD12" s="787"/>
      <c r="AE12" s="787"/>
      <c r="AF12" s="787"/>
      <c r="AG12" s="787"/>
      <c r="AH12" s="787"/>
      <c r="AI12" s="787"/>
      <c r="AJ12" s="787"/>
      <c r="AK12" s="787"/>
      <c r="AL12" s="787"/>
      <c r="AM12" s="787"/>
      <c r="AN12" s="787"/>
      <c r="AO12" s="787"/>
      <c r="AP12" s="911"/>
    </row>
    <row r="13" spans="2:42" s="899" customFormat="1" x14ac:dyDescent="0.35">
      <c r="B13" s="1073" t="s">
        <v>963</v>
      </c>
      <c r="C13" s="859" t="s">
        <v>1383</v>
      </c>
      <c r="D13" s="787">
        <f>Master!J18</f>
        <v>1509054592.302</v>
      </c>
      <c r="E13" s="748">
        <v>5</v>
      </c>
      <c r="F13" s="755">
        <f>D13/E13</f>
        <v>301810918.46039999</v>
      </c>
      <c r="G13" s="753">
        <v>2025</v>
      </c>
      <c r="H13" s="787">
        <f>NPV(Assumptions!$C$5, J13:AP13)</f>
        <v>1274037501.5761003</v>
      </c>
      <c r="I13" s="787">
        <f>H13/Assumptions!$C$4</f>
        <v>42467916.719203345</v>
      </c>
      <c r="J13" s="787"/>
      <c r="K13" s="907"/>
      <c r="L13" s="787">
        <v>0</v>
      </c>
      <c r="M13" s="787">
        <v>0</v>
      </c>
      <c r="N13" s="987">
        <f>$F13*N$3</f>
        <v>309356191.42190999</v>
      </c>
      <c r="O13" s="987">
        <f>N13*O$3</f>
        <v>317090096.20745772</v>
      </c>
      <c r="P13" s="987">
        <f>O13*P$3</f>
        <v>325017348.61264414</v>
      </c>
      <c r="Q13" s="987">
        <f>P13*Q$3</f>
        <v>333142782.32796019</v>
      </c>
      <c r="R13" s="987">
        <f>Q13*R$3</f>
        <v>341471351.88615918</v>
      </c>
      <c r="S13" s="753"/>
      <c r="T13" s="753"/>
      <c r="U13" s="753"/>
      <c r="V13" s="753"/>
      <c r="W13" s="753"/>
      <c r="X13" s="753"/>
      <c r="Y13" s="753"/>
      <c r="Z13" s="753"/>
      <c r="AA13" s="753"/>
      <c r="AB13" s="753"/>
      <c r="AC13" s="753"/>
      <c r="AD13" s="753"/>
      <c r="AE13" s="753"/>
      <c r="AF13" s="753"/>
      <c r="AG13" s="753"/>
      <c r="AH13" s="753"/>
      <c r="AI13" s="753"/>
      <c r="AJ13" s="753"/>
      <c r="AK13" s="753"/>
      <c r="AL13" s="753"/>
      <c r="AM13" s="753"/>
      <c r="AN13" s="753"/>
      <c r="AO13" s="753"/>
    </row>
    <row r="14" spans="2:42" s="899" customFormat="1" x14ac:dyDescent="0.35">
      <c r="B14" s="942"/>
      <c r="C14" s="751" t="s">
        <v>4</v>
      </c>
      <c r="D14" s="812"/>
      <c r="E14" s="942" t="s">
        <v>5</v>
      </c>
      <c r="F14" s="943"/>
      <c r="G14" s="751"/>
      <c r="H14" s="812">
        <f>NPV(Assumptions!$C$5, J14:AP14)</f>
        <v>1734812234.262629</v>
      </c>
      <c r="I14" s="812">
        <f>H14/Assumptions!$C$4</f>
        <v>57827074.475420967</v>
      </c>
      <c r="J14" s="751"/>
      <c r="K14" s="751"/>
      <c r="L14" s="812">
        <f>SUM(L4:L13)*Assumptions!$C$7</f>
        <v>222831501.33333331</v>
      </c>
      <c r="M14" s="812">
        <f>SUM(M4:M13)*Assumptions!$C$7</f>
        <v>228402288.86666662</v>
      </c>
      <c r="N14" s="812">
        <f>SUM(N4:N13)*Assumptions!$C$7</f>
        <v>265047965.23052421</v>
      </c>
      <c r="O14" s="812">
        <f>SUM(O4:O13)*Assumptions!$C$7</f>
        <v>271674164.3612873</v>
      </c>
      <c r="P14" s="812">
        <f>SUM(P4:P13)*Assumptions!$C$7</f>
        <v>278466018.47031945</v>
      </c>
      <c r="Q14" s="812">
        <f>SUM(Q4:Q13)*Assumptions!$C$7</f>
        <v>197269120.52389872</v>
      </c>
      <c r="R14" s="812">
        <f>SUM(R4:R13)*Assumptions!$C$7</f>
        <v>202200848.53699616</v>
      </c>
      <c r="S14" s="812">
        <f>SUM(S4:S13)*Assumptions!$C$7</f>
        <v>172255056.18208972</v>
      </c>
      <c r="T14" s="812">
        <f>SUM(T4:T13)*Assumptions!$C$7</f>
        <v>176561432.58664197</v>
      </c>
      <c r="U14" s="812">
        <f>SUM(U4:U13)*Assumptions!$C$7</f>
        <v>180975468.40130797</v>
      </c>
      <c r="V14" s="812">
        <f>SUM(V4:V13)*Assumptions!$C$7</f>
        <v>1316412.1701498171</v>
      </c>
      <c r="W14" s="812">
        <f>SUM(W4:W13)*Assumptions!$C$7</f>
        <v>1349322.4744035623</v>
      </c>
      <c r="X14" s="812">
        <f>SUM(X4:X13)*Assumptions!$C$7</f>
        <v>1383055.5362636512</v>
      </c>
      <c r="Y14" s="812">
        <f>SUM(Y4:Y13)*Assumptions!$C$7</f>
        <v>1417631.9246702425</v>
      </c>
      <c r="Z14" s="812">
        <f>SUM(Z4:Z13)*Assumptions!$C$7</f>
        <v>1453072.7227869984</v>
      </c>
      <c r="AA14" s="812">
        <f>SUM(AA4:AA13)*Assumptions!$C$7</f>
        <v>1489399.5408566731</v>
      </c>
      <c r="AB14" s="812">
        <f>SUM(AB4:AB13)*Assumptions!$C$7</f>
        <v>1526634.5293780898</v>
      </c>
      <c r="AC14" s="812">
        <f>SUM(AC4:AC13)*Assumptions!$C$7</f>
        <v>1564800.392612542</v>
      </c>
      <c r="AD14" s="812">
        <f>SUM(AD4:AD13)*Assumptions!$C$7</f>
        <v>1603920.4024278554</v>
      </c>
      <c r="AE14" s="812">
        <f>SUM(AE4:AE13)*Assumptions!$C$7</f>
        <v>1644018.4124885518</v>
      </c>
      <c r="AF14" s="812">
        <f>SUM(AF4:AF13)*Assumptions!$C$7</f>
        <v>1685118.8728007653</v>
      </c>
      <c r="AG14" s="812">
        <f>SUM(AG4:AG13)*Assumptions!$C$7</f>
        <v>1727246.844620784</v>
      </c>
      <c r="AH14" s="812">
        <f>SUM(AH4:AH13)*Assumptions!$C$7</f>
        <v>1770428.0157363035</v>
      </c>
      <c r="AI14" s="812">
        <f>SUM(AI4:AI13)*Assumptions!$C$7</f>
        <v>1814688.7161297109</v>
      </c>
      <c r="AJ14" s="812">
        <f>SUM(AJ4:AJ13)*Assumptions!$C$7</f>
        <v>1860055.9340329536</v>
      </c>
      <c r="AK14" s="812">
        <f>SUM(AK4:AK13)*Assumptions!$C$7</f>
        <v>1906557.3323837772</v>
      </c>
      <c r="AL14" s="812">
        <f>SUM(AL4:AL13)*Assumptions!$C$7</f>
        <v>1954221.2656933714</v>
      </c>
      <c r="AM14" s="812">
        <f>SUM(AM4:AM13)*Assumptions!$C$7</f>
        <v>2003076.7973357057</v>
      </c>
      <c r="AN14" s="812">
        <f>SUM(AN4:AN13)*Assumptions!$C$7</f>
        <v>2053153.7172690982</v>
      </c>
      <c r="AO14" s="812">
        <f>SUM(AO4:AO13)*Assumptions!$C$7</f>
        <v>2104482.5602008253</v>
      </c>
      <c r="AP14" s="911"/>
    </row>
    <row r="15" spans="2:42" s="899" customFormat="1" x14ac:dyDescent="0.35">
      <c r="B15" s="888" t="s">
        <v>996</v>
      </c>
      <c r="C15" s="859" t="s">
        <v>1281</v>
      </c>
      <c r="D15" s="787"/>
      <c r="E15" s="748" t="s">
        <v>5</v>
      </c>
      <c r="F15" s="787">
        <f>Master!J23</f>
        <v>195402480</v>
      </c>
      <c r="G15" s="753">
        <v>2025</v>
      </c>
      <c r="H15" s="787">
        <f>NPV(Assumptions!$C$5, J15:AP15)</f>
        <v>4123280892.895792</v>
      </c>
      <c r="I15" s="787">
        <f>H15/Assumptions!$C$4</f>
        <v>137442696.42985973</v>
      </c>
      <c r="J15" s="753"/>
      <c r="K15" s="753"/>
      <c r="L15" s="807">
        <f>$F$15*L$3</f>
        <v>200287541.99999997</v>
      </c>
      <c r="M15" s="807">
        <f>L15*M$3</f>
        <v>205294730.54999995</v>
      </c>
      <c r="N15" s="807">
        <f>M15*N$3</f>
        <v>210427098.81374994</v>
      </c>
      <c r="O15" s="807">
        <f t="shared" ref="O15:AN15" si="7">N15*O$3</f>
        <v>215687776.28409368</v>
      </c>
      <c r="P15" s="807">
        <f t="shared" si="7"/>
        <v>221079970.69119599</v>
      </c>
      <c r="Q15" s="807">
        <f t="shared" si="7"/>
        <v>226606969.95847589</v>
      </c>
      <c r="R15" s="807">
        <f t="shared" si="7"/>
        <v>232272144.20743775</v>
      </c>
      <c r="S15" s="807">
        <f t="shared" si="7"/>
        <v>238078947.81262368</v>
      </c>
      <c r="T15" s="807">
        <f t="shared" si="7"/>
        <v>244030921.50793925</v>
      </c>
      <c r="U15" s="807">
        <f t="shared" si="7"/>
        <v>250131694.5456377</v>
      </c>
      <c r="V15" s="807">
        <f t="shared" si="7"/>
        <v>256384986.90927863</v>
      </c>
      <c r="W15" s="807">
        <f t="shared" si="7"/>
        <v>262794611.58201057</v>
      </c>
      <c r="X15" s="807">
        <f t="shared" si="7"/>
        <v>269364476.87156081</v>
      </c>
      <c r="Y15" s="807">
        <f t="shared" si="7"/>
        <v>276098588.7933498</v>
      </c>
      <c r="Z15" s="807">
        <f t="shared" si="7"/>
        <v>283001053.51318353</v>
      </c>
      <c r="AA15" s="807">
        <f t="shared" si="7"/>
        <v>290076079.85101312</v>
      </c>
      <c r="AB15" s="807">
        <f t="shared" si="7"/>
        <v>297327981.84728843</v>
      </c>
      <c r="AC15" s="807">
        <f t="shared" si="7"/>
        <v>304761181.39347059</v>
      </c>
      <c r="AD15" s="807">
        <f t="shared" si="7"/>
        <v>312380210.92830729</v>
      </c>
      <c r="AE15" s="807">
        <f t="shared" si="7"/>
        <v>320189716.20151496</v>
      </c>
      <c r="AF15" s="807">
        <f t="shared" si="7"/>
        <v>328194459.10655278</v>
      </c>
      <c r="AG15" s="807">
        <f t="shared" si="7"/>
        <v>336399320.58421659</v>
      </c>
      <c r="AH15" s="807">
        <f t="shared" si="7"/>
        <v>344809303.598822</v>
      </c>
      <c r="AI15" s="807">
        <f t="shared" si="7"/>
        <v>353429536.18879253</v>
      </c>
      <c r="AJ15" s="807">
        <f t="shared" si="7"/>
        <v>362265274.5935123</v>
      </c>
      <c r="AK15" s="807">
        <f t="shared" si="7"/>
        <v>371321906.45835006</v>
      </c>
      <c r="AL15" s="807">
        <f t="shared" si="7"/>
        <v>380604954.11980879</v>
      </c>
      <c r="AM15" s="807">
        <f t="shared" si="7"/>
        <v>390120077.97280395</v>
      </c>
      <c r="AN15" s="807">
        <f t="shared" si="7"/>
        <v>399873079.92212403</v>
      </c>
      <c r="AO15" s="807">
        <f>AN15*AO$3</f>
        <v>409869906.9201771</v>
      </c>
      <c r="AP15" s="913"/>
    </row>
    <row r="16" spans="2:42" s="900" customFormat="1" x14ac:dyDescent="0.35">
      <c r="B16" s="808"/>
      <c r="C16" s="809"/>
      <c r="D16" s="810"/>
      <c r="E16" s="808"/>
      <c r="F16" s="810">
        <f>SUM(SUM(F14:F15))</f>
        <v>195402480</v>
      </c>
      <c r="G16" s="810"/>
      <c r="H16" s="810">
        <f>SUM(H6:H15)</f>
        <v>23206215469.784714</v>
      </c>
      <c r="I16" s="810">
        <f>H16/Assumptions!$C$4</f>
        <v>773540515.65949047</v>
      </c>
      <c r="J16" s="809"/>
      <c r="K16" s="809"/>
      <c r="L16" s="811">
        <f t="shared" ref="L16:AO16" si="8">SUM(SUM(L5:L15))</f>
        <v>2651434056.6666665</v>
      </c>
      <c r="M16" s="811">
        <f t="shared" si="8"/>
        <v>2717719908.083333</v>
      </c>
      <c r="N16" s="811">
        <f t="shared" si="8"/>
        <v>3125954716.3495159</v>
      </c>
      <c r="O16" s="811">
        <f t="shared" si="8"/>
        <v>3204103584.2582541</v>
      </c>
      <c r="P16" s="811">
        <f t="shared" si="8"/>
        <v>3284206173.8647099</v>
      </c>
      <c r="Q16" s="811">
        <f t="shared" si="8"/>
        <v>2396567295.7213616</v>
      </c>
      <c r="R16" s="811">
        <f t="shared" si="8"/>
        <v>2456481478.1143951</v>
      </c>
      <c r="S16" s="811">
        <f t="shared" si="8"/>
        <v>2132884565.8156106</v>
      </c>
      <c r="T16" s="811">
        <f t="shared" si="8"/>
        <v>2186206679.9610009</v>
      </c>
      <c r="U16" s="811">
        <f t="shared" si="8"/>
        <v>2240861846.9600253</v>
      </c>
      <c r="V16" s="811">
        <f t="shared" si="8"/>
        <v>270865520.78092664</v>
      </c>
      <c r="W16" s="811">
        <f t="shared" si="8"/>
        <v>277637158.80044973</v>
      </c>
      <c r="X16" s="811">
        <f t="shared" si="8"/>
        <v>284578087.77046096</v>
      </c>
      <c r="Y16" s="811">
        <f t="shared" si="8"/>
        <v>291692539.96472245</v>
      </c>
      <c r="Z16" s="811">
        <f t="shared" si="8"/>
        <v>298984853.46384048</v>
      </c>
      <c r="AA16" s="811">
        <f t="shared" si="8"/>
        <v>306459474.8004365</v>
      </c>
      <c r="AB16" s="811">
        <f t="shared" si="8"/>
        <v>314120961.67044741</v>
      </c>
      <c r="AC16" s="811">
        <f t="shared" si="8"/>
        <v>321973985.71220857</v>
      </c>
      <c r="AD16" s="811">
        <f t="shared" si="8"/>
        <v>330023335.35501373</v>
      </c>
      <c r="AE16" s="811">
        <f t="shared" si="8"/>
        <v>338273918.73888904</v>
      </c>
      <c r="AF16" s="811">
        <f t="shared" si="8"/>
        <v>346730766.70736122</v>
      </c>
      <c r="AG16" s="811">
        <f t="shared" si="8"/>
        <v>355399035.87504524</v>
      </c>
      <c r="AH16" s="811">
        <f t="shared" si="8"/>
        <v>364284011.77192134</v>
      </c>
      <c r="AI16" s="811">
        <f t="shared" si="8"/>
        <v>373391112.06621933</v>
      </c>
      <c r="AJ16" s="811">
        <f t="shared" si="8"/>
        <v>382725889.8678748</v>
      </c>
      <c r="AK16" s="811">
        <f t="shared" si="8"/>
        <v>392294037.11457163</v>
      </c>
      <c r="AL16" s="811">
        <f t="shared" si="8"/>
        <v>402101388.04243588</v>
      </c>
      <c r="AM16" s="811">
        <f t="shared" si="8"/>
        <v>412153922.74349672</v>
      </c>
      <c r="AN16" s="811">
        <f t="shared" si="8"/>
        <v>422457770.81208408</v>
      </c>
      <c r="AO16" s="811">
        <f t="shared" si="8"/>
        <v>433019215.0823862</v>
      </c>
      <c r="AP16" s="912"/>
    </row>
    <row r="17" spans="2:43" s="940" customFormat="1" x14ac:dyDescent="0.35">
      <c r="B17" s="945" t="s">
        <v>1044</v>
      </c>
      <c r="C17" s="941"/>
      <c r="D17" s="941"/>
      <c r="E17" s="941"/>
      <c r="F17" s="941"/>
      <c r="G17" s="941"/>
      <c r="H17" s="941"/>
      <c r="I17" s="941"/>
      <c r="J17" s="941"/>
      <c r="K17" s="941"/>
      <c r="L17" s="941"/>
      <c r="M17" s="941"/>
      <c r="N17" s="941"/>
      <c r="O17" s="941"/>
      <c r="P17" s="941"/>
      <c r="Q17" s="941"/>
      <c r="R17" s="941"/>
      <c r="S17" s="941"/>
      <c r="T17" s="941"/>
      <c r="U17" s="941"/>
      <c r="V17" s="941"/>
      <c r="W17" s="941"/>
      <c r="X17" s="941"/>
      <c r="Y17" s="941"/>
      <c r="Z17" s="941"/>
      <c r="AA17" s="941"/>
      <c r="AB17" s="941"/>
      <c r="AC17" s="941"/>
      <c r="AD17" s="941"/>
      <c r="AE17" s="941"/>
      <c r="AF17" s="941"/>
      <c r="AG17" s="941"/>
      <c r="AH17" s="941"/>
      <c r="AI17" s="941"/>
      <c r="AJ17" s="941"/>
      <c r="AK17" s="941"/>
      <c r="AL17" s="941"/>
      <c r="AM17" s="941"/>
      <c r="AN17" s="941"/>
      <c r="AO17" s="941"/>
    </row>
    <row r="18" spans="2:43" s="899" customFormat="1" x14ac:dyDescent="0.35">
      <c r="B18" s="558" t="s">
        <v>1048</v>
      </c>
      <c r="C18" s="1230" t="s">
        <v>1257</v>
      </c>
      <c r="D18" s="787"/>
      <c r="E18" s="748"/>
      <c r="F18" s="755"/>
      <c r="G18" s="753"/>
      <c r="H18" s="787"/>
      <c r="I18" s="787"/>
      <c r="J18" s="787"/>
      <c r="K18" s="787"/>
      <c r="L18" s="787"/>
      <c r="M18" s="787"/>
      <c r="N18" s="787"/>
      <c r="O18" s="787"/>
      <c r="P18" s="787"/>
      <c r="Q18" s="787"/>
      <c r="R18" s="787"/>
      <c r="S18" s="787"/>
      <c r="T18" s="787"/>
      <c r="U18" s="787"/>
      <c r="V18" s="787"/>
      <c r="W18" s="787"/>
      <c r="X18" s="787"/>
      <c r="Y18" s="787"/>
      <c r="Z18" s="787"/>
      <c r="AA18" s="787"/>
      <c r="AB18" s="787"/>
      <c r="AC18" s="787"/>
      <c r="AD18" s="787"/>
      <c r="AE18" s="787"/>
      <c r="AF18" s="787"/>
      <c r="AG18" s="787"/>
      <c r="AH18" s="787"/>
      <c r="AI18" s="787"/>
      <c r="AJ18" s="787"/>
      <c r="AK18" s="787"/>
      <c r="AL18" s="787"/>
      <c r="AM18" s="787"/>
      <c r="AN18" s="787"/>
      <c r="AO18" s="787"/>
      <c r="AP18" s="911"/>
    </row>
    <row r="19" spans="2:43" s="899" customFormat="1" x14ac:dyDescent="0.35">
      <c r="B19" s="888" t="s">
        <v>984</v>
      </c>
      <c r="C19" s="859" t="s">
        <v>1223</v>
      </c>
      <c r="D19" s="787">
        <f>Master!J31</f>
        <v>102195393184.00018</v>
      </c>
      <c r="E19" s="748">
        <v>30</v>
      </c>
      <c r="F19" s="755">
        <f>D19/E19</f>
        <v>3406513106.1333394</v>
      </c>
      <c r="G19" s="753">
        <v>2023</v>
      </c>
      <c r="H19" s="787">
        <f>NPV(Assumptions!$C$5, J19:AP19)</f>
        <v>71882457182.317719</v>
      </c>
      <c r="I19" s="787">
        <f>H19/Assumptions!$C$4</f>
        <v>2396081906.0772572</v>
      </c>
      <c r="J19" s="755"/>
      <c r="K19" s="907"/>
      <c r="L19" s="975">
        <f>$F19*L$3</f>
        <v>3491675933.7866726</v>
      </c>
      <c r="M19" s="975">
        <f>L19*M$3</f>
        <v>3578967832.1313391</v>
      </c>
      <c r="N19" s="975">
        <f t="shared" ref="N19:AO19" si="9">M19*N$3</f>
        <v>3668442027.9346223</v>
      </c>
      <c r="O19" s="975">
        <f t="shared" si="9"/>
        <v>3760153078.6329875</v>
      </c>
      <c r="P19" s="975">
        <f t="shared" si="9"/>
        <v>3854156905.5988116</v>
      </c>
      <c r="Q19" s="975">
        <f t="shared" si="9"/>
        <v>3950510828.2387815</v>
      </c>
      <c r="R19" s="975">
        <f t="shared" si="9"/>
        <v>4049273598.9447508</v>
      </c>
      <c r="S19" s="975">
        <f t="shared" si="9"/>
        <v>4150505438.9183693</v>
      </c>
      <c r="T19" s="975">
        <f t="shared" si="9"/>
        <v>4254268074.8913283</v>
      </c>
      <c r="U19" s="975">
        <f t="shared" si="9"/>
        <v>4360624776.7636108</v>
      </c>
      <c r="V19" s="975">
        <f t="shared" si="9"/>
        <v>4469640396.1827011</v>
      </c>
      <c r="W19" s="975">
        <f t="shared" si="9"/>
        <v>4581381406.0872679</v>
      </c>
      <c r="X19" s="975">
        <f t="shared" si="9"/>
        <v>4695915941.2394495</v>
      </c>
      <c r="Y19" s="975">
        <f t="shared" si="9"/>
        <v>4813313839.7704353</v>
      </c>
      <c r="Z19" s="975">
        <f t="shared" si="9"/>
        <v>4933646685.7646961</v>
      </c>
      <c r="AA19" s="975">
        <f t="shared" si="9"/>
        <v>5056987852.9088135</v>
      </c>
      <c r="AB19" s="975">
        <f t="shared" si="9"/>
        <v>5183412549.2315331</v>
      </c>
      <c r="AC19" s="975">
        <f t="shared" si="9"/>
        <v>5312997862.9623213</v>
      </c>
      <c r="AD19" s="975">
        <f t="shared" si="9"/>
        <v>5445822809.5363789</v>
      </c>
      <c r="AE19" s="975">
        <f t="shared" si="9"/>
        <v>5581968379.7747879</v>
      </c>
      <c r="AF19" s="975">
        <f t="shared" si="9"/>
        <v>5721517589.2691574</v>
      </c>
      <c r="AG19" s="975">
        <f t="shared" si="9"/>
        <v>5864555529.000886</v>
      </c>
      <c r="AH19" s="975">
        <f t="shared" si="9"/>
        <v>6011169417.2259073</v>
      </c>
      <c r="AI19" s="975">
        <f t="shared" si="9"/>
        <v>6161448652.6565542</v>
      </c>
      <c r="AJ19" s="975">
        <f t="shared" si="9"/>
        <v>6315484868.9729671</v>
      </c>
      <c r="AK19" s="975">
        <f t="shared" si="9"/>
        <v>6473371990.6972904</v>
      </c>
      <c r="AL19" s="975">
        <f t="shared" si="9"/>
        <v>6635206290.4647217</v>
      </c>
      <c r="AM19" s="975">
        <f t="shared" si="9"/>
        <v>6801086447.7263393</v>
      </c>
      <c r="AN19" s="975">
        <f t="shared" si="9"/>
        <v>6971113608.9194975</v>
      </c>
      <c r="AO19" s="975">
        <f t="shared" si="9"/>
        <v>7145391449.1424847</v>
      </c>
    </row>
    <row r="20" spans="2:43" s="899" customFormat="1" x14ac:dyDescent="0.35">
      <c r="B20" s="888" t="s">
        <v>985</v>
      </c>
      <c r="C20" s="859" t="s">
        <v>986</v>
      </c>
      <c r="D20" s="787">
        <f>Master!J32</f>
        <v>7677672216.6056271</v>
      </c>
      <c r="E20" s="748">
        <v>20</v>
      </c>
      <c r="F20" s="755">
        <f>D20/E20</f>
        <v>383883610.83028138</v>
      </c>
      <c r="G20" s="753">
        <v>2023</v>
      </c>
      <c r="H20" s="787">
        <f>NPV(Assumptions!$C$5, J20:AP20)</f>
        <v>6019038040.3184681</v>
      </c>
      <c r="I20" s="787">
        <f>H20/Assumptions!$C$4</f>
        <v>200634601.34394893</v>
      </c>
      <c r="J20" s="755"/>
      <c r="K20" s="907"/>
      <c r="L20" s="975">
        <f>$F20*L$3</f>
        <v>393480701.1010384</v>
      </c>
      <c r="M20" s="975">
        <f>L20*M$3</f>
        <v>403317718.6285643</v>
      </c>
      <c r="N20" s="975">
        <f>M20*N$3</f>
        <v>413400661.5942784</v>
      </c>
      <c r="O20" s="975">
        <f t="shared" ref="O20:AE20" si="10">N20*O$3</f>
        <v>423735678.13413531</v>
      </c>
      <c r="P20" s="975">
        <f t="shared" si="10"/>
        <v>434329070.08748865</v>
      </c>
      <c r="Q20" s="975">
        <f t="shared" si="10"/>
        <v>445187296.83967584</v>
      </c>
      <c r="R20" s="975">
        <f t="shared" si="10"/>
        <v>456316979.26066768</v>
      </c>
      <c r="S20" s="975">
        <f t="shared" si="10"/>
        <v>467724903.74218434</v>
      </c>
      <c r="T20" s="975">
        <f>S20*T$3</f>
        <v>479418026.3357389</v>
      </c>
      <c r="U20" s="975">
        <f t="shared" si="10"/>
        <v>491403476.99413234</v>
      </c>
      <c r="V20" s="975">
        <f t="shared" si="10"/>
        <v>503688563.91898561</v>
      </c>
      <c r="W20" s="975">
        <f t="shared" si="10"/>
        <v>516280778.0169602</v>
      </c>
      <c r="X20" s="975">
        <f t="shared" si="10"/>
        <v>529187797.46738416</v>
      </c>
      <c r="Y20" s="975">
        <f t="shared" si="10"/>
        <v>542417492.40406871</v>
      </c>
      <c r="Z20" s="975">
        <f t="shared" si="10"/>
        <v>555977929.71417034</v>
      </c>
      <c r="AA20" s="975">
        <f t="shared" si="10"/>
        <v>569877377.95702457</v>
      </c>
      <c r="AB20" s="975">
        <f t="shared" si="10"/>
        <v>584124312.40595019</v>
      </c>
      <c r="AC20" s="975">
        <f t="shared" si="10"/>
        <v>598727420.2160989</v>
      </c>
      <c r="AD20" s="975">
        <f t="shared" si="10"/>
        <v>613695605.72150135</v>
      </c>
      <c r="AE20" s="975">
        <f t="shared" si="10"/>
        <v>629037995.86453879</v>
      </c>
      <c r="AF20" s="787"/>
      <c r="AG20" s="787"/>
      <c r="AH20" s="787"/>
      <c r="AI20" s="787"/>
      <c r="AJ20" s="787"/>
      <c r="AK20" s="787"/>
      <c r="AL20" s="787"/>
      <c r="AM20" s="787"/>
      <c r="AN20" s="787"/>
      <c r="AO20" s="787"/>
    </row>
    <row r="21" spans="2:43" s="899" customFormat="1" x14ac:dyDescent="0.35">
      <c r="B21" s="558" t="s">
        <v>1049</v>
      </c>
      <c r="C21" s="1230" t="s">
        <v>1150</v>
      </c>
      <c r="D21" s="787"/>
      <c r="E21" s="748"/>
      <c r="F21" s="755"/>
      <c r="G21" s="753"/>
      <c r="H21" s="787"/>
      <c r="I21" s="787"/>
      <c r="J21" s="753"/>
      <c r="K21" s="907"/>
      <c r="L21" s="755"/>
      <c r="M21" s="755"/>
      <c r="N21" s="755"/>
      <c r="O21" s="755"/>
      <c r="P21" s="755"/>
      <c r="Q21" s="755"/>
      <c r="R21" s="755"/>
      <c r="S21" s="755"/>
      <c r="T21" s="755"/>
      <c r="U21" s="755"/>
      <c r="V21" s="755"/>
      <c r="W21" s="755"/>
      <c r="X21" s="755"/>
      <c r="Y21" s="755"/>
      <c r="Z21" s="755"/>
      <c r="AA21" s="755"/>
      <c r="AB21" s="755"/>
      <c r="AC21" s="755"/>
      <c r="AD21" s="755"/>
      <c r="AE21" s="755"/>
      <c r="AF21" s="755"/>
      <c r="AG21" s="755"/>
      <c r="AH21" s="755"/>
      <c r="AI21" s="755"/>
      <c r="AJ21" s="755"/>
      <c r="AK21" s="755"/>
      <c r="AL21" s="755"/>
      <c r="AM21" s="755"/>
      <c r="AN21" s="755"/>
      <c r="AO21" s="755"/>
    </row>
    <row r="22" spans="2:43" s="899" customFormat="1" x14ac:dyDescent="0.35">
      <c r="B22" s="888" t="s">
        <v>987</v>
      </c>
      <c r="C22" s="859" t="s">
        <v>1227</v>
      </c>
      <c r="D22" s="787">
        <f>Master!J34</f>
        <v>4239477000</v>
      </c>
      <c r="E22" s="748">
        <v>4</v>
      </c>
      <c r="F22" s="755">
        <f>D22/E22</f>
        <v>1059869250</v>
      </c>
      <c r="G22" s="753">
        <v>2028</v>
      </c>
      <c r="H22" s="787">
        <f>NPV(Assumptions!$C$5, J22:AP22)</f>
        <v>3128670379.5300827</v>
      </c>
      <c r="I22" s="787">
        <f>H22/Assumptions!$C$4</f>
        <v>104289012.65100275</v>
      </c>
      <c r="J22" s="755"/>
      <c r="K22" s="907"/>
      <c r="L22" s="755">
        <v>0</v>
      </c>
      <c r="M22" s="755">
        <v>0</v>
      </c>
      <c r="N22" s="755">
        <v>0</v>
      </c>
      <c r="O22" s="755">
        <v>0</v>
      </c>
      <c r="P22" s="755">
        <v>0</v>
      </c>
      <c r="Q22" s="975">
        <f>$F22*Q$3</f>
        <v>1086365981.25</v>
      </c>
      <c r="R22" s="975">
        <f>Q22*R$3</f>
        <v>1113525130.78125</v>
      </c>
      <c r="S22" s="975">
        <f>R22*S$3</f>
        <v>1141363259.0507813</v>
      </c>
      <c r="T22" s="975">
        <f>S22*T$3</f>
        <v>1169897340.5270507</v>
      </c>
      <c r="U22" s="755"/>
      <c r="V22" s="755"/>
      <c r="W22" s="755"/>
      <c r="X22" s="755"/>
      <c r="Y22" s="755"/>
      <c r="Z22" s="755"/>
      <c r="AA22" s="755"/>
      <c r="AB22" s="755"/>
      <c r="AC22" s="755"/>
      <c r="AD22" s="755"/>
      <c r="AE22" s="755"/>
      <c r="AF22" s="755"/>
      <c r="AG22" s="755"/>
      <c r="AH22" s="755"/>
      <c r="AI22" s="755"/>
      <c r="AJ22" s="755"/>
      <c r="AK22" s="755"/>
      <c r="AL22" s="755"/>
      <c r="AM22" s="755"/>
      <c r="AN22" s="755"/>
      <c r="AO22" s="755"/>
      <c r="AP22" s="913"/>
    </row>
    <row r="23" spans="2:43" s="899" customFormat="1" x14ac:dyDescent="0.35">
      <c r="B23" s="558" t="s">
        <v>1050</v>
      </c>
      <c r="C23" s="1230" t="s">
        <v>1258</v>
      </c>
      <c r="D23" s="787"/>
      <c r="E23" s="748"/>
      <c r="F23" s="755"/>
      <c r="G23" s="753"/>
      <c r="H23" s="787"/>
      <c r="I23" s="787"/>
      <c r="J23" s="787"/>
      <c r="K23" s="787"/>
      <c r="L23" s="787"/>
      <c r="M23" s="787"/>
      <c r="N23" s="787"/>
      <c r="O23" s="787"/>
      <c r="P23" s="787"/>
      <c r="Q23" s="787"/>
      <c r="R23" s="787"/>
      <c r="S23" s="787"/>
      <c r="T23" s="787"/>
      <c r="U23" s="787"/>
      <c r="V23" s="787"/>
      <c r="W23" s="787"/>
      <c r="X23" s="787"/>
      <c r="Y23" s="787"/>
      <c r="Z23" s="787"/>
      <c r="AA23" s="787"/>
      <c r="AB23" s="787"/>
      <c r="AC23" s="787"/>
      <c r="AD23" s="787"/>
      <c r="AE23" s="787"/>
      <c r="AF23" s="787"/>
      <c r="AG23" s="787"/>
      <c r="AH23" s="787"/>
      <c r="AI23" s="787"/>
      <c r="AJ23" s="787"/>
      <c r="AK23" s="787"/>
      <c r="AL23" s="787"/>
      <c r="AM23" s="787"/>
      <c r="AN23" s="787"/>
      <c r="AO23" s="787"/>
      <c r="AP23" s="911"/>
    </row>
    <row r="24" spans="2:43" s="899" customFormat="1" x14ac:dyDescent="0.35">
      <c r="B24" s="888" t="s">
        <v>991</v>
      </c>
      <c r="C24" s="859" t="s">
        <v>1229</v>
      </c>
      <c r="D24" s="787">
        <f>Master!J36</f>
        <v>727744000</v>
      </c>
      <c r="E24" s="748">
        <v>4</v>
      </c>
      <c r="F24" s="755">
        <f>D24/E24</f>
        <v>181936000</v>
      </c>
      <c r="G24" s="753">
        <v>2023</v>
      </c>
      <c r="H24" s="787">
        <f>NPV(Assumptions!$C$5, J24:AP24)</f>
        <v>685445068.07862949</v>
      </c>
      <c r="I24" s="787">
        <f>H24/Assumptions!$C$4</f>
        <v>22848168.935954317</v>
      </c>
      <c r="J24" s="753"/>
      <c r="K24" s="907"/>
      <c r="L24" s="975">
        <f>$F24*L$3</f>
        <v>186484399.99999997</v>
      </c>
      <c r="M24" s="975">
        <f>L24*M$3</f>
        <v>191146509.99999994</v>
      </c>
      <c r="N24" s="975">
        <f>M24*N$3</f>
        <v>195925172.74999991</v>
      </c>
      <c r="O24" s="975">
        <f>N24*O$3</f>
        <v>200823302.0687499</v>
      </c>
      <c r="P24" s="753"/>
      <c r="Q24" s="753"/>
      <c r="R24" s="753"/>
      <c r="S24" s="753"/>
      <c r="T24" s="753"/>
      <c r="U24" s="753"/>
      <c r="V24" s="753"/>
      <c r="W24" s="753"/>
      <c r="X24" s="753"/>
      <c r="Y24" s="753"/>
      <c r="Z24" s="753"/>
      <c r="AA24" s="753"/>
      <c r="AB24" s="753"/>
      <c r="AC24" s="753"/>
      <c r="AD24" s="753"/>
      <c r="AE24" s="753"/>
      <c r="AF24" s="753"/>
      <c r="AG24" s="753"/>
      <c r="AH24" s="753"/>
      <c r="AI24" s="753"/>
      <c r="AJ24" s="753"/>
      <c r="AK24" s="753"/>
      <c r="AL24" s="753"/>
      <c r="AM24" s="753"/>
      <c r="AN24" s="753"/>
      <c r="AO24" s="753"/>
    </row>
    <row r="25" spans="2:43" s="899" customFormat="1" x14ac:dyDescent="0.35">
      <c r="B25" s="888" t="s">
        <v>990</v>
      </c>
      <c r="C25" s="859" t="s">
        <v>1230</v>
      </c>
      <c r="D25" s="787">
        <f>Master!J37</f>
        <v>3684130000</v>
      </c>
      <c r="E25" s="748">
        <v>10</v>
      </c>
      <c r="F25" s="755">
        <f>D25/E25</f>
        <v>368413000</v>
      </c>
      <c r="G25" s="753">
        <v>2023</v>
      </c>
      <c r="H25" s="787">
        <f>NPV(Assumptions!$C$5, J25:AP25)</f>
        <v>3234557251.5855618</v>
      </c>
      <c r="I25" s="787">
        <f>H25/Assumptions!$C$4</f>
        <v>107818575.05285206</v>
      </c>
      <c r="J25" s="753"/>
      <c r="K25" s="907"/>
      <c r="L25" s="975">
        <f>$F25*L$3</f>
        <v>377623324.99999994</v>
      </c>
      <c r="M25" s="975">
        <f t="shared" ref="M25:N30" si="11">L25*M$3</f>
        <v>387063908.12499988</v>
      </c>
      <c r="N25" s="975">
        <f t="shared" si="11"/>
        <v>396740505.82812482</v>
      </c>
      <c r="O25" s="975">
        <f t="shared" ref="O25:U25" si="12">N25*O$3</f>
        <v>406659018.4738279</v>
      </c>
      <c r="P25" s="975">
        <f t="shared" si="12"/>
        <v>416825493.93567353</v>
      </c>
      <c r="Q25" s="975">
        <f t="shared" si="12"/>
        <v>427246131.28406537</v>
      </c>
      <c r="R25" s="975">
        <f t="shared" si="12"/>
        <v>437927284.56616694</v>
      </c>
      <c r="S25" s="975">
        <f t="shared" si="12"/>
        <v>448875466.6803211</v>
      </c>
      <c r="T25" s="975">
        <f t="shared" si="12"/>
        <v>460097353.34732908</v>
      </c>
      <c r="U25" s="975">
        <f t="shared" si="12"/>
        <v>471599787.18101227</v>
      </c>
      <c r="V25" s="753"/>
      <c r="W25" s="753"/>
      <c r="X25" s="753"/>
      <c r="Y25" s="753"/>
      <c r="Z25" s="753"/>
      <c r="AA25" s="753"/>
      <c r="AB25" s="753"/>
      <c r="AC25" s="753"/>
      <c r="AD25" s="753"/>
      <c r="AE25" s="753"/>
      <c r="AF25" s="753"/>
      <c r="AG25" s="753"/>
      <c r="AH25" s="753"/>
      <c r="AI25" s="753"/>
      <c r="AJ25" s="753"/>
      <c r="AK25" s="753"/>
      <c r="AL25" s="753"/>
      <c r="AM25" s="753"/>
      <c r="AN25" s="753"/>
      <c r="AO25" s="753"/>
    </row>
    <row r="26" spans="2:43" s="899" customFormat="1" x14ac:dyDescent="0.35">
      <c r="B26" s="888" t="s">
        <v>1033</v>
      </c>
      <c r="C26" s="859" t="s">
        <v>988</v>
      </c>
      <c r="D26" s="787">
        <f>Master!J38</f>
        <v>698700000</v>
      </c>
      <c r="E26" s="748">
        <v>10</v>
      </c>
      <c r="F26" s="755">
        <f>D26/E26</f>
        <v>69870000</v>
      </c>
      <c r="G26" s="753">
        <v>2023</v>
      </c>
      <c r="H26" s="787">
        <f>NPV(Assumptions!$C$5, J26:AP26)</f>
        <v>613437949.17194378</v>
      </c>
      <c r="I26" s="787">
        <f>H26/Assumptions!$C$4</f>
        <v>20447931.639064793</v>
      </c>
      <c r="J26" s="787"/>
      <c r="K26" s="787"/>
      <c r="L26" s="975">
        <f>$F26*L$3</f>
        <v>71616750</v>
      </c>
      <c r="M26" s="975">
        <f t="shared" si="11"/>
        <v>73407168.75</v>
      </c>
      <c r="N26" s="975">
        <f>M26*N$3</f>
        <v>75242347.96875</v>
      </c>
      <c r="O26" s="975">
        <f t="shared" ref="O26:U26" si="13">N26*O$3</f>
        <v>77123406.66796875</v>
      </c>
      <c r="P26" s="975">
        <f t="shared" si="13"/>
        <v>79051491.834667966</v>
      </c>
      <c r="Q26" s="975">
        <f t="shared" si="13"/>
        <v>81027779.130534664</v>
      </c>
      <c r="R26" s="975">
        <f t="shared" si="13"/>
        <v>83053473.608798027</v>
      </c>
      <c r="S26" s="975">
        <f t="shared" si="13"/>
        <v>85129810.449017972</v>
      </c>
      <c r="T26" s="975">
        <f t="shared" si="13"/>
        <v>87258055.710243419</v>
      </c>
      <c r="U26" s="975">
        <f t="shared" si="13"/>
        <v>89439507.102999493</v>
      </c>
      <c r="V26" s="787"/>
      <c r="W26" s="787"/>
      <c r="X26" s="787"/>
      <c r="Y26" s="787"/>
      <c r="Z26" s="787"/>
      <c r="AA26" s="787"/>
      <c r="AB26" s="787"/>
      <c r="AC26" s="787"/>
      <c r="AD26" s="787"/>
      <c r="AE26" s="787"/>
      <c r="AF26" s="787"/>
      <c r="AG26" s="787"/>
      <c r="AH26" s="787"/>
      <c r="AI26" s="787"/>
      <c r="AJ26" s="787"/>
      <c r="AK26" s="787"/>
      <c r="AL26" s="787"/>
      <c r="AM26" s="787"/>
      <c r="AN26" s="787"/>
      <c r="AO26" s="787"/>
      <c r="AP26" s="911"/>
    </row>
    <row r="27" spans="2:43" s="899" customFormat="1" x14ac:dyDescent="0.35">
      <c r="B27" s="888" t="s">
        <v>1143</v>
      </c>
      <c r="C27" s="859" t="s">
        <v>989</v>
      </c>
      <c r="D27" s="787">
        <f>Master!J39</f>
        <v>2095666000</v>
      </c>
      <c r="E27" s="748">
        <v>10</v>
      </c>
      <c r="F27" s="755">
        <f>D27/E27</f>
        <v>209566600</v>
      </c>
      <c r="G27" s="753">
        <v>2023</v>
      </c>
      <c r="H27" s="787">
        <f>NPV(Assumptions!$C$5, J27:AP27)</f>
        <v>1839932808.3431659</v>
      </c>
      <c r="I27" s="787">
        <f>H27/Assumptions!$C$4</f>
        <v>61331093.611438863</v>
      </c>
      <c r="J27" s="753"/>
      <c r="K27" s="907"/>
      <c r="L27" s="975">
        <f>$F27*L$3</f>
        <v>214805764.99999997</v>
      </c>
      <c r="M27" s="975">
        <f t="shared" si="11"/>
        <v>220175909.12499994</v>
      </c>
      <c r="N27" s="975">
        <f t="shared" si="11"/>
        <v>225680306.85312492</v>
      </c>
      <c r="O27" s="975">
        <f t="shared" ref="O27:U27" si="14">N27*O$3</f>
        <v>231322314.52445301</v>
      </c>
      <c r="P27" s="975">
        <f t="shared" si="14"/>
        <v>237105372.38756433</v>
      </c>
      <c r="Q27" s="975">
        <f t="shared" si="14"/>
        <v>243033006.69725341</v>
      </c>
      <c r="R27" s="975">
        <f t="shared" si="14"/>
        <v>249108831.86468473</v>
      </c>
      <c r="S27" s="975">
        <f t="shared" si="14"/>
        <v>255336552.66130182</v>
      </c>
      <c r="T27" s="975">
        <f t="shared" si="14"/>
        <v>261719966.47783434</v>
      </c>
      <c r="U27" s="975">
        <f t="shared" si="14"/>
        <v>268262965.63978019</v>
      </c>
      <c r="V27" s="753"/>
      <c r="W27" s="753"/>
      <c r="X27" s="753"/>
      <c r="Y27" s="753"/>
      <c r="Z27" s="753"/>
      <c r="AA27" s="753"/>
      <c r="AB27" s="753"/>
      <c r="AC27" s="753"/>
      <c r="AD27" s="753"/>
      <c r="AE27" s="753"/>
      <c r="AF27" s="753"/>
      <c r="AG27" s="753"/>
      <c r="AH27" s="753"/>
      <c r="AI27" s="753"/>
      <c r="AJ27" s="753"/>
      <c r="AK27" s="753"/>
      <c r="AL27" s="753"/>
      <c r="AM27" s="753"/>
      <c r="AN27" s="753"/>
      <c r="AO27" s="753"/>
    </row>
    <row r="28" spans="2:43" s="899" customFormat="1" x14ac:dyDescent="0.35">
      <c r="B28" s="558" t="s">
        <v>1151</v>
      </c>
      <c r="C28" s="1230" t="s">
        <v>1043</v>
      </c>
      <c r="D28" s="787"/>
      <c r="E28" s="748"/>
      <c r="F28" s="755"/>
      <c r="G28" s="753"/>
      <c r="H28" s="787"/>
      <c r="I28" s="787"/>
      <c r="J28" s="753"/>
      <c r="K28" s="907"/>
      <c r="L28" s="753"/>
      <c r="M28" s="753"/>
      <c r="N28" s="753"/>
      <c r="O28" s="753"/>
      <c r="P28" s="753"/>
      <c r="Q28" s="753"/>
      <c r="R28" s="753"/>
      <c r="S28" s="753"/>
      <c r="T28" s="753"/>
      <c r="U28" s="753"/>
      <c r="V28" s="787"/>
      <c r="W28" s="787"/>
      <c r="X28" s="787"/>
      <c r="Y28" s="787"/>
      <c r="Z28" s="787"/>
      <c r="AA28" s="787"/>
      <c r="AB28" s="787"/>
      <c r="AC28" s="787"/>
      <c r="AD28" s="787"/>
      <c r="AE28" s="787"/>
      <c r="AF28" s="787"/>
      <c r="AG28" s="787"/>
      <c r="AH28" s="787"/>
      <c r="AI28" s="787"/>
      <c r="AJ28" s="787"/>
      <c r="AK28" s="787"/>
      <c r="AL28" s="787"/>
      <c r="AM28" s="787"/>
      <c r="AN28" s="787"/>
      <c r="AO28" s="787"/>
    </row>
    <row r="29" spans="2:43" s="899" customFormat="1" x14ac:dyDescent="0.35">
      <c r="B29" s="888" t="s">
        <v>1144</v>
      </c>
      <c r="C29" s="859" t="s">
        <v>1244</v>
      </c>
      <c r="D29" s="787">
        <f>Master!J41</f>
        <v>144813393.676</v>
      </c>
      <c r="E29" s="748">
        <v>5</v>
      </c>
      <c r="F29" s="755">
        <f>D29/E29</f>
        <v>28962678.735199999</v>
      </c>
      <c r="G29" s="753">
        <v>2033</v>
      </c>
      <c r="H29" s="787">
        <f>NPV(Assumptions!$C$5, J29:AP29)</f>
        <v>134792146.66879135</v>
      </c>
      <c r="I29" s="787">
        <f>H29/Assumptions!$C$4</f>
        <v>4493071.5556263784</v>
      </c>
      <c r="J29" s="753"/>
      <c r="K29" s="907"/>
      <c r="L29" s="975">
        <f>$F29*L$3</f>
        <v>29686745.703579996</v>
      </c>
      <c r="M29" s="975">
        <f t="shared" si="11"/>
        <v>30428914.346169494</v>
      </c>
      <c r="N29" s="975">
        <f>M29*N$3</f>
        <v>31189637.204823729</v>
      </c>
      <c r="O29" s="975">
        <f>N29*O$3</f>
        <v>31969378.13494432</v>
      </c>
      <c r="P29" s="975">
        <f t="shared" ref="P29" si="15">O29*P$3</f>
        <v>32768612.588317923</v>
      </c>
      <c r="Q29" s="753"/>
      <c r="R29" s="753"/>
      <c r="S29" s="753"/>
      <c r="T29" s="753"/>
      <c r="U29" s="753"/>
      <c r="V29" s="787"/>
      <c r="W29" s="787"/>
      <c r="X29" s="787"/>
      <c r="Y29" s="787"/>
      <c r="Z29" s="787"/>
      <c r="AA29" s="787"/>
      <c r="AB29" s="787"/>
      <c r="AC29" s="787"/>
      <c r="AD29" s="753"/>
      <c r="AE29" s="753"/>
      <c r="AF29" s="753"/>
      <c r="AG29" s="753"/>
      <c r="AH29" s="753"/>
      <c r="AI29" s="753"/>
      <c r="AJ29" s="753"/>
      <c r="AK29" s="753"/>
      <c r="AL29" s="753"/>
      <c r="AM29" s="753"/>
      <c r="AN29" s="753"/>
      <c r="AO29" s="753"/>
      <c r="AQ29" s="1251"/>
    </row>
    <row r="30" spans="2:43" s="899" customFormat="1" x14ac:dyDescent="0.35">
      <c r="B30" s="888" t="s">
        <v>1146</v>
      </c>
      <c r="C30" s="859" t="s">
        <v>1028</v>
      </c>
      <c r="D30" s="787">
        <f>Master!J42</f>
        <v>6965905.7000000011</v>
      </c>
      <c r="E30" s="748">
        <v>5</v>
      </c>
      <c r="F30" s="755">
        <f>D30/E30</f>
        <v>1393181.1400000001</v>
      </c>
      <c r="G30" s="753">
        <v>2028</v>
      </c>
      <c r="H30" s="787">
        <f>NPV(Assumptions!$C$5, J30:AP30)</f>
        <v>6483857.3212097995</v>
      </c>
      <c r="I30" s="787">
        <f>H30/Assumptions!$C$4</f>
        <v>216128.57737365999</v>
      </c>
      <c r="J30" s="753"/>
      <c r="K30" s="907"/>
      <c r="L30" s="975">
        <f>$F30*L$3</f>
        <v>1428010.6684999999</v>
      </c>
      <c r="M30" s="975">
        <f t="shared" si="11"/>
        <v>1463710.9352124997</v>
      </c>
      <c r="N30" s="975">
        <f t="shared" ref="N30:O30" si="16">M30*N$3</f>
        <v>1500303.7085928121</v>
      </c>
      <c r="O30" s="975">
        <f t="shared" si="16"/>
        <v>1537811.3013076321</v>
      </c>
      <c r="P30" s="975">
        <f>O30*P$3</f>
        <v>1576256.5838403227</v>
      </c>
      <c r="Q30" s="753"/>
      <c r="R30" s="753"/>
      <c r="S30" s="753"/>
      <c r="T30" s="753"/>
      <c r="U30" s="753"/>
      <c r="V30" s="787"/>
      <c r="W30" s="787"/>
      <c r="X30" s="787"/>
      <c r="Y30" s="787"/>
      <c r="Z30" s="787"/>
      <c r="AA30" s="787"/>
      <c r="AB30" s="787"/>
      <c r="AC30" s="787"/>
      <c r="AD30" s="753"/>
      <c r="AE30" s="753"/>
      <c r="AF30" s="753"/>
      <c r="AG30" s="753"/>
      <c r="AH30" s="753"/>
      <c r="AI30" s="753"/>
      <c r="AJ30" s="753"/>
      <c r="AK30" s="753"/>
      <c r="AL30" s="753"/>
      <c r="AM30" s="753"/>
      <c r="AN30" s="753"/>
      <c r="AO30" s="753"/>
      <c r="AQ30" s="1251"/>
    </row>
    <row r="31" spans="2:43" s="899" customFormat="1" x14ac:dyDescent="0.35">
      <c r="B31" s="942" t="s">
        <v>3</v>
      </c>
      <c r="C31" s="751" t="s">
        <v>4</v>
      </c>
      <c r="D31" s="812"/>
      <c r="E31" s="942" t="s">
        <v>5</v>
      </c>
      <c r="F31" s="943"/>
      <c r="G31" s="751"/>
      <c r="H31" s="812">
        <f>NPV(Assumptions!$C$5, J31:AP31)</f>
        <v>8754481468.3335571</v>
      </c>
      <c r="I31" s="812">
        <f>H31/Assumptions!$C$4</f>
        <v>291816048.94445193</v>
      </c>
      <c r="J31" s="751"/>
      <c r="K31" s="751"/>
      <c r="L31" s="812">
        <f>SUM(L18:L30)*Assumptions!$C$7</f>
        <v>476680163.12597907</v>
      </c>
      <c r="M31" s="812">
        <f>SUM(M18:M30)*Assumptions!$C$7</f>
        <v>488597167.2041285</v>
      </c>
      <c r="N31" s="812">
        <f>SUM(N18:N30)*Assumptions!$C$7</f>
        <v>500812096.38423157</v>
      </c>
      <c r="O31" s="812">
        <f>SUM(O18:O30)*Assumptions!$C$7</f>
        <v>513332398.79383749</v>
      </c>
      <c r="P31" s="812">
        <f>SUM(P18:P30)*Assumptions!$C$7</f>
        <v>505581320.30163652</v>
      </c>
      <c r="Q31" s="812">
        <f>SUM(Q18:Q30)*Assumptions!$C$7</f>
        <v>623337102.3440311</v>
      </c>
      <c r="R31" s="812">
        <f>SUM(R18:R30)*Assumptions!$C$7</f>
        <v>638920529.90263188</v>
      </c>
      <c r="S31" s="812">
        <f>SUM(S18:S30)*Assumptions!$C$7</f>
        <v>654893543.15019751</v>
      </c>
      <c r="T31" s="812">
        <f>SUM(T18:T30)*Assumptions!$C$7</f>
        <v>671265881.72895253</v>
      </c>
      <c r="U31" s="812">
        <f>SUM(U18:U30)*Assumptions!$C$7</f>
        <v>568133051.36815345</v>
      </c>
      <c r="V31" s="812">
        <f>SUM(V18:V30)*Assumptions!$C$7</f>
        <v>497332896.01016867</v>
      </c>
      <c r="W31" s="812">
        <f>SUM(W18:W30)*Assumptions!$C$7</f>
        <v>509766218.4104228</v>
      </c>
      <c r="X31" s="812">
        <f>SUM(X18:X30)*Assumptions!$C$7</f>
        <v>522510373.87068343</v>
      </c>
      <c r="Y31" s="812">
        <f>SUM(Y18:Y30)*Assumptions!$C$7</f>
        <v>535573133.21745044</v>
      </c>
      <c r="Z31" s="812">
        <f>SUM(Z18:Z30)*Assumptions!$C$7</f>
        <v>548962461.54788673</v>
      </c>
      <c r="AA31" s="812">
        <f>SUM(AA18:AA30)*Assumptions!$C$7</f>
        <v>562686523.08658385</v>
      </c>
      <c r="AB31" s="812">
        <f>SUM(AB18:AB30)*Assumptions!$C$7</f>
        <v>576753686.16374838</v>
      </c>
      <c r="AC31" s="812">
        <f>SUM(AC18:AC30)*Assumptions!$C$7</f>
        <v>591172528.31784201</v>
      </c>
      <c r="AD31" s="812">
        <f>SUM(AD18:AD30)*Assumptions!$C$7</f>
        <v>605951841.52578807</v>
      </c>
      <c r="AE31" s="812">
        <f>SUM(AE18:AE30)*Assumptions!$C$7</f>
        <v>621100637.56393278</v>
      </c>
      <c r="AF31" s="812">
        <f>SUM(AF18:AF30)*Assumptions!$C$7</f>
        <v>572151758.92691576</v>
      </c>
      <c r="AG31" s="812">
        <f>SUM(AG18:AG30)*Assumptions!$C$7</f>
        <v>586455552.90008867</v>
      </c>
      <c r="AH31" s="812">
        <f>SUM(AH18:AH30)*Assumptions!$C$7</f>
        <v>601116941.7225908</v>
      </c>
      <c r="AI31" s="812">
        <f>SUM(AI18:AI30)*Assumptions!$C$7</f>
        <v>616144865.2656554</v>
      </c>
      <c r="AJ31" s="812">
        <f>SUM(AJ18:AJ30)*Assumptions!$C$7</f>
        <v>631548486.89729679</v>
      </c>
      <c r="AK31" s="812">
        <f>SUM(AK18:AK30)*Assumptions!$C$7</f>
        <v>647337199.06972909</v>
      </c>
      <c r="AL31" s="812">
        <f>SUM(AL18:AL30)*Assumptions!$C$7</f>
        <v>663520629.04647219</v>
      </c>
      <c r="AM31" s="812">
        <f>SUM(AM18:AM30)*Assumptions!$C$7</f>
        <v>680108644.77263403</v>
      </c>
      <c r="AN31" s="812">
        <f>SUM(AN18:AN30)*Assumptions!$C$7</f>
        <v>697111360.89194977</v>
      </c>
      <c r="AO31" s="812">
        <f>SUM(AO18:AO30)*Assumptions!$C$7</f>
        <v>714539144.91424847</v>
      </c>
      <c r="AQ31" s="1251"/>
    </row>
    <row r="32" spans="2:43" s="899" customFormat="1" x14ac:dyDescent="0.35">
      <c r="B32" s="888" t="s">
        <v>993</v>
      </c>
      <c r="C32" s="859" t="s">
        <v>1248</v>
      </c>
      <c r="D32" s="787"/>
      <c r="E32" s="748" t="s">
        <v>5</v>
      </c>
      <c r="F32" s="755">
        <f>Master!J47</f>
        <v>3186371.1082412563</v>
      </c>
      <c r="G32" s="753">
        <v>2023</v>
      </c>
      <c r="H32" s="787">
        <f>NPV(Assumptions!$C$5, J32:AP32)</f>
        <v>921837323.62696075</v>
      </c>
      <c r="I32" s="787">
        <f>H32/Assumptions!$C$4</f>
        <v>30727910.787565358</v>
      </c>
      <c r="J32" s="753"/>
      <c r="K32" s="753"/>
      <c r="L32" s="807">
        <f>'Inland Waterways&gt;OpEx'!M7</f>
        <v>3266030.385947288</v>
      </c>
      <c r="M32" s="807">
        <f>'Inland Waterways&gt;OpEx'!M8</f>
        <v>6695362.2911919393</v>
      </c>
      <c r="N32" s="807">
        <f>'Inland Waterways&gt;OpEx'!M9</f>
        <v>10294119.522707604</v>
      </c>
      <c r="O32" s="807">
        <f>'Inland Waterways&gt;OpEx'!M10</f>
        <v>14068630.014367059</v>
      </c>
      <c r="P32" s="807">
        <f>'Inland Waterways&gt;OpEx'!M11</f>
        <v>18025432.205907792</v>
      </c>
      <c r="Q32" s="807">
        <f>'Inland Waterways&gt;OpEx'!M12</f>
        <v>22171281.613266584</v>
      </c>
      <c r="R32" s="807">
        <f>'Inland Waterways&gt;OpEx'!M13</f>
        <v>26513157.59586462</v>
      </c>
      <c r="S32" s="807">
        <f>'Inland Waterways&gt;OpEx'!M14</f>
        <v>31058270.326584265</v>
      </c>
      <c r="T32" s="807">
        <f>'Inland Waterways&gt;OpEx'!M15</f>
        <v>35814067.97034248</v>
      </c>
      <c r="U32" s="807">
        <f>'Inland Waterways&gt;OpEx'!M16</f>
        <v>40788244.077334486</v>
      </c>
      <c r="V32" s="807">
        <f>'Inland Waterways&gt;OpEx'!M17</f>
        <v>45988745.197194636</v>
      </c>
      <c r="W32" s="807">
        <f>'Inland Waterways&gt;OpEx'!M18</f>
        <v>51423778.720499448</v>
      </c>
      <c r="X32" s="807">
        <f>'Inland Waterways&gt;OpEx'!M19</f>
        <v>57101820.954221256</v>
      </c>
      <c r="Y32" s="807">
        <f>'Inland Waterways&gt;OpEx'!M20</f>
        <v>63031625.437928848</v>
      </c>
      <c r="Z32" s="807">
        <f>'Inland Waterways&gt;OpEx'!M21</f>
        <v>69222231.507725418</v>
      </c>
      <c r="AA32" s="807">
        <f>'Inland Waterways&gt;OpEx'!M22</f>
        <v>75682973.115113124</v>
      </c>
      <c r="AB32" s="807">
        <f>'Inland Waterways&gt;OpEx'!M23</f>
        <v>82423487.908177897</v>
      </c>
      <c r="AC32" s="807">
        <f>'Inland Waterways&gt;OpEx'!M24</f>
        <v>89453726.582698941</v>
      </c>
      <c r="AD32" s="807">
        <f>'Inland Waterways&gt;OpEx'!M25</f>
        <v>96783962.511003435</v>
      </c>
      <c r="AE32" s="807">
        <f>'Inland Waterways&gt;OpEx'!M26</f>
        <v>104424801.65660895</v>
      </c>
      <c r="AF32" s="807">
        <f>'Inland Waterways&gt;OpEx'!M27</f>
        <v>112387192.78292535</v>
      </c>
      <c r="AG32" s="807">
        <f>'Inland Waterways&gt;OpEx'!M28</f>
        <v>120682437.96452221</v>
      </c>
      <c r="AH32" s="807">
        <f>'Inland Waterways&gt;OpEx'!M29</f>
        <v>129322203.4097096</v>
      </c>
      <c r="AI32" s="807">
        <f>'Inland Waterways&gt;OpEx'!M30</f>
        <v>138318530.60342848</v>
      </c>
      <c r="AJ32" s="807">
        <f>'Inland Waterways&gt;OpEx'!M31</f>
        <v>147683847.77970231</v>
      </c>
      <c r="AK32" s="807">
        <f>'Inland Waterways&gt;OpEx'!M32</f>
        <v>157430981.73316264</v>
      </c>
      <c r="AL32" s="807">
        <f>'Inland Waterways&gt;OpEx'!M33</f>
        <v>167573169.97943369</v>
      </c>
      <c r="AM32" s="807">
        <f>'Inland Waterways&gt;OpEx'!M34</f>
        <v>178124073.27443504</v>
      </c>
      <c r="AN32" s="807">
        <f>'Inland Waterways&gt;OpEx'!M35</f>
        <v>189097788.5029493</v>
      </c>
      <c r="AO32" s="807">
        <f>'Inland Waterways&gt;OpEx'!M36</f>
        <v>200508861.94709277</v>
      </c>
      <c r="AQ32" s="1251"/>
    </row>
    <row r="33" spans="2:43" s="899" customFormat="1" x14ac:dyDescent="0.35">
      <c r="B33" s="888" t="s">
        <v>994</v>
      </c>
      <c r="C33" s="859" t="s">
        <v>1029</v>
      </c>
      <c r="D33" s="787"/>
      <c r="E33" s="748" t="s">
        <v>5</v>
      </c>
      <c r="F33" s="755">
        <f>Master!J48</f>
        <v>4282000</v>
      </c>
      <c r="G33" s="753">
        <v>2023</v>
      </c>
      <c r="H33" s="787">
        <f>NPV(Assumptions!$C$5, J33:AP33)</f>
        <v>90356523.53736648</v>
      </c>
      <c r="I33" s="787">
        <f>H33/Assumptions!$C$4</f>
        <v>3011884.1179122161</v>
      </c>
      <c r="J33" s="753"/>
      <c r="K33" s="753"/>
      <c r="L33" s="807">
        <f>$F33*L$3</f>
        <v>4389050</v>
      </c>
      <c r="M33" s="807">
        <f>L33*M$3</f>
        <v>4498776.25</v>
      </c>
      <c r="N33" s="807">
        <f t="shared" ref="N33:AO33" si="17">M33*N$3</f>
        <v>4611245.65625</v>
      </c>
      <c r="O33" s="807">
        <f>N33*O$3</f>
        <v>4726526.7976562493</v>
      </c>
      <c r="P33" s="807">
        <f t="shared" si="17"/>
        <v>4844689.967597655</v>
      </c>
      <c r="Q33" s="807">
        <f t="shared" si="17"/>
        <v>4965807.2167875962</v>
      </c>
      <c r="R33" s="807">
        <f t="shared" si="17"/>
        <v>5089952.3972072853</v>
      </c>
      <c r="S33" s="807">
        <f t="shared" si="17"/>
        <v>5217201.2071374673</v>
      </c>
      <c r="T33" s="807">
        <f t="shared" si="17"/>
        <v>5347631.2373159034</v>
      </c>
      <c r="U33" s="807">
        <f t="shared" si="17"/>
        <v>5481322.0182488002</v>
      </c>
      <c r="V33" s="807">
        <f t="shared" si="17"/>
        <v>5618355.0687050195</v>
      </c>
      <c r="W33" s="807">
        <f t="shared" si="17"/>
        <v>5758813.9454226447</v>
      </c>
      <c r="X33" s="807">
        <f t="shared" si="17"/>
        <v>5902784.2940582102</v>
      </c>
      <c r="Y33" s="807">
        <f t="shared" si="17"/>
        <v>6050353.9014096651</v>
      </c>
      <c r="Z33" s="807">
        <f t="shared" si="17"/>
        <v>6201612.7489449065</v>
      </c>
      <c r="AA33" s="807">
        <f t="shared" si="17"/>
        <v>6356653.0676685283</v>
      </c>
      <c r="AB33" s="807">
        <f t="shared" si="17"/>
        <v>6515569.3943602405</v>
      </c>
      <c r="AC33" s="807">
        <f t="shared" si="17"/>
        <v>6678458.6292192461</v>
      </c>
      <c r="AD33" s="807">
        <f t="shared" si="17"/>
        <v>6845420.0949497269</v>
      </c>
      <c r="AE33" s="807">
        <f t="shared" si="17"/>
        <v>7016555.5973234698</v>
      </c>
      <c r="AF33" s="807">
        <f t="shared" si="17"/>
        <v>7191969.4872565558</v>
      </c>
      <c r="AG33" s="807">
        <f t="shared" si="17"/>
        <v>7371768.7244379688</v>
      </c>
      <c r="AH33" s="807">
        <f t="shared" si="17"/>
        <v>7556062.9425489176</v>
      </c>
      <c r="AI33" s="807">
        <f t="shared" si="17"/>
        <v>7744964.5161126396</v>
      </c>
      <c r="AJ33" s="807">
        <f t="shared" si="17"/>
        <v>7938588.629015455</v>
      </c>
      <c r="AK33" s="807">
        <f t="shared" si="17"/>
        <v>8137053.3447408406</v>
      </c>
      <c r="AL33" s="807">
        <f t="shared" si="17"/>
        <v>8340479.6783593604</v>
      </c>
      <c r="AM33" s="807">
        <f t="shared" si="17"/>
        <v>8548991.6703183446</v>
      </c>
      <c r="AN33" s="807">
        <f t="shared" si="17"/>
        <v>8762716.4620763026</v>
      </c>
      <c r="AO33" s="807">
        <f t="shared" si="17"/>
        <v>8981784.3736282103</v>
      </c>
      <c r="AQ33" s="1251"/>
    </row>
    <row r="34" spans="2:43" s="899" customFormat="1" x14ac:dyDescent="0.35">
      <c r="B34" s="888" t="s">
        <v>1148</v>
      </c>
      <c r="C34" s="859" t="s">
        <v>1259</v>
      </c>
      <c r="D34" s="787"/>
      <c r="E34" s="748" t="s">
        <v>5</v>
      </c>
      <c r="F34" s="755">
        <f>Master!J49</f>
        <v>12750000</v>
      </c>
      <c r="G34" s="753">
        <v>2023</v>
      </c>
      <c r="H34" s="787">
        <f>NPV(Assumptions!$C$5, J34:AP34)</f>
        <v>269043828.84199494</v>
      </c>
      <c r="I34" s="787">
        <f>H34/Assumptions!$C$4</f>
        <v>8968127.6280664988</v>
      </c>
      <c r="J34" s="753"/>
      <c r="K34" s="753"/>
      <c r="L34" s="807">
        <f>$F34*L$3</f>
        <v>13068749.999999998</v>
      </c>
      <c r="M34" s="807">
        <f t="shared" ref="M34:M36" si="18">L34*M$3</f>
        <v>13395468.749999996</v>
      </c>
      <c r="N34" s="807">
        <f t="shared" ref="N34:AO34" si="19">M34*N$3</f>
        <v>13730355.468749994</v>
      </c>
      <c r="O34" s="807">
        <f>N34*O$3</f>
        <v>14073614.355468743</v>
      </c>
      <c r="P34" s="807">
        <f t="shared" si="19"/>
        <v>14425454.714355459</v>
      </c>
      <c r="Q34" s="807">
        <f t="shared" si="19"/>
        <v>14786091.082214344</v>
      </c>
      <c r="R34" s="807">
        <f t="shared" si="19"/>
        <v>15155743.359269701</v>
      </c>
      <c r="S34" s="807">
        <f t="shared" si="19"/>
        <v>15534636.943251442</v>
      </c>
      <c r="T34" s="807">
        <f t="shared" si="19"/>
        <v>15923002.866832728</v>
      </c>
      <c r="U34" s="807">
        <f t="shared" si="19"/>
        <v>16321077.938503545</v>
      </c>
      <c r="V34" s="807">
        <f t="shared" si="19"/>
        <v>16729104.886966132</v>
      </c>
      <c r="W34" s="807">
        <f t="shared" si="19"/>
        <v>17147332.509140283</v>
      </c>
      <c r="X34" s="807">
        <f t="shared" si="19"/>
        <v>17576015.821868788</v>
      </c>
      <c r="Y34" s="807">
        <f t="shared" si="19"/>
        <v>18015416.217415508</v>
      </c>
      <c r="Z34" s="807">
        <f t="shared" si="19"/>
        <v>18465801.622850895</v>
      </c>
      <c r="AA34" s="807">
        <f t="shared" si="19"/>
        <v>18927446.663422167</v>
      </c>
      <c r="AB34" s="807">
        <f t="shared" si="19"/>
        <v>19400632.830007721</v>
      </c>
      <c r="AC34" s="807">
        <f t="shared" si="19"/>
        <v>19885648.650757913</v>
      </c>
      <c r="AD34" s="807">
        <f t="shared" si="19"/>
        <v>20382789.867026858</v>
      </c>
      <c r="AE34" s="807">
        <f t="shared" si="19"/>
        <v>20892359.613702528</v>
      </c>
      <c r="AF34" s="807">
        <f t="shared" si="19"/>
        <v>21414668.604045089</v>
      </c>
      <c r="AG34" s="807">
        <f t="shared" si="19"/>
        <v>21950035.319146216</v>
      </c>
      <c r="AH34" s="807">
        <f t="shared" si="19"/>
        <v>22498786.202124868</v>
      </c>
      <c r="AI34" s="807">
        <f t="shared" si="19"/>
        <v>23061255.857177988</v>
      </c>
      <c r="AJ34" s="807">
        <f t="shared" si="19"/>
        <v>23637787.253607437</v>
      </c>
      <c r="AK34" s="807">
        <f t="shared" si="19"/>
        <v>24228731.934947621</v>
      </c>
      <c r="AL34" s="807">
        <f t="shared" si="19"/>
        <v>24834450.233321309</v>
      </c>
      <c r="AM34" s="807">
        <f t="shared" si="19"/>
        <v>25455311.489154339</v>
      </c>
      <c r="AN34" s="807">
        <f t="shared" si="19"/>
        <v>26091694.276383195</v>
      </c>
      <c r="AO34" s="807">
        <f t="shared" si="19"/>
        <v>26743986.633292772</v>
      </c>
      <c r="AQ34" s="1251"/>
    </row>
    <row r="35" spans="2:43" s="899" customFormat="1" x14ac:dyDescent="0.35">
      <c r="B35" s="888" t="s">
        <v>1149</v>
      </c>
      <c r="C35" s="859" t="s">
        <v>143</v>
      </c>
      <c r="D35" s="787"/>
      <c r="E35" s="748" t="s">
        <v>5</v>
      </c>
      <c r="F35" s="755">
        <f>Master!J50</f>
        <v>47110571.680000007</v>
      </c>
      <c r="G35" s="753">
        <v>2023</v>
      </c>
      <c r="H35" s="787">
        <f>NPV(Assumptions!$C$5, J35:AP35)</f>
        <v>994102634.01744747</v>
      </c>
      <c r="I35" s="787">
        <f>H35/Assumptions!$C$4</f>
        <v>33136754.46724825</v>
      </c>
      <c r="J35" s="753"/>
      <c r="K35" s="753"/>
      <c r="L35" s="807">
        <f>$F35*L$3</f>
        <v>48288335.972000003</v>
      </c>
      <c r="M35" s="807">
        <f t="shared" si="18"/>
        <v>49495544.371299997</v>
      </c>
      <c r="N35" s="807">
        <f t="shared" ref="N35:AO35" si="20">M35*N$3</f>
        <v>50732932.980582491</v>
      </c>
      <c r="O35" s="807">
        <f>N35*O$3</f>
        <v>52001256.305097051</v>
      </c>
      <c r="P35" s="807">
        <f t="shared" si="20"/>
        <v>53301287.71272447</v>
      </c>
      <c r="Q35" s="807">
        <f t="shared" si="20"/>
        <v>54633819.905542575</v>
      </c>
      <c r="R35" s="807">
        <f t="shared" si="20"/>
        <v>55999665.403181136</v>
      </c>
      <c r="S35" s="807">
        <f t="shared" si="20"/>
        <v>57399657.038260661</v>
      </c>
      <c r="T35" s="807">
        <f t="shared" si="20"/>
        <v>58834648.464217171</v>
      </c>
      <c r="U35" s="807">
        <f t="shared" si="20"/>
        <v>60305514.675822593</v>
      </c>
      <c r="V35" s="807">
        <f t="shared" si="20"/>
        <v>61813152.54271815</v>
      </c>
      <c r="W35" s="807">
        <f t="shared" si="20"/>
        <v>63358481.356286101</v>
      </c>
      <c r="X35" s="807">
        <f t="shared" si="20"/>
        <v>64942443.390193246</v>
      </c>
      <c r="Y35" s="807">
        <f t="shared" si="20"/>
        <v>66566004.474948071</v>
      </c>
      <c r="Z35" s="807">
        <f t="shared" si="20"/>
        <v>68230154.586821765</v>
      </c>
      <c r="AA35" s="807">
        <f t="shared" si="20"/>
        <v>69935908.45149231</v>
      </c>
      <c r="AB35" s="807">
        <f t="shared" si="20"/>
        <v>71684306.162779614</v>
      </c>
      <c r="AC35" s="807">
        <f t="shared" si="20"/>
        <v>73476413.816849098</v>
      </c>
      <c r="AD35" s="807">
        <f t="shared" si="20"/>
        <v>75313324.162270322</v>
      </c>
      <c r="AE35" s="807">
        <f t="shared" si="20"/>
        <v>77196157.266327068</v>
      </c>
      <c r="AF35" s="807">
        <f t="shared" si="20"/>
        <v>79126061.197985232</v>
      </c>
      <c r="AG35" s="807">
        <f t="shared" si="20"/>
        <v>81104212.727934852</v>
      </c>
      <c r="AH35" s="807">
        <f t="shared" si="20"/>
        <v>83131818.04613322</v>
      </c>
      <c r="AI35" s="807">
        <f t="shared" si="20"/>
        <v>85210113.497286543</v>
      </c>
      <c r="AJ35" s="807">
        <f t="shared" si="20"/>
        <v>87340366.334718704</v>
      </c>
      <c r="AK35" s="807">
        <f t="shared" si="20"/>
        <v>89523875.493086666</v>
      </c>
      <c r="AL35" s="807">
        <f t="shared" si="20"/>
        <v>91761972.38041383</v>
      </c>
      <c r="AM35" s="807">
        <f t="shared" si="20"/>
        <v>94056021.689924166</v>
      </c>
      <c r="AN35" s="807">
        <f t="shared" si="20"/>
        <v>96407422.232172266</v>
      </c>
      <c r="AO35" s="807">
        <f t="shared" si="20"/>
        <v>98817607.787976563</v>
      </c>
      <c r="AQ35" s="1251"/>
    </row>
    <row r="36" spans="2:43" s="899" customFormat="1" x14ac:dyDescent="0.35">
      <c r="B36" s="888" t="s">
        <v>1147</v>
      </c>
      <c r="C36" s="859" t="s">
        <v>1260</v>
      </c>
      <c r="D36" s="787"/>
      <c r="E36" s="748" t="s">
        <v>5</v>
      </c>
      <c r="F36" s="755">
        <f>Master!J51</f>
        <v>3255405.0898364801</v>
      </c>
      <c r="G36" s="753">
        <v>2023</v>
      </c>
      <c r="H36" s="787">
        <f>NPV(Assumptions!$C$5, J36:AP36)</f>
        <v>68693854.886378437</v>
      </c>
      <c r="I36" s="787">
        <f>H36/Assumptions!$C$4</f>
        <v>2289795.1628792812</v>
      </c>
      <c r="J36" s="753"/>
      <c r="K36" s="753"/>
      <c r="L36" s="807">
        <f>$F36*L$3</f>
        <v>3336790.217082392</v>
      </c>
      <c r="M36" s="807">
        <f t="shared" si="18"/>
        <v>3420209.9725094517</v>
      </c>
      <c r="N36" s="807">
        <f t="shared" ref="N36:AO36" si="21">M36*N$3</f>
        <v>3505715.2218221878</v>
      </c>
      <c r="O36" s="807">
        <f t="shared" si="21"/>
        <v>3593358.102367742</v>
      </c>
      <c r="P36" s="807">
        <f t="shared" si="21"/>
        <v>3683192.0549269351</v>
      </c>
      <c r="Q36" s="807">
        <f>P36*Q$3</f>
        <v>3775271.8563001081</v>
      </c>
      <c r="R36" s="807">
        <f t="shared" si="21"/>
        <v>3869653.6527076103</v>
      </c>
      <c r="S36" s="807">
        <f t="shared" si="21"/>
        <v>3966394.9940253003</v>
      </c>
      <c r="T36" s="807">
        <f t="shared" si="21"/>
        <v>4065554.8688759324</v>
      </c>
      <c r="U36" s="807">
        <f t="shared" si="21"/>
        <v>4167193.7405978302</v>
      </c>
      <c r="V36" s="807">
        <f t="shared" si="21"/>
        <v>4271373.5841127755</v>
      </c>
      <c r="W36" s="807">
        <f t="shared" si="21"/>
        <v>4378157.9237155942</v>
      </c>
      <c r="X36" s="807">
        <f t="shared" si="21"/>
        <v>4487611.8718084833</v>
      </c>
      <c r="Y36" s="807">
        <f t="shared" si="21"/>
        <v>4599802.168603695</v>
      </c>
      <c r="Z36" s="807">
        <f t="shared" si="21"/>
        <v>4714797.2228187872</v>
      </c>
      <c r="AA36" s="807">
        <f t="shared" si="21"/>
        <v>4832667.1533892564</v>
      </c>
      <c r="AB36" s="807">
        <f t="shared" si="21"/>
        <v>4953483.8322239872</v>
      </c>
      <c r="AC36" s="807">
        <f t="shared" si="21"/>
        <v>5077320.9280295866</v>
      </c>
      <c r="AD36" s="807">
        <f t="shared" si="21"/>
        <v>5204253.9512303257</v>
      </c>
      <c r="AE36" s="807">
        <f t="shared" si="21"/>
        <v>5334360.3000110835</v>
      </c>
      <c r="AF36" s="807">
        <f t="shared" si="21"/>
        <v>5467719.3075113604</v>
      </c>
      <c r="AG36" s="807">
        <f t="shared" si="21"/>
        <v>5604412.2901991438</v>
      </c>
      <c r="AH36" s="807">
        <f t="shared" si="21"/>
        <v>5744522.5974541223</v>
      </c>
      <c r="AI36" s="807">
        <f t="shared" si="21"/>
        <v>5888135.6623904752</v>
      </c>
      <c r="AJ36" s="807">
        <f t="shared" si="21"/>
        <v>6035339.0539502362</v>
      </c>
      <c r="AK36" s="807">
        <f t="shared" si="21"/>
        <v>6186222.5302989911</v>
      </c>
      <c r="AL36" s="807">
        <f t="shared" si="21"/>
        <v>6340878.0935564656</v>
      </c>
      <c r="AM36" s="807">
        <f t="shared" si="21"/>
        <v>6499400.0458953762</v>
      </c>
      <c r="AN36" s="807">
        <f t="shared" si="21"/>
        <v>6661885.0470427601</v>
      </c>
      <c r="AO36" s="807">
        <f t="shared" si="21"/>
        <v>6828432.1732188286</v>
      </c>
      <c r="AQ36" s="1251"/>
    </row>
    <row r="37" spans="2:43" s="900" customFormat="1" x14ac:dyDescent="0.35">
      <c r="B37" s="808"/>
      <c r="C37" s="809"/>
      <c r="D37" s="810"/>
      <c r="E37" s="808"/>
      <c r="F37" s="810">
        <f>SUM(SUM(F19:F36))</f>
        <v>5780991774.7168989</v>
      </c>
      <c r="G37" s="810"/>
      <c r="H37" s="810">
        <f>SUM(H19:H36)</f>
        <v>98643330316.579269</v>
      </c>
      <c r="I37" s="810">
        <f>H37/Assumptions!$C$4</f>
        <v>3288111010.5526423</v>
      </c>
      <c r="J37" s="809"/>
      <c r="K37" s="809"/>
      <c r="L37" s="811">
        <f>SUM(SUM(L18:L36))</f>
        <v>5315830750.9607992</v>
      </c>
      <c r="M37" s="811">
        <f t="shared" ref="M37:AO37" si="22">SUM(SUM(M18:M36))</f>
        <v>5452074200.880414</v>
      </c>
      <c r="N37" s="811">
        <f t="shared" si="22"/>
        <v>5591807429.0766592</v>
      </c>
      <c r="O37" s="811">
        <f t="shared" si="22"/>
        <v>5735119772.307168</v>
      </c>
      <c r="P37" s="811">
        <f t="shared" si="22"/>
        <v>5655674579.9735146</v>
      </c>
      <c r="Q37" s="811">
        <f t="shared" si="22"/>
        <v>6957040397.4584532</v>
      </c>
      <c r="R37" s="811">
        <f t="shared" si="22"/>
        <v>7134754001.3371811</v>
      </c>
      <c r="S37" s="811">
        <f t="shared" si="22"/>
        <v>7317005135.1614304</v>
      </c>
      <c r="T37" s="811">
        <f t="shared" si="22"/>
        <v>7503909604.4260616</v>
      </c>
      <c r="U37" s="811">
        <f t="shared" si="22"/>
        <v>6376526917.5001945</v>
      </c>
      <c r="V37" s="811">
        <f t="shared" si="22"/>
        <v>5605082587.391552</v>
      </c>
      <c r="W37" s="811">
        <f t="shared" si="22"/>
        <v>5749494966.9697132</v>
      </c>
      <c r="X37" s="811">
        <f t="shared" si="22"/>
        <v>5897624788.909667</v>
      </c>
      <c r="Y37" s="811">
        <f t="shared" si="22"/>
        <v>6049567667.5922613</v>
      </c>
      <c r="Z37" s="811">
        <f t="shared" si="22"/>
        <v>6205421674.7159147</v>
      </c>
      <c r="AA37" s="811">
        <f t="shared" si="22"/>
        <v>6365287402.4035082</v>
      </c>
      <c r="AB37" s="811">
        <f t="shared" si="22"/>
        <v>6529268027.9287825</v>
      </c>
      <c r="AC37" s="811">
        <f t="shared" si="22"/>
        <v>6697469380.103816</v>
      </c>
      <c r="AD37" s="811">
        <f t="shared" si="22"/>
        <v>6870000007.3701496</v>
      </c>
      <c r="AE37" s="811">
        <f t="shared" si="22"/>
        <v>7046971247.6372318</v>
      </c>
      <c r="AF37" s="811">
        <f t="shared" si="22"/>
        <v>6519256959.575798</v>
      </c>
      <c r="AG37" s="811">
        <f t="shared" si="22"/>
        <v>6687723948.9272146</v>
      </c>
      <c r="AH37" s="811">
        <f t="shared" si="22"/>
        <v>6860539752.1464682</v>
      </c>
      <c r="AI37" s="811">
        <f t="shared" si="22"/>
        <v>7037816518.0586061</v>
      </c>
      <c r="AJ37" s="811">
        <f t="shared" si="22"/>
        <v>7219669284.9212589</v>
      </c>
      <c r="AK37" s="811">
        <f t="shared" si="22"/>
        <v>7406216054.803257</v>
      </c>
      <c r="AL37" s="811">
        <f t="shared" si="22"/>
        <v>7597577869.8762789</v>
      </c>
      <c r="AM37" s="811">
        <f t="shared" si="22"/>
        <v>7793878890.6687021</v>
      </c>
      <c r="AN37" s="811">
        <f t="shared" si="22"/>
        <v>7995246476.3320713</v>
      </c>
      <c r="AO37" s="811">
        <f t="shared" si="22"/>
        <v>8201811266.9719429</v>
      </c>
      <c r="AP37" s="912"/>
      <c r="AQ37" s="1251"/>
    </row>
    <row r="38" spans="2:43" s="899" customFormat="1" x14ac:dyDescent="0.35">
      <c r="B38" s="1040" t="s">
        <v>977</v>
      </c>
      <c r="C38" s="1041"/>
      <c r="D38" s="1041"/>
      <c r="E38" s="1041"/>
      <c r="F38" s="1041"/>
      <c r="G38" s="1041"/>
      <c r="H38" s="1041"/>
      <c r="I38" s="1041"/>
      <c r="J38" s="1041"/>
      <c r="K38" s="1041"/>
      <c r="L38" s="1041"/>
      <c r="M38" s="1041"/>
      <c r="N38" s="1041"/>
      <c r="O38" s="1041"/>
      <c r="P38" s="1041"/>
      <c r="Q38" s="1041"/>
      <c r="R38" s="1042"/>
      <c r="S38" s="1043"/>
      <c r="T38" s="1043"/>
      <c r="U38" s="1043"/>
      <c r="V38" s="1043"/>
      <c r="W38" s="1043"/>
      <c r="X38" s="1043"/>
      <c r="Y38" s="1043"/>
      <c r="Z38" s="1043"/>
      <c r="AA38" s="1043"/>
      <c r="AB38" s="1043"/>
      <c r="AC38" s="1043"/>
      <c r="AD38" s="1043"/>
      <c r="AE38" s="1043"/>
      <c r="AF38" s="1043"/>
      <c r="AG38" s="1043"/>
      <c r="AH38" s="1043"/>
      <c r="AI38" s="1043"/>
      <c r="AJ38" s="1043"/>
      <c r="AK38" s="1043"/>
      <c r="AL38" s="1043"/>
      <c r="AM38" s="1043"/>
      <c r="AN38" s="1043"/>
      <c r="AO38" s="1043"/>
      <c r="AP38" s="910"/>
      <c r="AQ38" s="1251"/>
    </row>
    <row r="39" spans="2:43" s="899" customFormat="1" x14ac:dyDescent="0.35">
      <c r="B39" s="558" t="s">
        <v>1105</v>
      </c>
      <c r="C39" s="946" t="s">
        <v>1405</v>
      </c>
      <c r="D39" s="787"/>
      <c r="E39" s="748"/>
      <c r="F39" s="755"/>
      <c r="G39" s="753"/>
      <c r="H39" s="787"/>
      <c r="I39" s="787"/>
      <c r="J39" s="787"/>
      <c r="K39" s="787"/>
      <c r="L39" s="787"/>
      <c r="M39" s="787"/>
      <c r="N39" s="787"/>
      <c r="O39" s="787"/>
      <c r="P39" s="787"/>
      <c r="Q39" s="787"/>
      <c r="R39" s="787"/>
      <c r="S39" s="787"/>
      <c r="T39" s="787"/>
      <c r="U39" s="787"/>
      <c r="V39" s="787"/>
      <c r="W39" s="787"/>
      <c r="X39" s="787"/>
      <c r="Y39" s="787"/>
      <c r="Z39" s="787"/>
      <c r="AA39" s="787"/>
      <c r="AB39" s="787"/>
      <c r="AC39" s="787"/>
      <c r="AD39" s="787"/>
      <c r="AE39" s="787"/>
      <c r="AF39" s="787"/>
      <c r="AG39" s="787"/>
      <c r="AH39" s="787"/>
      <c r="AI39" s="787"/>
      <c r="AJ39" s="787"/>
      <c r="AK39" s="787"/>
      <c r="AL39" s="787"/>
      <c r="AM39" s="787"/>
      <c r="AN39" s="787"/>
      <c r="AO39" s="787"/>
      <c r="AP39" s="911"/>
      <c r="AQ39" s="1251"/>
    </row>
    <row r="40" spans="2:43" s="899" customFormat="1" x14ac:dyDescent="0.35">
      <c r="B40" s="888" t="s">
        <v>978</v>
      </c>
      <c r="C40" s="859" t="s">
        <v>983</v>
      </c>
      <c r="D40" s="787">
        <f>Master!J59</f>
        <v>4438926329.4449835</v>
      </c>
      <c r="E40" s="748">
        <v>30</v>
      </c>
      <c r="F40" s="755">
        <f t="shared" ref="F40" si="23">D40/E40</f>
        <v>147964210.98149946</v>
      </c>
      <c r="G40" s="753">
        <v>2023</v>
      </c>
      <c r="H40" s="1045">
        <f>NPV(Assumptions!$C$5, J40:AP40)</f>
        <v>3122263361.1017556</v>
      </c>
      <c r="I40" s="1045">
        <f>H40/Assumptions!$C$4</f>
        <v>104075445.37005852</v>
      </c>
      <c r="J40" s="753"/>
      <c r="K40" s="753"/>
      <c r="L40" s="1046">
        <f t="shared" ref="L40:L44" si="24">$F40*L$3</f>
        <v>151663316.25603694</v>
      </c>
      <c r="M40" s="1046">
        <f>L40*M$3</f>
        <v>155454899.16243786</v>
      </c>
      <c r="N40" s="1046">
        <f t="shared" ref="N40:AO40" si="25">M40*N$3</f>
        <v>159341271.64149877</v>
      </c>
      <c r="O40" s="1046">
        <f t="shared" si="25"/>
        <v>163324803.43253624</v>
      </c>
      <c r="P40" s="1046">
        <f t="shared" si="25"/>
        <v>167407923.51834965</v>
      </c>
      <c r="Q40" s="1046">
        <f t="shared" si="25"/>
        <v>171593121.60630837</v>
      </c>
      <c r="R40" s="1046">
        <f t="shared" si="25"/>
        <v>175882949.64646608</v>
      </c>
      <c r="S40" s="1046">
        <f t="shared" si="25"/>
        <v>180280023.38762772</v>
      </c>
      <c r="T40" s="1046">
        <f t="shared" si="25"/>
        <v>184787023.97231841</v>
      </c>
      <c r="U40" s="1046">
        <f t="shared" si="25"/>
        <v>189406699.57162637</v>
      </c>
      <c r="V40" s="1046">
        <f t="shared" si="25"/>
        <v>194141867.06091702</v>
      </c>
      <c r="W40" s="1046">
        <f t="shared" si="25"/>
        <v>198995413.73743993</v>
      </c>
      <c r="X40" s="1046">
        <f t="shared" si="25"/>
        <v>203970299.0808759</v>
      </c>
      <c r="Y40" s="1046">
        <f t="shared" si="25"/>
        <v>209069556.55789778</v>
      </c>
      <c r="Z40" s="1046">
        <f t="shared" si="25"/>
        <v>214296295.47184521</v>
      </c>
      <c r="AA40" s="1046">
        <f t="shared" si="25"/>
        <v>219653702.85864133</v>
      </c>
      <c r="AB40" s="1046">
        <f t="shared" si="25"/>
        <v>225145045.43010733</v>
      </c>
      <c r="AC40" s="1046">
        <f t="shared" si="25"/>
        <v>230773671.56586</v>
      </c>
      <c r="AD40" s="1046">
        <f t="shared" si="25"/>
        <v>236543013.35500649</v>
      </c>
      <c r="AE40" s="1046">
        <f t="shared" si="25"/>
        <v>242456588.68888164</v>
      </c>
      <c r="AF40" s="1046">
        <f t="shared" si="25"/>
        <v>248518003.40610364</v>
      </c>
      <c r="AG40" s="1046">
        <f t="shared" si="25"/>
        <v>254730953.49125621</v>
      </c>
      <c r="AH40" s="1046">
        <f t="shared" si="25"/>
        <v>261099227.32853758</v>
      </c>
      <c r="AI40" s="1046">
        <f t="shared" si="25"/>
        <v>267626708.011751</v>
      </c>
      <c r="AJ40" s="1046">
        <f t="shared" si="25"/>
        <v>274317375.71204478</v>
      </c>
      <c r="AK40" s="1046">
        <f t="shared" si="25"/>
        <v>281175310.10484588</v>
      </c>
      <c r="AL40" s="1046">
        <f t="shared" si="25"/>
        <v>288204692.857467</v>
      </c>
      <c r="AM40" s="1046">
        <f t="shared" si="25"/>
        <v>295409810.17890364</v>
      </c>
      <c r="AN40" s="1046">
        <f t="shared" si="25"/>
        <v>302795055.43337619</v>
      </c>
      <c r="AO40" s="1046">
        <f t="shared" si="25"/>
        <v>310364931.81921059</v>
      </c>
      <c r="AP40" s="913"/>
      <c r="AQ40" s="1251"/>
    </row>
    <row r="41" spans="2:43" s="899" customFormat="1" x14ac:dyDescent="0.35">
      <c r="B41" s="888" t="s">
        <v>980</v>
      </c>
      <c r="C41" s="859" t="s">
        <v>1136</v>
      </c>
      <c r="D41" s="787">
        <f>Master!J60</f>
        <v>38168427285.494675</v>
      </c>
      <c r="E41" s="748">
        <v>30</v>
      </c>
      <c r="F41" s="755">
        <f>D41/E41</f>
        <v>1272280909.5164893</v>
      </c>
      <c r="G41" s="753">
        <v>2023</v>
      </c>
      <c r="H41" s="1045">
        <f>NPV(Assumptions!$C$5, J41:AP41)</f>
        <v>26847006059.520954</v>
      </c>
      <c r="I41" s="1045">
        <f>H41/Assumptions!$C$4</f>
        <v>894900201.9840318</v>
      </c>
      <c r="J41" s="753"/>
      <c r="K41" s="753"/>
      <c r="L41" s="1046">
        <f t="shared" si="24"/>
        <v>1304087932.2544014</v>
      </c>
      <c r="M41" s="1046">
        <f>L41*M$3</f>
        <v>1336690130.5607615</v>
      </c>
      <c r="N41" s="1046">
        <f t="shared" ref="N41:AO41" si="26">M41*N$3</f>
        <v>1370107383.8247805</v>
      </c>
      <c r="O41" s="1046">
        <f t="shared" si="26"/>
        <v>1404360068.4203999</v>
      </c>
      <c r="P41" s="1046">
        <f t="shared" si="26"/>
        <v>1439469070.1309097</v>
      </c>
      <c r="Q41" s="1046">
        <f t="shared" si="26"/>
        <v>1475455796.8841822</v>
      </c>
      <c r="R41" s="1046">
        <f t="shared" si="26"/>
        <v>1512342191.8062866</v>
      </c>
      <c r="S41" s="1046">
        <f t="shared" si="26"/>
        <v>1550150746.6014435</v>
      </c>
      <c r="T41" s="1046">
        <f t="shared" si="26"/>
        <v>1588904515.2664795</v>
      </c>
      <c r="U41" s="1046">
        <f t="shared" si="26"/>
        <v>1628627128.1481414</v>
      </c>
      <c r="V41" s="1046">
        <f t="shared" si="26"/>
        <v>1669342806.3518448</v>
      </c>
      <c r="W41" s="1046">
        <f t="shared" si="26"/>
        <v>1711076376.5106409</v>
      </c>
      <c r="X41" s="1046">
        <f t="shared" si="26"/>
        <v>1753853285.9234068</v>
      </c>
      <c r="Y41" s="1046">
        <f t="shared" si="26"/>
        <v>1797699618.071492</v>
      </c>
      <c r="Z41" s="1046">
        <f t="shared" si="26"/>
        <v>1842642108.5232792</v>
      </c>
      <c r="AA41" s="1046">
        <f t="shared" si="26"/>
        <v>1888708161.236361</v>
      </c>
      <c r="AB41" s="1046">
        <f t="shared" si="26"/>
        <v>1935925865.2672698</v>
      </c>
      <c r="AC41" s="1046">
        <f t="shared" si="26"/>
        <v>1984324011.8989515</v>
      </c>
      <c r="AD41" s="1046">
        <f t="shared" si="26"/>
        <v>2033932112.1964252</v>
      </c>
      <c r="AE41" s="1046">
        <f t="shared" si="26"/>
        <v>2084780415.0013356</v>
      </c>
      <c r="AF41" s="1046">
        <f t="shared" si="26"/>
        <v>2136899925.3763688</v>
      </c>
      <c r="AG41" s="1046">
        <f t="shared" si="26"/>
        <v>2190322423.510778</v>
      </c>
      <c r="AH41" s="1046">
        <f t="shared" si="26"/>
        <v>2245080484.098547</v>
      </c>
      <c r="AI41" s="1046">
        <f t="shared" si="26"/>
        <v>2301207496.2010102</v>
      </c>
      <c r="AJ41" s="1046">
        <f t="shared" si="26"/>
        <v>2358737683.6060352</v>
      </c>
      <c r="AK41" s="1046">
        <f t="shared" si="26"/>
        <v>2417706125.6961861</v>
      </c>
      <c r="AL41" s="1046">
        <f t="shared" si="26"/>
        <v>2478148778.8385906</v>
      </c>
      <c r="AM41" s="1046">
        <f t="shared" si="26"/>
        <v>2540102498.3095551</v>
      </c>
      <c r="AN41" s="1046">
        <f t="shared" si="26"/>
        <v>2603605060.7672939</v>
      </c>
      <c r="AO41" s="1046">
        <f t="shared" si="26"/>
        <v>2668695187.2864761</v>
      </c>
      <c r="AP41" s="913"/>
      <c r="AQ41" s="1251"/>
    </row>
    <row r="42" spans="2:43" s="899" customFormat="1" x14ac:dyDescent="0.35">
      <c r="B42" s="888" t="s">
        <v>1106</v>
      </c>
      <c r="C42" s="859" t="s">
        <v>979</v>
      </c>
      <c r="D42" s="787">
        <f>Master!J61</f>
        <v>26632991169.909599</v>
      </c>
      <c r="E42" s="748">
        <v>30</v>
      </c>
      <c r="F42" s="755">
        <f>D42/E42</f>
        <v>887766372.33032</v>
      </c>
      <c r="G42" s="753">
        <v>2023</v>
      </c>
      <c r="H42" s="1045">
        <f>NPV(Assumptions!$C$5, J42:AP42)</f>
        <v>18733181484.620972</v>
      </c>
      <c r="I42" s="1045">
        <f>H42/Assumptions!$C$4</f>
        <v>624439382.8206991</v>
      </c>
      <c r="J42" s="753"/>
      <c r="K42" s="753"/>
      <c r="L42" s="1046">
        <f t="shared" si="24"/>
        <v>909960531.63857794</v>
      </c>
      <c r="M42" s="1046">
        <f>L42*M$3</f>
        <v>932709544.9295423</v>
      </c>
      <c r="N42" s="1046">
        <f>M42*N$3</f>
        <v>956027283.55278075</v>
      </c>
      <c r="O42" s="1046">
        <f t="shared" ref="O42:AO42" si="27">N42*O$3</f>
        <v>979927965.64160013</v>
      </c>
      <c r="P42" s="1046">
        <f t="shared" si="27"/>
        <v>1004426164.7826401</v>
      </c>
      <c r="Q42" s="1046">
        <f t="shared" si="27"/>
        <v>1029536818.9022061</v>
      </c>
      <c r="R42" s="1046">
        <f t="shared" si="27"/>
        <v>1055275239.3747611</v>
      </c>
      <c r="S42" s="1046">
        <f t="shared" si="27"/>
        <v>1081657120.3591301</v>
      </c>
      <c r="T42" s="1046">
        <f t="shared" si="27"/>
        <v>1108698548.3681083</v>
      </c>
      <c r="U42" s="1046">
        <f t="shared" si="27"/>
        <v>1136416012.0773108</v>
      </c>
      <c r="V42" s="1046">
        <f t="shared" si="27"/>
        <v>1164826412.3792434</v>
      </c>
      <c r="W42" s="1046">
        <f t="shared" si="27"/>
        <v>1193947072.6887243</v>
      </c>
      <c r="X42" s="1046">
        <f t="shared" si="27"/>
        <v>1223795749.5059423</v>
      </c>
      <c r="Y42" s="1046">
        <f t="shared" si="27"/>
        <v>1254390643.2435908</v>
      </c>
      <c r="Z42" s="1046">
        <f t="shared" si="27"/>
        <v>1285750409.3246806</v>
      </c>
      <c r="AA42" s="1046">
        <f t="shared" si="27"/>
        <v>1317894169.5577974</v>
      </c>
      <c r="AB42" s="1046">
        <f t="shared" si="27"/>
        <v>1350841523.7967422</v>
      </c>
      <c r="AC42" s="1046">
        <f t="shared" si="27"/>
        <v>1384612561.8916607</v>
      </c>
      <c r="AD42" s="1046">
        <f t="shared" si="27"/>
        <v>1419227875.938952</v>
      </c>
      <c r="AE42" s="1046">
        <f t="shared" si="27"/>
        <v>1454708572.8374257</v>
      </c>
      <c r="AF42" s="1046">
        <f t="shared" si="27"/>
        <v>1491076287.1583612</v>
      </c>
      <c r="AG42" s="1046">
        <f t="shared" si="27"/>
        <v>1528353194.3373201</v>
      </c>
      <c r="AH42" s="1046">
        <f t="shared" si="27"/>
        <v>1566562024.1957529</v>
      </c>
      <c r="AI42" s="1046">
        <f t="shared" si="27"/>
        <v>1605726074.8006465</v>
      </c>
      <c r="AJ42" s="1046">
        <f t="shared" si="27"/>
        <v>1645869226.6706626</v>
      </c>
      <c r="AK42" s="1046">
        <f t="shared" si="27"/>
        <v>1687015957.337429</v>
      </c>
      <c r="AL42" s="1046">
        <f t="shared" si="27"/>
        <v>1729191356.2708647</v>
      </c>
      <c r="AM42" s="1046">
        <f t="shared" si="27"/>
        <v>1772421140.1776361</v>
      </c>
      <c r="AN42" s="1046">
        <f t="shared" si="27"/>
        <v>1816731668.6820769</v>
      </c>
      <c r="AO42" s="1046">
        <f t="shared" si="27"/>
        <v>1862149960.3991287</v>
      </c>
      <c r="AP42" s="913"/>
      <c r="AQ42" s="1251"/>
    </row>
    <row r="43" spans="2:43" s="899" customFormat="1" x14ac:dyDescent="0.35">
      <c r="B43" s="558" t="s">
        <v>1139</v>
      </c>
      <c r="C43" s="916" t="s">
        <v>1138</v>
      </c>
      <c r="D43" s="787"/>
      <c r="E43" s="748"/>
      <c r="F43" s="755"/>
      <c r="G43" s="753"/>
      <c r="H43" s="787"/>
      <c r="I43" s="787"/>
      <c r="J43" s="787"/>
      <c r="K43" s="787"/>
      <c r="L43" s="787"/>
      <c r="M43" s="787"/>
      <c r="N43" s="787"/>
      <c r="O43" s="787"/>
      <c r="P43" s="787"/>
      <c r="Q43" s="787"/>
      <c r="R43" s="787"/>
      <c r="S43" s="787"/>
      <c r="T43" s="787"/>
      <c r="U43" s="787"/>
      <c r="V43" s="787"/>
      <c r="W43" s="787"/>
      <c r="X43" s="787"/>
      <c r="Y43" s="787"/>
      <c r="Z43" s="787"/>
      <c r="AA43" s="787"/>
      <c r="AB43" s="787"/>
      <c r="AC43" s="787"/>
      <c r="AD43" s="787"/>
      <c r="AE43" s="787"/>
      <c r="AF43" s="787"/>
      <c r="AG43" s="787"/>
      <c r="AH43" s="787"/>
      <c r="AI43" s="787"/>
      <c r="AJ43" s="787"/>
      <c r="AK43" s="787"/>
      <c r="AL43" s="787"/>
      <c r="AM43" s="787"/>
      <c r="AN43" s="787"/>
      <c r="AO43" s="787"/>
      <c r="AP43" s="911"/>
      <c r="AQ43" s="1251"/>
    </row>
    <row r="44" spans="2:43" s="899" customFormat="1" x14ac:dyDescent="0.35">
      <c r="B44" s="888" t="s">
        <v>981</v>
      </c>
      <c r="C44" s="859" t="s">
        <v>1402</v>
      </c>
      <c r="D44" s="787">
        <f>Master!J63</f>
        <v>3362418400.0000005</v>
      </c>
      <c r="E44" s="748">
        <v>30</v>
      </c>
      <c r="F44" s="755">
        <f>D44/E44</f>
        <v>112080613.33333334</v>
      </c>
      <c r="G44" s="753">
        <v>2023</v>
      </c>
      <c r="H44" s="1045">
        <f>NPV(Assumptions!$C$5, J44:AP44)</f>
        <v>2365066458.8360124</v>
      </c>
      <c r="I44" s="1045">
        <f>H44/Assumptions!$C$4</f>
        <v>78835548.627867073</v>
      </c>
      <c r="J44" s="753"/>
      <c r="K44" s="753"/>
      <c r="L44" s="1046">
        <f t="shared" si="24"/>
        <v>114882628.66666667</v>
      </c>
      <c r="M44" s="1046">
        <f>L44*M$3</f>
        <v>117754694.38333333</v>
      </c>
      <c r="N44" s="1046">
        <f t="shared" ref="N44:AO44" si="28">M44*N$3</f>
        <v>120698561.74291664</v>
      </c>
      <c r="O44" s="1046">
        <f t="shared" si="28"/>
        <v>123716025.78648955</v>
      </c>
      <c r="P44" s="1046">
        <f t="shared" si="28"/>
        <v>126808926.43115178</v>
      </c>
      <c r="Q44" s="1046">
        <f t="shared" si="28"/>
        <v>129979149.59193055</v>
      </c>
      <c r="R44" s="1046">
        <f t="shared" si="28"/>
        <v>133228628.3317288</v>
      </c>
      <c r="S44" s="1046">
        <f>R44*S$3</f>
        <v>136559344.04002202</v>
      </c>
      <c r="T44" s="1046">
        <f t="shared" si="28"/>
        <v>139973327.64102256</v>
      </c>
      <c r="U44" s="1046">
        <f t="shared" si="28"/>
        <v>143472660.83204812</v>
      </c>
      <c r="V44" s="1046">
        <f t="shared" si="28"/>
        <v>147059477.3528493</v>
      </c>
      <c r="W44" s="1046">
        <f t="shared" si="28"/>
        <v>150735964.28667054</v>
      </c>
      <c r="X44" s="1046">
        <f t="shared" si="28"/>
        <v>154504363.39383727</v>
      </c>
      <c r="Y44" s="1046">
        <f t="shared" si="28"/>
        <v>158366972.4786832</v>
      </c>
      <c r="Z44" s="1046">
        <f t="shared" si="28"/>
        <v>162326146.79065028</v>
      </c>
      <c r="AA44" s="1046">
        <f t="shared" si="28"/>
        <v>166384300.46041653</v>
      </c>
      <c r="AB44" s="1046">
        <f t="shared" si="28"/>
        <v>170543907.97192693</v>
      </c>
      <c r="AC44" s="1046">
        <f t="shared" si="28"/>
        <v>174807505.67122507</v>
      </c>
      <c r="AD44" s="1046">
        <f t="shared" si="28"/>
        <v>179177693.31300569</v>
      </c>
      <c r="AE44" s="1046">
        <f t="shared" si="28"/>
        <v>183657135.64583081</v>
      </c>
      <c r="AF44" s="1046">
        <f t="shared" si="28"/>
        <v>188248564.03697658</v>
      </c>
      <c r="AG44" s="1046">
        <f t="shared" si="28"/>
        <v>192954778.13790098</v>
      </c>
      <c r="AH44" s="1046">
        <f t="shared" si="28"/>
        <v>197778647.5913485</v>
      </c>
      <c r="AI44" s="1046">
        <f t="shared" si="28"/>
        <v>202723113.78113219</v>
      </c>
      <c r="AJ44" s="1046">
        <f t="shared" si="28"/>
        <v>207791191.62566048</v>
      </c>
      <c r="AK44" s="1046">
        <f t="shared" si="28"/>
        <v>212985971.41630197</v>
      </c>
      <c r="AL44" s="1046">
        <f t="shared" si="28"/>
        <v>218310620.70170951</v>
      </c>
      <c r="AM44" s="1046">
        <f t="shared" si="28"/>
        <v>223768386.21925223</v>
      </c>
      <c r="AN44" s="1046">
        <f t="shared" si="28"/>
        <v>229362595.87473351</v>
      </c>
      <c r="AO44" s="1046">
        <f t="shared" si="28"/>
        <v>235096660.77160183</v>
      </c>
      <c r="AP44" s="913"/>
      <c r="AQ44" s="1251"/>
    </row>
    <row r="45" spans="2:43" s="899" customFormat="1" x14ac:dyDescent="0.35">
      <c r="B45" s="942" t="s">
        <v>3</v>
      </c>
      <c r="C45" s="751" t="s">
        <v>4</v>
      </c>
      <c r="D45" s="812"/>
      <c r="E45" s="942" t="s">
        <v>5</v>
      </c>
      <c r="F45" s="943"/>
      <c r="G45" s="751"/>
      <c r="H45" s="812">
        <f>NPV(Assumptions!$C$5, J45:AP45)</f>
        <v>5106751736.4079695</v>
      </c>
      <c r="I45" s="812">
        <f>H45/Assumptions!$C$4</f>
        <v>170225057.88026565</v>
      </c>
      <c r="J45" s="751"/>
      <c r="K45" s="751"/>
      <c r="L45" s="812">
        <f>SUM(SUM(L39:L44))*Assumptions!$C$7</f>
        <v>248059440.88156831</v>
      </c>
      <c r="M45" s="812">
        <f>SUM(SUM(M39:M44))*Assumptions!$C$7</f>
        <v>254260926.90360749</v>
      </c>
      <c r="N45" s="812">
        <f>SUM(SUM(N39:N44))*Assumptions!$C$7</f>
        <v>260617450.07619768</v>
      </c>
      <c r="O45" s="812">
        <f>SUM(SUM(O39:O44))*Assumptions!$C$7</f>
        <v>267132886.32810259</v>
      </c>
      <c r="P45" s="812">
        <f>SUM(SUM(P39:P44))*Assumptions!$C$7</f>
        <v>273811208.48630518</v>
      </c>
      <c r="Q45" s="812">
        <f>SUM(SUM(Q39:Q44))*Assumptions!$C$7</f>
        <v>280656488.69846272</v>
      </c>
      <c r="R45" s="812">
        <f>SUM(SUM(R39:R44))*Assumptions!$C$7</f>
        <v>287672900.91592425</v>
      </c>
      <c r="S45" s="812">
        <f>SUM(SUM(S39:S44))*Assumptions!$C$7</f>
        <v>294864723.43882239</v>
      </c>
      <c r="T45" s="812">
        <f>SUM(SUM(T39:T44))*Assumptions!$C$7</f>
        <v>302236341.52479285</v>
      </c>
      <c r="U45" s="812">
        <f>SUM(SUM(U39:U44))*Assumptions!$C$7</f>
        <v>309792250.06291264</v>
      </c>
      <c r="V45" s="812">
        <f>SUM(SUM(V39:V44))*Assumptions!$C$7</f>
        <v>317537056.31448549</v>
      </c>
      <c r="W45" s="812">
        <f>SUM(SUM(W39:W44))*Assumptions!$C$7</f>
        <v>325475482.72234756</v>
      </c>
      <c r="X45" s="812">
        <f>SUM(SUM(X39:X44))*Assumptions!$C$7</f>
        <v>333612369.79040629</v>
      </c>
      <c r="Y45" s="812">
        <f>SUM(SUM(Y39:Y44))*Assumptions!$C$7</f>
        <v>341952679.03516638</v>
      </c>
      <c r="Z45" s="812">
        <f>SUM(SUM(Z39:Z44))*Assumptions!$C$7</f>
        <v>350501496.01104558</v>
      </c>
      <c r="AA45" s="812">
        <f>SUM(SUM(AA39:AA44))*Assumptions!$C$7</f>
        <v>359264033.41132164</v>
      </c>
      <c r="AB45" s="812">
        <f>SUM(SUM(AB39:AB44))*Assumptions!$C$7</f>
        <v>368245634.24660468</v>
      </c>
      <c r="AC45" s="812">
        <f>SUM(SUM(AC39:AC44))*Assumptions!$C$7</f>
        <v>377451775.10276973</v>
      </c>
      <c r="AD45" s="812">
        <f>SUM(SUM(AD39:AD44))*Assumptions!$C$7</f>
        <v>386888069.48033899</v>
      </c>
      <c r="AE45" s="812">
        <f>SUM(SUM(AE39:AE44))*Assumptions!$C$7</f>
        <v>396560271.21734738</v>
      </c>
      <c r="AF45" s="812">
        <f>SUM(SUM(AF39:AF44))*Assumptions!$C$7</f>
        <v>406474277.9977811</v>
      </c>
      <c r="AG45" s="812">
        <f>SUM(SUM(AG39:AG44))*Assumptions!$C$7</f>
        <v>416636134.94772553</v>
      </c>
      <c r="AH45" s="812">
        <f>SUM(SUM(AH39:AH44))*Assumptions!$C$7</f>
        <v>427052038.32141858</v>
      </c>
      <c r="AI45" s="812">
        <f>SUM(SUM(AI39:AI44))*Assumptions!$C$7</f>
        <v>437728339.27945399</v>
      </c>
      <c r="AJ45" s="812">
        <f>SUM(SUM(AJ39:AJ44))*Assumptions!$C$7</f>
        <v>448671547.7614404</v>
      </c>
      <c r="AK45" s="812">
        <f>SUM(SUM(AK39:AK44))*Assumptions!$C$7</f>
        <v>459888336.45547628</v>
      </c>
      <c r="AL45" s="812">
        <f>SUM(SUM(AL39:AL44))*Assumptions!$C$7</f>
        <v>471385544.86686325</v>
      </c>
      <c r="AM45" s="812">
        <f>SUM(SUM(AM39:AM44))*Assumptions!$C$7</f>
        <v>483170183.48853475</v>
      </c>
      <c r="AN45" s="812">
        <f>SUM(SUM(AN39:AN44))*Assumptions!$C$7</f>
        <v>495249438.07574821</v>
      </c>
      <c r="AO45" s="812">
        <f>SUM(SUM(AO39:AO44))*Assumptions!$C$7</f>
        <v>507630674.02764171</v>
      </c>
      <c r="AP45" s="911"/>
      <c r="AQ45" s="1251"/>
    </row>
    <row r="46" spans="2:43" s="899" customFormat="1" x14ac:dyDescent="0.35">
      <c r="B46" s="888" t="s">
        <v>982</v>
      </c>
      <c r="C46" s="859" t="s">
        <v>1276</v>
      </c>
      <c r="D46" s="787"/>
      <c r="E46" s="748" t="s">
        <v>5</v>
      </c>
      <c r="F46" s="755">
        <f>Master!J68</f>
        <v>2947779.2254028521</v>
      </c>
      <c r="G46" s="753">
        <v>2023</v>
      </c>
      <c r="H46" s="787">
        <f>NPV(Assumptions!$C$5, J46:AP46)</f>
        <v>852811182.21298361</v>
      </c>
      <c r="I46" s="787">
        <f>H46/Assumptions!$C$4</f>
        <v>28427039.407099452</v>
      </c>
      <c r="J46" s="753"/>
      <c r="K46" s="753"/>
      <c r="L46" s="807">
        <f>'NativeVeg V1.1 &amp; OpEx'!$O$7</f>
        <v>3021473.7060379237</v>
      </c>
      <c r="M46" s="807">
        <f>'NativeVeg V1.1 &amp; OpEx'!$O$8</f>
        <v>6194021.0973777426</v>
      </c>
      <c r="N46" s="807">
        <f>'NativeVeg V1.1 &amp; OpEx'!$O$9</f>
        <v>9523307.4372182805</v>
      </c>
      <c r="O46" s="807">
        <f>'NativeVeg V1.1 &amp; OpEx'!$O$10</f>
        <v>13015186.830864979</v>
      </c>
      <c r="P46" s="807">
        <f>'NativeVeg V1.1 &amp; OpEx'!$O$11</f>
        <v>16675708.127045754</v>
      </c>
      <c r="Q46" s="807">
        <f>'NativeVeg V1.1 &amp; OpEx'!$O$12</f>
        <v>20511120.996266276</v>
      </c>
      <c r="R46" s="807">
        <f>'NativeVeg V1.1 &amp; OpEx'!$O$13</f>
        <v>24527882.191368416</v>
      </c>
      <c r="S46" s="807">
        <f>'NativeVeg V1.1 &amp; OpEx'!$O$14</f>
        <v>28732661.995602999</v>
      </c>
      <c r="T46" s="807">
        <f>'NativeVeg V1.1 &amp; OpEx'!$O$15</f>
        <v>33132350.863679711</v>
      </c>
      <c r="U46" s="807">
        <f>'NativeVeg V1.1 &amp; OpEx'!$O$16</f>
        <v>37734066.261412993</v>
      </c>
      <c r="V46" s="807">
        <f>'NativeVeg V1.1 &amp; OpEx'!$O$17</f>
        <v>42545159.70974315</v>
      </c>
      <c r="W46" s="807">
        <f>'NativeVeg V1.1 &amp; OpEx'!$O$18</f>
        <v>47573224.039076433</v>
      </c>
      <c r="X46" s="807">
        <f>'NativeVeg V1.1 &amp; OpEx'!$O$19</f>
        <v>52826100.860057786</v>
      </c>
      <c r="Y46" s="807">
        <f>'NativeVeg V1.1 &amp; OpEx'!$O$20</f>
        <v>58311888.257063776</v>
      </c>
      <c r="Z46" s="807">
        <f>'NativeVeg V1.1 &amp; OpEx'!$O$21</f>
        <v>64038948.710882537</v>
      </c>
      <c r="AA46" s="807">
        <f>'NativeVeg V1.1 &amp; OpEx'!$O$22</f>
        <v>70015917.257231563</v>
      </c>
      <c r="AB46" s="807">
        <f>'NativeVeg V1.1 &amp; OpEx'!$O$23</f>
        <v>76251709.887953743</v>
      </c>
      <c r="AC46" s="807">
        <f>'NativeVeg V1.1 &amp; OpEx'!$O$24</f>
        <v>82755532.201926261</v>
      </c>
      <c r="AD46" s="807">
        <f>'NativeVeg V1.1 &amp; OpEx'!$O$25</f>
        <v>89536888.312917426</v>
      </c>
      <c r="AE46" s="807">
        <f>'NativeVeg V1.1 &amp; OpEx'!$O$26</f>
        <v>96605590.021831945</v>
      </c>
      <c r="AF46" s="807">
        <f>'NativeVeg V1.1 &amp; OpEx'!$O$27</f>
        <v>103971766.26099664</v>
      </c>
      <c r="AG46" s="807">
        <f>'NativeVeg V1.1 &amp; OpEx'!$O$28</f>
        <v>111645872.81835589</v>
      </c>
      <c r="AH46" s="807">
        <f>'NativeVeg V1.1 &amp; OpEx'!$O$29</f>
        <v>119638702.34967001</v>
      </c>
      <c r="AI46" s="807">
        <f>'NativeVeg V1.1 &amp; OpEx'!$O$30</f>
        <v>127961394.68703835</v>
      </c>
      <c r="AJ46" s="807">
        <f>'NativeVeg V1.1 &amp; OpEx'!$O$31</f>
        <v>136625447.45230654</v>
      </c>
      <c r="AK46" s="807">
        <f>'NativeVeg V1.1 &amp; OpEx'!$O$32</f>
        <v>145642726.98415878</v>
      </c>
      <c r="AL46" s="807">
        <f>'NativeVeg V1.1 &amp; OpEx'!$O$33</f>
        <v>155025479.58794591</v>
      </c>
      <c r="AM46" s="807">
        <f>'NativeVeg V1.1 &amp; OpEx'!$O$34</f>
        <v>164786343.11755729</v>
      </c>
      <c r="AN46" s="807">
        <f>'NativeVeg V1.1 &amp; OpEx'!$O$35</f>
        <v>174938358.8989068</v>
      </c>
      <c r="AO46" s="807">
        <f>'NativeVeg V1.1 &amp; OpEx'!$O$36</f>
        <v>185494984.0048753</v>
      </c>
      <c r="AP46" s="913"/>
      <c r="AQ46" s="1251"/>
    </row>
    <row r="47" spans="2:43" s="899" customFormat="1" x14ac:dyDescent="0.35">
      <c r="B47" s="888" t="s">
        <v>1201</v>
      </c>
      <c r="C47" s="859" t="s">
        <v>1275</v>
      </c>
      <c r="D47" s="787"/>
      <c r="E47" s="748" t="s">
        <v>5</v>
      </c>
      <c r="F47" s="755">
        <f>Master!J69</f>
        <v>101891.46666666667</v>
      </c>
      <c r="G47" s="753">
        <v>2023</v>
      </c>
      <c r="H47" s="787">
        <f>NPV(Assumptions!$C$5, J47:AP47)</f>
        <v>29477846.032902818</v>
      </c>
      <c r="I47" s="787">
        <f>H47/Assumptions!$C$4</f>
        <v>982594.86776342732</v>
      </c>
      <c r="J47" s="753"/>
      <c r="K47" s="753"/>
      <c r="L47" s="807">
        <f>'NativeVeg V1.1 &amp; OpEx'!$V7</f>
        <v>104438.75333333334</v>
      </c>
      <c r="M47" s="807">
        <f>'NativeVeg V1.1 &amp; OpEx'!$V8</f>
        <v>214099.44433333332</v>
      </c>
      <c r="N47" s="807">
        <f>'NativeVeg V1.1 &amp; OpEx'!$V9</f>
        <v>329177.8956625</v>
      </c>
      <c r="O47" s="807">
        <f>'NativeVeg V1.1 &amp; OpEx'!$V10</f>
        <v>449876.45740541659</v>
      </c>
      <c r="P47" s="807">
        <f>'NativeVeg V1.1 &amp; OpEx'!$V11</f>
        <v>576404.21105068992</v>
      </c>
      <c r="Q47" s="807">
        <f>'NativeVeg V1.1 &amp; OpEx'!$V12</f>
        <v>708977.17959234852</v>
      </c>
      <c r="R47" s="807">
        <f>'NativeVeg V1.1 &amp; OpEx'!$V13</f>
        <v>847818.54392918327</v>
      </c>
      <c r="S47" s="807">
        <f>'NativeVeg V1.1 &amp; OpEx'!$V14</f>
        <v>993158.86574561463</v>
      </c>
      <c r="T47" s="807">
        <f>'NativeVeg V1.1 &amp; OpEx'!$V15</f>
        <v>1145236.3170629118</v>
      </c>
      <c r="U47" s="807">
        <f>'NativeVeg V1.1 &amp; OpEx'!$V16</f>
        <v>1304296.9166549828</v>
      </c>
      <c r="V47" s="807">
        <f>'NativeVeg V1.1 &amp; OpEx'!$V17</f>
        <v>1470594.773528493</v>
      </c>
      <c r="W47" s="807">
        <f>'NativeVeg V1.1 &amp; OpEx'!$V18</f>
        <v>1644392.3376727693</v>
      </c>
      <c r="X47" s="807">
        <f>'NativeVeg V1.1 &amp; OpEx'!$V19</f>
        <v>1825960.6582908039</v>
      </c>
      <c r="Y47" s="807">
        <f>'NativeVeg V1.1 &amp; OpEx'!$V20</f>
        <v>2015579.6497286947</v>
      </c>
      <c r="Z47" s="807">
        <f>'NativeVeg V1.1 &amp; OpEx'!$V21</f>
        <v>2213538.365327049</v>
      </c>
      <c r="AA47" s="807">
        <f>'NativeVeg V1.1 &amp; OpEx'!$V22</f>
        <v>2420135.2794242399</v>
      </c>
      <c r="AB47" s="807">
        <f>'NativeVeg V1.1 &amp; OpEx'!$V23</f>
        <v>2635678.577747961</v>
      </c>
      <c r="AC47" s="807">
        <f>'NativeVeg V1.1 &amp; OpEx'!$V24</f>
        <v>2860486.456438228</v>
      </c>
      <c r="AD47" s="807">
        <f>'NativeVeg V1.1 &amp; OpEx'!$V25</f>
        <v>3094887.4299519155</v>
      </c>
      <c r="AE47" s="807">
        <f>'NativeVeg V1.1 &amp; OpEx'!$V26</f>
        <v>3339220.6481060139</v>
      </c>
      <c r="AF47" s="807">
        <f>'NativeVeg V1.1 &amp; OpEx'!$V27</f>
        <v>3593836.2225240977</v>
      </c>
      <c r="AG47" s="807">
        <f>'NativeVeg V1.1 &amp; OpEx'!$V28</f>
        <v>3859095.5627580183</v>
      </c>
      <c r="AH47" s="807">
        <f>'NativeVeg V1.1 &amp; OpEx'!$V29</f>
        <v>4135371.7223645584</v>
      </c>
      <c r="AI47" s="807">
        <f>'NativeVeg V1.1 &amp; OpEx'!$V30</f>
        <v>4423049.755224701</v>
      </c>
      <c r="AJ47" s="807">
        <f>'NativeVeg V1.1 &amp; OpEx'!$V31</f>
        <v>4722527.0824013725</v>
      </c>
      <c r="AK47" s="807">
        <f>'NativeVeg V1.1 &amp; OpEx'!$V32</f>
        <v>5034213.8698398629</v>
      </c>
      <c r="AL47" s="807">
        <f>'NativeVeg V1.1 &amp; OpEx'!$V33</f>
        <v>5358533.4172237776</v>
      </c>
      <c r="AM47" s="807">
        <f>'NativeVeg V1.1 &amp; OpEx'!$V34</f>
        <v>5695922.5583082363</v>
      </c>
      <c r="AN47" s="807">
        <f>'NativeVeg V1.1 &amp; OpEx'!$V35</f>
        <v>6046832.0730611542</v>
      </c>
      <c r="AO47" s="807">
        <f>'NativeVeg V1.1 &amp; OpEx'!$V36</f>
        <v>6411727.1119527752</v>
      </c>
      <c r="AP47" s="1251"/>
      <c r="AQ47" s="1251"/>
    </row>
    <row r="48" spans="2:43" s="900" customFormat="1" x14ac:dyDescent="0.35">
      <c r="B48" s="808"/>
      <c r="C48" s="809"/>
      <c r="D48" s="810"/>
      <c r="E48" s="808"/>
      <c r="F48" s="810">
        <f>SUM(SUM(F40:F47))</f>
        <v>2423141776.8537116</v>
      </c>
      <c r="G48" s="810"/>
      <c r="H48" s="810">
        <f>SUM(H40:H47)</f>
        <v>57056558128.733551</v>
      </c>
      <c r="I48" s="810">
        <f>H48/Assumptions!$C$4</f>
        <v>1901885270.9577851</v>
      </c>
      <c r="J48" s="809"/>
      <c r="K48" s="809"/>
      <c r="L48" s="811">
        <f>SUM(SUM(L39:L47))</f>
        <v>2731779762.1566229</v>
      </c>
      <c r="M48" s="811">
        <f t="shared" ref="M48:AO48" si="29">SUM(SUM(M39:M47))</f>
        <v>2803278316.4813933</v>
      </c>
      <c r="N48" s="811">
        <f t="shared" si="29"/>
        <v>2876644436.1710548</v>
      </c>
      <c r="O48" s="811">
        <f t="shared" si="29"/>
        <v>2951926812.8973989</v>
      </c>
      <c r="P48" s="811">
        <f t="shared" si="29"/>
        <v>3029175405.6874528</v>
      </c>
      <c r="Q48" s="811">
        <f t="shared" si="29"/>
        <v>3108441473.8589487</v>
      </c>
      <c r="R48" s="811">
        <f t="shared" si="29"/>
        <v>3189777610.8104644</v>
      </c>
      <c r="S48" s="811">
        <f t="shared" si="29"/>
        <v>3273237778.6883945</v>
      </c>
      <c r="T48" s="811">
        <f t="shared" si="29"/>
        <v>3358877343.953464</v>
      </c>
      <c r="U48" s="811">
        <f t="shared" si="29"/>
        <v>3446753113.8701072</v>
      </c>
      <c r="V48" s="811">
        <f t="shared" si="29"/>
        <v>3536923373.9426117</v>
      </c>
      <c r="W48" s="811">
        <f t="shared" si="29"/>
        <v>3629447926.3225722</v>
      </c>
      <c r="X48" s="811">
        <f t="shared" si="29"/>
        <v>3724388129.2128177</v>
      </c>
      <c r="Y48" s="811">
        <f t="shared" si="29"/>
        <v>3821806937.2936225</v>
      </c>
      <c r="Z48" s="811">
        <f t="shared" si="29"/>
        <v>3921768943.1977105</v>
      </c>
      <c r="AA48" s="811">
        <f t="shared" si="29"/>
        <v>4024340420.0611935</v>
      </c>
      <c r="AB48" s="811">
        <f t="shared" si="29"/>
        <v>4129589365.1783528</v>
      </c>
      <c r="AC48" s="811">
        <f t="shared" si="29"/>
        <v>4237585544.7888312</v>
      </c>
      <c r="AD48" s="811">
        <f t="shared" si="29"/>
        <v>4348400540.026598</v>
      </c>
      <c r="AE48" s="811">
        <f t="shared" si="29"/>
        <v>4462107794.0607576</v>
      </c>
      <c r="AF48" s="811">
        <f t="shared" si="29"/>
        <v>4578782660.4591122</v>
      </c>
      <c r="AG48" s="811">
        <f t="shared" si="29"/>
        <v>4698502452.8060951</v>
      </c>
      <c r="AH48" s="811">
        <f t="shared" si="29"/>
        <v>4821346495.6076393</v>
      </c>
      <c r="AI48" s="811">
        <f t="shared" si="29"/>
        <v>4947396176.5162563</v>
      </c>
      <c r="AJ48" s="811">
        <f t="shared" si="29"/>
        <v>5076734999.910552</v>
      </c>
      <c r="AK48" s="811">
        <f t="shared" si="29"/>
        <v>5209448641.8642368</v>
      </c>
      <c r="AL48" s="811">
        <f t="shared" si="29"/>
        <v>5345625006.5406656</v>
      </c>
      <c r="AM48" s="811">
        <f t="shared" si="29"/>
        <v>5485354284.0497484</v>
      </c>
      <c r="AN48" s="811">
        <f t="shared" si="29"/>
        <v>5628729009.8051977</v>
      </c>
      <c r="AO48" s="811">
        <f t="shared" si="29"/>
        <v>5775844125.420886</v>
      </c>
      <c r="AP48" s="912"/>
      <c r="AQ48" s="1251"/>
    </row>
    <row r="49" spans="2:43" s="899" customFormat="1" x14ac:dyDescent="0.35">
      <c r="B49" s="1030" t="s">
        <v>145</v>
      </c>
      <c r="C49" s="1031"/>
      <c r="D49" s="1031"/>
      <c r="E49" s="1031"/>
      <c r="F49" s="1031"/>
      <c r="G49" s="1031"/>
      <c r="H49" s="1031"/>
      <c r="I49" s="1031"/>
      <c r="J49" s="1031"/>
      <c r="K49" s="1031"/>
      <c r="L49" s="1031"/>
      <c r="M49" s="1031"/>
      <c r="N49" s="1031"/>
      <c r="O49" s="1031"/>
      <c r="P49" s="1031"/>
      <c r="Q49" s="1031"/>
      <c r="R49" s="1032"/>
      <c r="S49" s="1033"/>
      <c r="T49" s="1033"/>
      <c r="U49" s="1033"/>
      <c r="V49" s="1033"/>
      <c r="W49" s="1033"/>
      <c r="X49" s="1033"/>
      <c r="Y49" s="1033"/>
      <c r="Z49" s="1033"/>
      <c r="AA49" s="1033"/>
      <c r="AB49" s="1033"/>
      <c r="AC49" s="1033"/>
      <c r="AD49" s="1033"/>
      <c r="AE49" s="1033"/>
      <c r="AF49" s="1033"/>
      <c r="AG49" s="1033"/>
      <c r="AH49" s="1033"/>
      <c r="AI49" s="1033"/>
      <c r="AJ49" s="1033"/>
      <c r="AK49" s="1033"/>
      <c r="AL49" s="1033"/>
      <c r="AM49" s="1033"/>
      <c r="AN49" s="1033"/>
      <c r="AO49" s="1033"/>
      <c r="AP49" s="1056"/>
      <c r="AQ49" s="1251"/>
    </row>
    <row r="50" spans="2:43" s="899" customFormat="1" x14ac:dyDescent="0.35">
      <c r="B50" s="558" t="s">
        <v>1066</v>
      </c>
      <c r="C50" s="946" t="s">
        <v>1337</v>
      </c>
      <c r="D50" s="787"/>
      <c r="E50" s="748"/>
      <c r="F50" s="755"/>
      <c r="G50" s="753"/>
      <c r="H50" s="787"/>
      <c r="I50" s="787"/>
      <c r="J50" s="787"/>
      <c r="K50" s="787"/>
      <c r="L50" s="787"/>
      <c r="M50" s="787"/>
      <c r="N50" s="787"/>
      <c r="O50" s="787"/>
      <c r="P50" s="787"/>
      <c r="Q50" s="787"/>
      <c r="R50" s="787"/>
      <c r="S50" s="787"/>
      <c r="T50" s="787"/>
      <c r="U50" s="787"/>
      <c r="V50" s="787"/>
      <c r="W50" s="787"/>
      <c r="X50" s="787"/>
      <c r="Y50" s="787"/>
      <c r="Z50" s="787"/>
      <c r="AA50" s="787"/>
      <c r="AB50" s="787"/>
      <c r="AC50" s="787"/>
      <c r="AD50" s="787"/>
      <c r="AE50" s="787"/>
      <c r="AF50" s="787"/>
      <c r="AG50" s="787"/>
      <c r="AH50" s="787"/>
      <c r="AI50" s="787"/>
      <c r="AJ50" s="787"/>
      <c r="AK50" s="787"/>
      <c r="AL50" s="787"/>
      <c r="AM50" s="787"/>
      <c r="AN50" s="787"/>
      <c r="AO50" s="787"/>
      <c r="AP50" s="1056"/>
      <c r="AQ50" s="1251"/>
    </row>
    <row r="51" spans="2:43" s="899" customFormat="1" x14ac:dyDescent="0.35">
      <c r="B51" s="888" t="s">
        <v>1065</v>
      </c>
      <c r="C51" s="859" t="s">
        <v>1384</v>
      </c>
      <c r="D51" s="787">
        <f>Master!J77</f>
        <v>1347306194.7185886</v>
      </c>
      <c r="E51" s="753">
        <v>30</v>
      </c>
      <c r="F51" s="708">
        <f>D51/E51</f>
        <v>44910206.490619622</v>
      </c>
      <c r="G51" s="753">
        <v>2023</v>
      </c>
      <c r="H51" s="752">
        <f>NPV(Assumptions!$C$5, J51:AP51)</f>
        <v>35219081728.735741</v>
      </c>
      <c r="I51" s="752">
        <f>H51/Assumptions!$C$4</f>
        <v>1173969390.9578581</v>
      </c>
      <c r="J51" s="755"/>
      <c r="K51" s="753"/>
      <c r="L51" s="1034">
        <f>'TEC.Data Wintle'!B105</f>
        <v>1347306194.7185886</v>
      </c>
      <c r="M51" s="1034">
        <f>'TEC.Data Wintle'!C105</f>
        <v>1410299071.17943</v>
      </c>
      <c r="N51" s="1034">
        <f>'TEC.Data Wintle'!D105</f>
        <v>1475599525.0916142</v>
      </c>
      <c r="O51" s="1034">
        <f>'TEC.Data Wintle'!E105</f>
        <v>1543283564.7799206</v>
      </c>
      <c r="P51" s="1034">
        <f>'TEC.Data Wintle'!F105</f>
        <v>1613429556.7494597</v>
      </c>
      <c r="Q51" s="1034">
        <f>'TEC.Data Wintle'!G105</f>
        <v>1686118296.0894885</v>
      </c>
      <c r="R51" s="1034">
        <f>'TEC.Data Wintle'!H105</f>
        <v>1761433078.9235504</v>
      </c>
      <c r="S51" s="1034">
        <f>'TEC.Data Wintle'!I105</f>
        <v>1839459776.9642594</v>
      </c>
      <c r="T51" s="1034">
        <f>'TEC.Data Wintle'!J105</f>
        <v>1920286914.2326767</v>
      </c>
      <c r="U51" s="1034">
        <f>'TEC.Data Wintle'!K105</f>
        <v>2004005746.0039122</v>
      </c>
      <c r="V51" s="1034">
        <f>'TEC.Data Wintle'!L105</f>
        <v>2090710340.0423143</v>
      </c>
      <c r="W51" s="1034">
        <f>'TEC.Data Wintle'!M105</f>
        <v>2180497660.1913834</v>
      </c>
      <c r="X51" s="1034">
        <f>'TEC.Data Wintle'!N105</f>
        <v>2273467652.3853803</v>
      </c>
      <c r="Y51" s="1034">
        <f>'TEC.Data Wintle'!O105</f>
        <v>2369723333.1514568</v>
      </c>
      <c r="Z51" s="1034">
        <f>'TEC.Data Wintle'!P105</f>
        <v>2469370880.6730962</v>
      </c>
      <c r="AA51" s="1034">
        <f>'TEC.Data Wintle'!Q105</f>
        <v>2572519728.4875984</v>
      </c>
      <c r="AB51" s="1034">
        <f>'TEC.Data Wintle'!R105</f>
        <v>2679282661.8924046</v>
      </c>
      <c r="AC51" s="1034">
        <f>'TEC.Data Wintle'!S105</f>
        <v>2789775917.1371465</v>
      </c>
      <c r="AD51" s="1034">
        <f>'TEC.Data Wintle'!T105</f>
        <v>2904119283.4804425</v>
      </c>
      <c r="AE51" s="1034">
        <f>'TEC.Data Wintle'!U105</f>
        <v>3022436208.1926928</v>
      </c>
      <c r="AF51" s="1034">
        <f>'TEC.Data Wintle'!V105</f>
        <v>3144853904.5883799</v>
      </c>
      <c r="AG51" s="1034">
        <f>'TEC.Data Wintle'!W105</f>
        <v>3271503463.1737318</v>
      </c>
      <c r="AH51" s="1034">
        <f>'TEC.Data Wintle'!X105</f>
        <v>3402519965.997983</v>
      </c>
      <c r="AI51" s="1034">
        <f>'TEC.Data Wintle'!Y105</f>
        <v>3538042604.2989621</v>
      </c>
      <c r="AJ51" s="1034">
        <f>'TEC.Data Wintle'!Z105</f>
        <v>3678214799.5362439</v>
      </c>
      <c r="AK51" s="1034">
        <f>'TEC.Data Wintle'!AA105</f>
        <v>3823184327.907701</v>
      </c>
      <c r="AL51" s="1034">
        <f>'TEC.Data Wintle'!AB105</f>
        <v>3973103448.4480219</v>
      </c>
      <c r="AM51" s="1034">
        <f>'TEC.Data Wintle'!AC105</f>
        <v>4128129034.8104148</v>
      </c>
      <c r="AN51" s="1034">
        <f>'TEC.Data Wintle'!AD105</f>
        <v>4288422710.835649</v>
      </c>
      <c r="AO51" s="1034">
        <f>'TEC.Data Wintle'!AE105</f>
        <v>4454150990.0153875</v>
      </c>
      <c r="AP51" s="1056"/>
      <c r="AQ51" s="1251"/>
    </row>
    <row r="52" spans="2:43" s="899" customFormat="1" x14ac:dyDescent="0.35">
      <c r="B52" s="942"/>
      <c r="C52" s="751" t="s">
        <v>4</v>
      </c>
      <c r="D52" s="812"/>
      <c r="E52" s="942" t="s">
        <v>5</v>
      </c>
      <c r="F52" s="943"/>
      <c r="G52" s="751"/>
      <c r="H52" s="812">
        <f>NPV(Assumptions!$C$5, J52:AP52)</f>
        <v>3521908172.8735743</v>
      </c>
      <c r="I52" s="812">
        <f>H52/Assumptions!$C$4</f>
        <v>117396939.09578581</v>
      </c>
      <c r="J52" s="751"/>
      <c r="K52" s="751"/>
      <c r="L52" s="812">
        <f>SUM(L50:L51)*Assumptions!$C$7</f>
        <v>134730619.47185886</v>
      </c>
      <c r="M52" s="812">
        <f>SUM(M50:M51)*Assumptions!$C$7</f>
        <v>141029907.11794302</v>
      </c>
      <c r="N52" s="812">
        <f>SUM(N50:N51)*Assumptions!$C$7</f>
        <v>147559952.50916144</v>
      </c>
      <c r="O52" s="812">
        <f>SUM(O50:O51)*Assumptions!$C$7</f>
        <v>154328356.47799206</v>
      </c>
      <c r="P52" s="812">
        <f>SUM(P50:P51)*Assumptions!$C$7</f>
        <v>161342955.67494598</v>
      </c>
      <c r="Q52" s="812">
        <f>SUM(Q50:Q51)*Assumptions!$C$7</f>
        <v>168611829.60894886</v>
      </c>
      <c r="R52" s="812">
        <f>SUM(R50:R51)*Assumptions!$C$7</f>
        <v>176143307.89235505</v>
      </c>
      <c r="S52" s="812">
        <f>SUM(S50:S51)*Assumptions!$C$7</f>
        <v>183945977.69642594</v>
      </c>
      <c r="T52" s="812">
        <f>SUM(T50:T51)*Assumptions!$C$7</f>
        <v>192028691.42326769</v>
      </c>
      <c r="U52" s="812">
        <f>SUM(U50:U51)*Assumptions!$C$7</f>
        <v>200400574.60039124</v>
      </c>
      <c r="V52" s="812">
        <f>SUM(V50:V51)*Assumptions!$C$7</f>
        <v>209071034.00423145</v>
      </c>
      <c r="W52" s="812">
        <f>SUM(W50:W51)*Assumptions!$C$7</f>
        <v>218049766.01913834</v>
      </c>
      <c r="X52" s="812">
        <f>SUM(X50:X51)*Assumptions!$C$7</f>
        <v>227346765.23853803</v>
      </c>
      <c r="Y52" s="812">
        <f>SUM(Y50:Y51)*Assumptions!$C$7</f>
        <v>236972333.3151457</v>
      </c>
      <c r="Z52" s="812">
        <f>SUM(Z50:Z51)*Assumptions!$C$7</f>
        <v>246937088.06730962</v>
      </c>
      <c r="AA52" s="812">
        <f>SUM(AA50:AA51)*Assumptions!$C$7</f>
        <v>257251972.84875986</v>
      </c>
      <c r="AB52" s="812">
        <f>SUM(AB50:AB51)*Assumptions!$C$7</f>
        <v>267928266.18924046</v>
      </c>
      <c r="AC52" s="812">
        <f>SUM(AC50:AC51)*Assumptions!$C$7</f>
        <v>278977591.71371466</v>
      </c>
      <c r="AD52" s="812">
        <f>SUM(AD50:AD51)*Assumptions!$C$7</f>
        <v>290411928.34804428</v>
      </c>
      <c r="AE52" s="812">
        <f>SUM(AE50:AE51)*Assumptions!$C$7</f>
        <v>302243620.8192693</v>
      </c>
      <c r="AF52" s="812">
        <f>SUM(AF50:AF51)*Assumptions!$C$7</f>
        <v>314485390.45883799</v>
      </c>
      <c r="AG52" s="812">
        <f>SUM(AG50:AG51)*Assumptions!$C$7</f>
        <v>327150346.31737322</v>
      </c>
      <c r="AH52" s="812">
        <f>SUM(AH50:AH51)*Assumptions!$C$7</f>
        <v>340251996.59979832</v>
      </c>
      <c r="AI52" s="812">
        <f>SUM(AI50:AI51)*Assumptions!$C$7</f>
        <v>353804260.42989624</v>
      </c>
      <c r="AJ52" s="812">
        <f>SUM(AJ50:AJ51)*Assumptions!$C$7</f>
        <v>367821479.95362443</v>
      </c>
      <c r="AK52" s="812">
        <f>SUM(AK50:AK51)*Assumptions!$C$7</f>
        <v>382318432.79077011</v>
      </c>
      <c r="AL52" s="812">
        <f>SUM(AL50:AL51)*Assumptions!$C$7</f>
        <v>397310344.8448022</v>
      </c>
      <c r="AM52" s="812">
        <f>SUM(AM50:AM51)*Assumptions!$C$7</f>
        <v>412812903.48104149</v>
      </c>
      <c r="AN52" s="812">
        <f>SUM(AN50:AN51)*Assumptions!$C$7</f>
        <v>428842271.08356494</v>
      </c>
      <c r="AO52" s="812">
        <f>SUM(AO50:AO51)*Assumptions!$C$7</f>
        <v>445415099.00153875</v>
      </c>
      <c r="AP52" s="1056"/>
      <c r="AQ52" s="1251"/>
    </row>
    <row r="53" spans="2:43" s="899" customFormat="1" x14ac:dyDescent="0.35">
      <c r="B53" s="888"/>
      <c r="C53" s="859" t="s">
        <v>1152</v>
      </c>
      <c r="D53" s="787"/>
      <c r="E53" s="748"/>
      <c r="F53" s="755"/>
      <c r="G53" s="753"/>
      <c r="H53" s="787"/>
      <c r="I53" s="787"/>
      <c r="J53" s="753"/>
      <c r="K53" s="753"/>
      <c r="L53" s="807"/>
      <c r="M53" s="807"/>
      <c r="N53" s="807"/>
      <c r="O53" s="807"/>
      <c r="P53" s="807"/>
      <c r="Q53" s="807"/>
      <c r="R53" s="807"/>
      <c r="S53" s="807"/>
      <c r="T53" s="807"/>
      <c r="U53" s="807"/>
      <c r="V53" s="807"/>
      <c r="W53" s="807"/>
      <c r="X53" s="807"/>
      <c r="Y53" s="807"/>
      <c r="Z53" s="807"/>
      <c r="AA53" s="807"/>
      <c r="AB53" s="807"/>
      <c r="AC53" s="807"/>
      <c r="AD53" s="807"/>
      <c r="AE53" s="807"/>
      <c r="AF53" s="807"/>
      <c r="AG53" s="807"/>
      <c r="AH53" s="807"/>
      <c r="AI53" s="807"/>
      <c r="AJ53" s="807"/>
      <c r="AK53" s="807"/>
      <c r="AL53" s="807"/>
      <c r="AM53" s="807"/>
      <c r="AN53" s="807"/>
      <c r="AO53" s="807"/>
      <c r="AP53" s="913"/>
      <c r="AQ53" s="1251"/>
    </row>
    <row r="54" spans="2:43" s="900" customFormat="1" x14ac:dyDescent="0.35">
      <c r="B54" s="808"/>
      <c r="C54" s="809"/>
      <c r="D54" s="810"/>
      <c r="E54" s="808"/>
      <c r="F54" s="810">
        <f>SUM(SUM(F51:F52))</f>
        <v>44910206.490619622</v>
      </c>
      <c r="G54" s="809"/>
      <c r="H54" s="810">
        <f>SUM(H51:H52)</f>
        <v>38740989901.609314</v>
      </c>
      <c r="I54" s="810">
        <f>SUM(SUM(I51:I52))</f>
        <v>1291366330.0536439</v>
      </c>
      <c r="J54" s="810"/>
      <c r="K54" s="810"/>
      <c r="L54" s="810">
        <f>SUM(SUM(L50:L52))</f>
        <v>1482036814.1904473</v>
      </c>
      <c r="M54" s="810">
        <f t="shared" ref="M54:AO54" si="30">SUM(SUM(M50:M52))</f>
        <v>1551328978.2973731</v>
      </c>
      <c r="N54" s="810">
        <f t="shared" si="30"/>
        <v>1623159477.6007757</v>
      </c>
      <c r="O54" s="810">
        <f t="shared" si="30"/>
        <v>1697611921.2579126</v>
      </c>
      <c r="P54" s="810">
        <f t="shared" si="30"/>
        <v>1774772512.4244058</v>
      </c>
      <c r="Q54" s="810">
        <f t="shared" si="30"/>
        <v>1854730125.6984375</v>
      </c>
      <c r="R54" s="810">
        <f t="shared" si="30"/>
        <v>1937576386.8159053</v>
      </c>
      <c r="S54" s="810">
        <f t="shared" si="30"/>
        <v>2023405754.6606853</v>
      </c>
      <c r="T54" s="810">
        <f t="shared" si="30"/>
        <v>2112315605.6559443</v>
      </c>
      <c r="U54" s="810">
        <f t="shared" si="30"/>
        <v>2204406320.6043034</v>
      </c>
      <c r="V54" s="810">
        <f t="shared" si="30"/>
        <v>2299781374.046546</v>
      </c>
      <c r="W54" s="810">
        <f t="shared" si="30"/>
        <v>2398547426.2105217</v>
      </c>
      <c r="X54" s="810">
        <f t="shared" si="30"/>
        <v>2500814417.6239185</v>
      </c>
      <c r="Y54" s="810">
        <f t="shared" si="30"/>
        <v>2606695666.4666023</v>
      </c>
      <c r="Z54" s="810">
        <f t="shared" si="30"/>
        <v>2716307968.740406</v>
      </c>
      <c r="AA54" s="810">
        <f t="shared" si="30"/>
        <v>2829771701.3363581</v>
      </c>
      <c r="AB54" s="810">
        <f t="shared" si="30"/>
        <v>2947210928.081645</v>
      </c>
      <c r="AC54" s="810">
        <f t="shared" si="30"/>
        <v>3068753508.8508611</v>
      </c>
      <c r="AD54" s="810">
        <f t="shared" si="30"/>
        <v>3194531211.8284869</v>
      </c>
      <c r="AE54" s="810">
        <f t="shared" si="30"/>
        <v>3324679829.0119619</v>
      </c>
      <c r="AF54" s="810">
        <f t="shared" si="30"/>
        <v>3459339295.0472178</v>
      </c>
      <c r="AG54" s="810">
        <f t="shared" si="30"/>
        <v>3598653809.4911051</v>
      </c>
      <c r="AH54" s="810">
        <f t="shared" si="30"/>
        <v>3742771962.5977812</v>
      </c>
      <c r="AI54" s="810">
        <f t="shared" si="30"/>
        <v>3891846864.7288585</v>
      </c>
      <c r="AJ54" s="810">
        <f t="shared" si="30"/>
        <v>4046036279.4898682</v>
      </c>
      <c r="AK54" s="810">
        <f t="shared" si="30"/>
        <v>4205502760.6984711</v>
      </c>
      <c r="AL54" s="810">
        <f t="shared" si="30"/>
        <v>4370413793.2928238</v>
      </c>
      <c r="AM54" s="810">
        <f t="shared" si="30"/>
        <v>4540941938.2914562</v>
      </c>
      <c r="AN54" s="810">
        <f t="shared" si="30"/>
        <v>4717264981.9192142</v>
      </c>
      <c r="AO54" s="810">
        <f t="shared" si="30"/>
        <v>4899566089.0169258</v>
      </c>
      <c r="AP54" s="1056"/>
      <c r="AQ54" s="1251"/>
    </row>
    <row r="55" spans="2:43" s="899" customFormat="1" x14ac:dyDescent="0.35">
      <c r="B55" s="957" t="s">
        <v>1062</v>
      </c>
      <c r="C55" s="958"/>
      <c r="D55" s="958"/>
      <c r="E55" s="958"/>
      <c r="F55" s="958"/>
      <c r="G55" s="958"/>
      <c r="H55" s="958"/>
      <c r="I55" s="958"/>
      <c r="J55" s="958"/>
      <c r="K55" s="958"/>
      <c r="L55" s="958"/>
      <c r="M55" s="958"/>
      <c r="N55" s="958"/>
      <c r="O55" s="958"/>
      <c r="P55" s="958"/>
      <c r="Q55" s="958"/>
      <c r="R55" s="959"/>
      <c r="S55" s="960"/>
      <c r="T55" s="960"/>
      <c r="U55" s="960"/>
      <c r="V55" s="960"/>
      <c r="W55" s="960"/>
      <c r="X55" s="960"/>
      <c r="Y55" s="960"/>
      <c r="Z55" s="960"/>
      <c r="AA55" s="960"/>
      <c r="AB55" s="960"/>
      <c r="AC55" s="960"/>
      <c r="AD55" s="960"/>
      <c r="AE55" s="960"/>
      <c r="AF55" s="960"/>
      <c r="AG55" s="960"/>
      <c r="AH55" s="960"/>
      <c r="AI55" s="960"/>
      <c r="AJ55" s="960"/>
      <c r="AK55" s="960"/>
      <c r="AL55" s="960"/>
      <c r="AM55" s="960"/>
      <c r="AN55" s="960"/>
      <c r="AO55" s="960"/>
      <c r="AP55" s="1056"/>
      <c r="AQ55" s="1251"/>
    </row>
    <row r="56" spans="2:43" s="899" customFormat="1" x14ac:dyDescent="0.35">
      <c r="B56" s="558" t="s">
        <v>1212</v>
      </c>
      <c r="C56" s="946" t="s">
        <v>1140</v>
      </c>
      <c r="D56" s="787"/>
      <c r="E56" s="748"/>
      <c r="F56" s="755"/>
      <c r="G56" s="753"/>
      <c r="H56" s="787"/>
      <c r="I56" s="787"/>
      <c r="J56" s="787"/>
      <c r="K56" s="787"/>
      <c r="L56" s="787"/>
      <c r="M56" s="787"/>
      <c r="N56" s="787"/>
      <c r="O56" s="787"/>
      <c r="P56" s="787"/>
      <c r="Q56" s="787"/>
      <c r="R56" s="787"/>
      <c r="S56" s="787"/>
      <c r="T56" s="787"/>
      <c r="U56" s="787"/>
      <c r="V56" s="787"/>
      <c r="W56" s="787"/>
      <c r="X56" s="787"/>
      <c r="Y56" s="787"/>
      <c r="Z56" s="787"/>
      <c r="AA56" s="787"/>
      <c r="AB56" s="787"/>
      <c r="AC56" s="787"/>
      <c r="AD56" s="787"/>
      <c r="AE56" s="787"/>
      <c r="AF56" s="787"/>
      <c r="AG56" s="787"/>
      <c r="AH56" s="787"/>
      <c r="AI56" s="787"/>
      <c r="AJ56" s="787"/>
      <c r="AK56" s="787"/>
      <c r="AL56" s="787"/>
      <c r="AM56" s="787"/>
      <c r="AN56" s="787"/>
      <c r="AO56" s="787"/>
      <c r="AP56" s="1056"/>
      <c r="AQ56" s="1251"/>
    </row>
    <row r="57" spans="2:43" s="899" customFormat="1" x14ac:dyDescent="0.35">
      <c r="B57" s="888" t="s">
        <v>1204</v>
      </c>
      <c r="C57" s="859" t="s">
        <v>1290</v>
      </c>
      <c r="D57" s="787">
        <f>Master!J90</f>
        <v>926619339.13043487</v>
      </c>
      <c r="E57" s="753">
        <v>30</v>
      </c>
      <c r="F57" s="708">
        <f>D57/E57</f>
        <v>30887311.304347828</v>
      </c>
      <c r="G57" s="753">
        <v>2023</v>
      </c>
      <c r="H57" s="752">
        <f>NPV(Assumptions!$C$5, J57:AP57)</f>
        <v>651767882.03579402</v>
      </c>
      <c r="I57" s="752">
        <f>H57/Assumptions!$C$4</f>
        <v>21725596.067859802</v>
      </c>
      <c r="J57" s="755"/>
      <c r="K57" s="753"/>
      <c r="L57" s="998">
        <f t="shared" ref="L57" si="31">$F57*L$3</f>
        <v>31659494.08695652</v>
      </c>
      <c r="M57" s="998">
        <f>L57*M$3</f>
        <v>32450981.439130429</v>
      </c>
      <c r="N57" s="998">
        <f t="shared" ref="N57:AO57" si="32">M57*N$3</f>
        <v>33262255.975108687</v>
      </c>
      <c r="O57" s="998">
        <f t="shared" si="32"/>
        <v>34093812.374486402</v>
      </c>
      <c r="P57" s="998">
        <f t="shared" si="32"/>
        <v>34946157.68384856</v>
      </c>
      <c r="Q57" s="998">
        <f t="shared" si="32"/>
        <v>35819811.625944771</v>
      </c>
      <c r="R57" s="998">
        <f>Q57*R$3</f>
        <v>36715306.916593388</v>
      </c>
      <c r="S57" s="998">
        <f t="shared" si="32"/>
        <v>37633189.589508221</v>
      </c>
      <c r="T57" s="998">
        <f t="shared" si="32"/>
        <v>38574019.329245925</v>
      </c>
      <c r="U57" s="998">
        <f t="shared" si="32"/>
        <v>39538369.812477067</v>
      </c>
      <c r="V57" s="998">
        <f t="shared" si="32"/>
        <v>40526829.05778899</v>
      </c>
      <c r="W57" s="998">
        <f t="shared" si="32"/>
        <v>41539999.784233712</v>
      </c>
      <c r="X57" s="998">
        <f t="shared" si="32"/>
        <v>42578499.778839551</v>
      </c>
      <c r="Y57" s="998">
        <f t="shared" si="32"/>
        <v>43642962.273310535</v>
      </c>
      <c r="Z57" s="998">
        <f t="shared" si="32"/>
        <v>44734036.330143295</v>
      </c>
      <c r="AA57" s="998">
        <f t="shared" si="32"/>
        <v>45852387.238396876</v>
      </c>
      <c r="AB57" s="998">
        <f t="shared" si="32"/>
        <v>46998696.919356793</v>
      </c>
      <c r="AC57" s="998">
        <f t="shared" si="32"/>
        <v>48173664.342340708</v>
      </c>
      <c r="AD57" s="998">
        <f t="shared" si="32"/>
        <v>49378005.950899221</v>
      </c>
      <c r="AE57" s="998">
        <f t="shared" si="32"/>
        <v>50612456.099671699</v>
      </c>
      <c r="AF57" s="998">
        <f t="shared" si="32"/>
        <v>51877767.502163485</v>
      </c>
      <c r="AG57" s="998">
        <f t="shared" si="32"/>
        <v>53174711.689717568</v>
      </c>
      <c r="AH57" s="998">
        <f t="shared" si="32"/>
        <v>54504079.481960505</v>
      </c>
      <c r="AI57" s="998">
        <f t="shared" si="32"/>
        <v>55866681.469009511</v>
      </c>
      <c r="AJ57" s="998">
        <f t="shared" si="32"/>
        <v>57263348.505734742</v>
      </c>
      <c r="AK57" s="998">
        <f t="shared" si="32"/>
        <v>58694932.218378104</v>
      </c>
      <c r="AL57" s="998">
        <f t="shared" si="32"/>
        <v>60162305.523837551</v>
      </c>
      <c r="AM57" s="998">
        <f t="shared" si="32"/>
        <v>61666363.161933482</v>
      </c>
      <c r="AN57" s="998">
        <f t="shared" si="32"/>
        <v>63208022.24098181</v>
      </c>
      <c r="AO57" s="998">
        <f t="shared" si="32"/>
        <v>64788222.797006346</v>
      </c>
      <c r="AP57" s="1056"/>
      <c r="AQ57" s="1251"/>
    </row>
    <row r="58" spans="2:43" s="899" customFormat="1" x14ac:dyDescent="0.35">
      <c r="B58" s="888" t="s">
        <v>1205</v>
      </c>
      <c r="C58" s="859" t="s">
        <v>1221</v>
      </c>
      <c r="D58" s="787">
        <f>Master!J91</f>
        <v>203913696.40200597</v>
      </c>
      <c r="E58" s="753">
        <v>20</v>
      </c>
      <c r="F58" s="708">
        <f t="shared" ref="F58:F59" si="33">D58/E58</f>
        <v>10195684.820100298</v>
      </c>
      <c r="G58" s="753">
        <v>2023</v>
      </c>
      <c r="H58" s="752">
        <f>NPV(Assumptions!$C$5, J58:AP58)</f>
        <v>159861512.83341116</v>
      </c>
      <c r="I58" s="752">
        <f>H58/Assumptions!$C$4</f>
        <v>5328717.0944470381</v>
      </c>
      <c r="J58" s="754"/>
      <c r="K58" s="753"/>
      <c r="L58" s="998">
        <f t="shared" ref="L58" si="34">$F58*L$3</f>
        <v>10450576.940602805</v>
      </c>
      <c r="M58" s="998">
        <f>L58*M$3</f>
        <v>10711841.364117874</v>
      </c>
      <c r="N58" s="998">
        <f t="shared" ref="N58:AE58" si="35">M58*N$3</f>
        <v>10979637.39822082</v>
      </c>
      <c r="O58" s="998">
        <f t="shared" si="35"/>
        <v>11254128.333176339</v>
      </c>
      <c r="P58" s="998">
        <f t="shared" si="35"/>
        <v>11535481.541505747</v>
      </c>
      <c r="Q58" s="998">
        <f t="shared" si="35"/>
        <v>11823868.580043389</v>
      </c>
      <c r="R58" s="998">
        <f t="shared" si="35"/>
        <v>12119465.294544471</v>
      </c>
      <c r="S58" s="998">
        <f t="shared" si="35"/>
        <v>12422451.926908081</v>
      </c>
      <c r="T58" s="998">
        <f t="shared" si="35"/>
        <v>12733013.225080783</v>
      </c>
      <c r="U58" s="998">
        <f t="shared" si="35"/>
        <v>13051338.555707801</v>
      </c>
      <c r="V58" s="998">
        <f t="shared" si="35"/>
        <v>13377622.019600496</v>
      </c>
      <c r="W58" s="998">
        <f t="shared" si="35"/>
        <v>13712062.570090506</v>
      </c>
      <c r="X58" s="998">
        <f t="shared" si="35"/>
        <v>14054864.134342767</v>
      </c>
      <c r="Y58" s="998">
        <f t="shared" si="35"/>
        <v>14406235.737701336</v>
      </c>
      <c r="Z58" s="998">
        <f t="shared" si="35"/>
        <v>14766391.631143868</v>
      </c>
      <c r="AA58" s="998">
        <f t="shared" si="35"/>
        <v>15135551.421922464</v>
      </c>
      <c r="AB58" s="998">
        <f t="shared" si="35"/>
        <v>15513940.207470525</v>
      </c>
      <c r="AC58" s="998">
        <f t="shared" si="35"/>
        <v>15901788.712657288</v>
      </c>
      <c r="AD58" s="998">
        <f t="shared" si="35"/>
        <v>16299333.430473719</v>
      </c>
      <c r="AE58" s="998">
        <f t="shared" si="35"/>
        <v>16706816.76623556</v>
      </c>
      <c r="AF58" s="754"/>
      <c r="AG58" s="754"/>
      <c r="AH58" s="754"/>
      <c r="AI58" s="754"/>
      <c r="AJ58" s="754"/>
      <c r="AK58" s="754"/>
      <c r="AL58" s="754"/>
      <c r="AM58" s="754"/>
      <c r="AN58" s="754"/>
      <c r="AO58" s="754"/>
      <c r="AP58" s="1056"/>
      <c r="AQ58" s="1251"/>
    </row>
    <row r="59" spans="2:43" s="899" customFormat="1" x14ac:dyDescent="0.35">
      <c r="B59" s="888" t="s">
        <v>1206</v>
      </c>
      <c r="C59" s="859" t="s">
        <v>1202</v>
      </c>
      <c r="D59" s="787">
        <f>Master!J92</f>
        <v>192661889.99999994</v>
      </c>
      <c r="E59" s="753">
        <v>20</v>
      </c>
      <c r="F59" s="708">
        <f t="shared" si="33"/>
        <v>9633094.4999999963</v>
      </c>
      <c r="G59" s="753">
        <v>2028</v>
      </c>
      <c r="H59" s="752">
        <f>NPV(Assumptions!$C$5, J59:AP59)</f>
        <v>118344162.9642089</v>
      </c>
      <c r="I59" s="752">
        <f>H59/Assumptions!$C$4</f>
        <v>3944805.4321402968</v>
      </c>
      <c r="J59" s="755"/>
      <c r="K59" s="753"/>
      <c r="L59" s="755">
        <v>0</v>
      </c>
      <c r="M59" s="755">
        <v>0</v>
      </c>
      <c r="N59" s="755">
        <v>0</v>
      </c>
      <c r="O59" s="755">
        <v>0</v>
      </c>
      <c r="P59" s="755">
        <v>0</v>
      </c>
      <c r="Q59" s="998">
        <f t="shared" ref="Q59:Q60" si="36">$F59*Q$3</f>
        <v>9873921.8624999952</v>
      </c>
      <c r="R59" s="998">
        <f t="shared" ref="R59:AJ59" si="37">Q59*R$3</f>
        <v>10120769.909062494</v>
      </c>
      <c r="S59" s="998">
        <f t="shared" si="37"/>
        <v>10373789.156789055</v>
      </c>
      <c r="T59" s="998">
        <f t="shared" si="37"/>
        <v>10633133.885708781</v>
      </c>
      <c r="U59" s="998">
        <f t="shared" si="37"/>
        <v>10898962.2328515</v>
      </c>
      <c r="V59" s="998">
        <f>U59*V$3</f>
        <v>11171436.288672786</v>
      </c>
      <c r="W59" s="998">
        <f t="shared" si="37"/>
        <v>11450722.195889605</v>
      </c>
      <c r="X59" s="998">
        <f t="shared" si="37"/>
        <v>11736990.250786845</v>
      </c>
      <c r="Y59" s="998">
        <f t="shared" si="37"/>
        <v>12030415.007056514</v>
      </c>
      <c r="Z59" s="998">
        <f t="shared" si="37"/>
        <v>12331175.382232925</v>
      </c>
      <c r="AA59" s="998">
        <f t="shared" si="37"/>
        <v>12639454.766788747</v>
      </c>
      <c r="AB59" s="998">
        <f t="shared" si="37"/>
        <v>12955441.135958465</v>
      </c>
      <c r="AC59" s="998">
        <f t="shared" si="37"/>
        <v>13279327.164357426</v>
      </c>
      <c r="AD59" s="998">
        <f t="shared" si="37"/>
        <v>13611310.34346636</v>
      </c>
      <c r="AE59" s="998">
        <f t="shared" si="37"/>
        <v>13951593.102053018</v>
      </c>
      <c r="AF59" s="998">
        <f t="shared" si="37"/>
        <v>14300382.929604342</v>
      </c>
      <c r="AG59" s="998">
        <f t="shared" si="37"/>
        <v>14657892.502844449</v>
      </c>
      <c r="AH59" s="998">
        <f t="shared" si="37"/>
        <v>15024339.815415559</v>
      </c>
      <c r="AI59" s="998">
        <f t="shared" si="37"/>
        <v>15399948.310800947</v>
      </c>
      <c r="AJ59" s="998">
        <f t="shared" si="37"/>
        <v>15784947.018570969</v>
      </c>
      <c r="AK59" s="753"/>
      <c r="AL59" s="753"/>
      <c r="AM59" s="753"/>
      <c r="AN59" s="753"/>
      <c r="AO59" s="753"/>
      <c r="AP59" s="1056"/>
      <c r="AQ59" s="1251"/>
    </row>
    <row r="60" spans="2:43" s="899" customFormat="1" x14ac:dyDescent="0.35">
      <c r="B60" s="888" t="s">
        <v>1207</v>
      </c>
      <c r="C60" s="859" t="s">
        <v>146</v>
      </c>
      <c r="D60" s="787">
        <f>Master!J93</f>
        <v>170623200.00000003</v>
      </c>
      <c r="E60" s="753">
        <v>25</v>
      </c>
      <c r="F60" s="708">
        <f>D60/E60</f>
        <v>6824928.0000000009</v>
      </c>
      <c r="G60" s="753">
        <v>2028</v>
      </c>
      <c r="H60" s="752">
        <f>NPV(Assumptions!$C$5, J60:AP60)</f>
        <v>99215191.48723428</v>
      </c>
      <c r="I60" s="752">
        <f>H60/Assumptions!$C$4</f>
        <v>3307173.0495744762</v>
      </c>
      <c r="J60" s="753"/>
      <c r="K60" s="753"/>
      <c r="L60" s="755">
        <v>0</v>
      </c>
      <c r="M60" s="755">
        <v>0</v>
      </c>
      <c r="N60" s="755">
        <v>0</v>
      </c>
      <c r="O60" s="755">
        <v>0</v>
      </c>
      <c r="P60" s="755">
        <v>0</v>
      </c>
      <c r="Q60" s="998">
        <f t="shared" si="36"/>
        <v>6995551.2000000002</v>
      </c>
      <c r="R60" s="998">
        <f>Q60*R$3</f>
        <v>7170439.9799999995</v>
      </c>
      <c r="S60" s="998">
        <f t="shared" ref="S60:AO60" si="38">R60*S$3</f>
        <v>7349700.9794999985</v>
      </c>
      <c r="T60" s="998">
        <f t="shared" si="38"/>
        <v>7533443.5039874977</v>
      </c>
      <c r="U60" s="998">
        <f t="shared" si="38"/>
        <v>7721779.591587184</v>
      </c>
      <c r="V60" s="998">
        <f t="shared" si="38"/>
        <v>7914824.0813768627</v>
      </c>
      <c r="W60" s="998">
        <f t="shared" si="38"/>
        <v>8112694.6834112834</v>
      </c>
      <c r="X60" s="998">
        <f t="shared" si="38"/>
        <v>8315512.0504965652</v>
      </c>
      <c r="Y60" s="998">
        <f t="shared" si="38"/>
        <v>8523399.8517589793</v>
      </c>
      <c r="Z60" s="998">
        <f t="shared" si="38"/>
        <v>8736484.8480529524</v>
      </c>
      <c r="AA60" s="998">
        <f t="shared" si="38"/>
        <v>8954896.9692542758</v>
      </c>
      <c r="AB60" s="998">
        <f t="shared" si="38"/>
        <v>9178769.3934856318</v>
      </c>
      <c r="AC60" s="998">
        <f t="shared" si="38"/>
        <v>9408238.6283227727</v>
      </c>
      <c r="AD60" s="998">
        <f t="shared" si="38"/>
        <v>9643444.5940308403</v>
      </c>
      <c r="AE60" s="998">
        <f t="shared" si="38"/>
        <v>9884530.708881611</v>
      </c>
      <c r="AF60" s="998">
        <f t="shared" si="38"/>
        <v>10131643.97660365</v>
      </c>
      <c r="AG60" s="998">
        <f t="shared" si="38"/>
        <v>10384935.076018739</v>
      </c>
      <c r="AH60" s="998">
        <f t="shared" si="38"/>
        <v>10644558.452919208</v>
      </c>
      <c r="AI60" s="998">
        <f t="shared" si="38"/>
        <v>10910672.414242188</v>
      </c>
      <c r="AJ60" s="998">
        <f t="shared" si="38"/>
        <v>11183439.224598242</v>
      </c>
      <c r="AK60" s="998">
        <f t="shared" si="38"/>
        <v>11463025.205213197</v>
      </c>
      <c r="AL60" s="998">
        <f t="shared" si="38"/>
        <v>11749600.835343525</v>
      </c>
      <c r="AM60" s="998">
        <f t="shared" si="38"/>
        <v>12043340.856227111</v>
      </c>
      <c r="AN60" s="998">
        <f t="shared" si="38"/>
        <v>12344424.377632787</v>
      </c>
      <c r="AO60" s="998">
        <f t="shared" si="38"/>
        <v>12653034.987073606</v>
      </c>
      <c r="AP60" s="1056"/>
    </row>
    <row r="61" spans="2:43" s="899" customFormat="1" x14ac:dyDescent="0.35">
      <c r="B61" s="942"/>
      <c r="C61" s="751" t="s">
        <v>4</v>
      </c>
      <c r="D61" s="812"/>
      <c r="E61" s="942" t="s">
        <v>5</v>
      </c>
      <c r="F61" s="943"/>
      <c r="G61" s="751"/>
      <c r="H61" s="812">
        <f>NPV(Assumptions!$C$5, J61:AP61)</f>
        <v>102918874.93206483</v>
      </c>
      <c r="I61" s="812">
        <f>H61/Assumptions!$C$4</f>
        <v>3430629.1644021613</v>
      </c>
      <c r="J61" s="751"/>
      <c r="K61" s="751"/>
      <c r="L61" s="812">
        <f>SUM(L56:L60)*Assumptions!$C$7</f>
        <v>4211007.1027559331</v>
      </c>
      <c r="M61" s="812">
        <f>SUM(M56:M60)*Assumptions!$C$7</f>
        <v>4316282.2803248307</v>
      </c>
      <c r="N61" s="812">
        <f>SUM(N56:N60)*Assumptions!$C$7</f>
        <v>4424189.3373329509</v>
      </c>
      <c r="O61" s="812">
        <f>SUM(O56:O60)*Assumptions!$C$7</f>
        <v>4534794.0707662739</v>
      </c>
      <c r="P61" s="812">
        <f>SUM(P56:P60)*Assumptions!$C$7</f>
        <v>4648163.9225354306</v>
      </c>
      <c r="Q61" s="812">
        <f>SUM(Q56:Q60)*Assumptions!$C$7</f>
        <v>6451315.3268488161</v>
      </c>
      <c r="R61" s="812">
        <f>SUM(R56:R60)*Assumptions!$C$7</f>
        <v>6612598.2100200355</v>
      </c>
      <c r="S61" s="812">
        <f>SUM(S56:S60)*Assumptions!$C$7</f>
        <v>6777913.1652705362</v>
      </c>
      <c r="T61" s="812">
        <f>SUM(T56:T60)*Assumptions!$C$7</f>
        <v>6947360.9944022987</v>
      </c>
      <c r="U61" s="812">
        <f>SUM(U56:U60)*Assumptions!$C$7</f>
        <v>7121045.0192623548</v>
      </c>
      <c r="V61" s="812">
        <f>SUM(V56:V60)*Assumptions!$C$7</f>
        <v>7299071.1447439138</v>
      </c>
      <c r="W61" s="812">
        <f>SUM(W56:W60)*Assumptions!$C$7</f>
        <v>7481547.9233625121</v>
      </c>
      <c r="X61" s="812">
        <f>SUM(X56:X60)*Assumptions!$C$7</f>
        <v>7668586.6214465722</v>
      </c>
      <c r="Y61" s="812">
        <f>SUM(Y56:Y60)*Assumptions!$C$7</f>
        <v>7860301.2869827366</v>
      </c>
      <c r="Z61" s="812">
        <f>SUM(Z56:Z60)*Assumptions!$C$7</f>
        <v>8056808.8191573042</v>
      </c>
      <c r="AA61" s="812">
        <f>SUM(AA56:AA60)*Assumptions!$C$7</f>
        <v>8258229.0396362366</v>
      </c>
      <c r="AB61" s="812">
        <f>SUM(AB56:AB60)*Assumptions!$C$7</f>
        <v>8464684.765627142</v>
      </c>
      <c r="AC61" s="812">
        <f>SUM(AC56:AC60)*Assumptions!$C$7</f>
        <v>8676301.8847678192</v>
      </c>
      <c r="AD61" s="812">
        <f>SUM(AD56:AD60)*Assumptions!$C$7</f>
        <v>8893209.4318870138</v>
      </c>
      <c r="AE61" s="812">
        <f>SUM(AE56:AE60)*Assumptions!$C$7</f>
        <v>9115539.6676841881</v>
      </c>
      <c r="AF61" s="812">
        <f>SUM(AF56:AF60)*Assumptions!$C$7</f>
        <v>7630979.4408371486</v>
      </c>
      <c r="AG61" s="812">
        <f>SUM(AG56:AG60)*Assumptions!$C$7</f>
        <v>7821753.926858075</v>
      </c>
      <c r="AH61" s="812">
        <f>SUM(AH56:AH60)*Assumptions!$C$7</f>
        <v>8017297.7750295289</v>
      </c>
      <c r="AI61" s="812">
        <f>SUM(AI56:AI60)*Assumptions!$C$7</f>
        <v>8217730.2194052655</v>
      </c>
      <c r="AJ61" s="812">
        <f>SUM(AJ56:AJ60)*Assumptions!$C$7</f>
        <v>8423173.474890396</v>
      </c>
      <c r="AK61" s="812">
        <f>SUM(AK56:AK60)*Assumptions!$C$7</f>
        <v>7015795.7423591306</v>
      </c>
      <c r="AL61" s="812">
        <f>SUM(AL56:AL60)*Assumptions!$C$7</f>
        <v>7191190.6359181078</v>
      </c>
      <c r="AM61" s="812">
        <f>SUM(AM56:AM60)*Assumptions!$C$7</f>
        <v>7370970.4018160598</v>
      </c>
      <c r="AN61" s="812">
        <f>SUM(AN56:AN60)*Assumptions!$C$7</f>
        <v>7555244.6618614607</v>
      </c>
      <c r="AO61" s="812">
        <f>SUM(AO56:AO60)*Assumptions!$C$7</f>
        <v>7744125.7784079956</v>
      </c>
      <c r="AP61" s="1056"/>
      <c r="AQ61" s="1251"/>
    </row>
    <row r="62" spans="2:43" s="899" customFormat="1" x14ac:dyDescent="0.35">
      <c r="B62" s="888" t="s">
        <v>1208</v>
      </c>
      <c r="C62" s="944" t="s">
        <v>1057</v>
      </c>
      <c r="D62" s="753"/>
      <c r="E62" s="748" t="s">
        <v>5</v>
      </c>
      <c r="F62" s="787">
        <f>Master!J98</f>
        <v>748676.24750092113</v>
      </c>
      <c r="G62" s="753">
        <v>2025</v>
      </c>
      <c r="H62" s="787">
        <f>NPV(Assumptions!$C$5, J62:AP62)</f>
        <v>13662224.301256882</v>
      </c>
      <c r="I62" s="787">
        <f>H62/Assumptions!$C$4</f>
        <v>455407.47670856275</v>
      </c>
      <c r="J62" s="753"/>
      <c r="K62" s="753"/>
      <c r="L62" s="755">
        <v>0</v>
      </c>
      <c r="M62" s="755">
        <v>0</v>
      </c>
      <c r="N62" s="807">
        <f t="shared" ref="N62" si="39">$F62*N3</f>
        <v>767393.15368844406</v>
      </c>
      <c r="O62" s="807">
        <f>N62*O3</f>
        <v>786577.98253065511</v>
      </c>
      <c r="P62" s="807">
        <f>O62*P3</f>
        <v>806242.43209392147</v>
      </c>
      <c r="Q62" s="807">
        <f>P62*Q3</f>
        <v>826398.49289626942</v>
      </c>
      <c r="R62" s="807">
        <f t="shared" ref="R62:U62" si="40">Q62*R3</f>
        <v>847058.45521867613</v>
      </c>
      <c r="S62" s="807">
        <f t="shared" si="40"/>
        <v>868234.91659914295</v>
      </c>
      <c r="T62" s="807">
        <f t="shared" si="40"/>
        <v>889940.78951412148</v>
      </c>
      <c r="U62" s="807">
        <f t="shared" si="40"/>
        <v>912189.30925197445</v>
      </c>
      <c r="V62" s="807">
        <f>U62*V3</f>
        <v>934994.0419832737</v>
      </c>
      <c r="W62" s="807">
        <f>V62*W3</f>
        <v>958368.89303285547</v>
      </c>
      <c r="X62" s="807">
        <f>W62*X3</f>
        <v>982328.11535867676</v>
      </c>
      <c r="Y62" s="807">
        <f>X62*Y3</f>
        <v>1006886.3182426436</v>
      </c>
      <c r="Z62" s="807">
        <f t="shared" ref="Z62:AN62" si="41">Y62*Z3</f>
        <v>1032058.4761987096</v>
      </c>
      <c r="AA62" s="807">
        <f t="shared" si="41"/>
        <v>1057859.9381036772</v>
      </c>
      <c r="AB62" s="807">
        <f t="shared" si="41"/>
        <v>1084306.4365562692</v>
      </c>
      <c r="AC62" s="807">
        <f t="shared" si="41"/>
        <v>1111414.0974701757</v>
      </c>
      <c r="AD62" s="807">
        <f t="shared" si="41"/>
        <v>1139199.4499069301</v>
      </c>
      <c r="AE62" s="807">
        <f t="shared" si="41"/>
        <v>1167679.4361546033</v>
      </c>
      <c r="AF62" s="807">
        <f t="shared" si="41"/>
        <v>1196871.4220584682</v>
      </c>
      <c r="AG62" s="807">
        <f t="shared" si="41"/>
        <v>1226793.2076099298</v>
      </c>
      <c r="AH62" s="807">
        <f t="shared" si="41"/>
        <v>1257463.0378001779</v>
      </c>
      <c r="AI62" s="807">
        <f t="shared" si="41"/>
        <v>1288899.6137451823</v>
      </c>
      <c r="AJ62" s="807">
        <f t="shared" si="41"/>
        <v>1321122.1040888117</v>
      </c>
      <c r="AK62" s="807">
        <f t="shared" si="41"/>
        <v>1354150.1566910318</v>
      </c>
      <c r="AL62" s="807">
        <f t="shared" si="41"/>
        <v>1388003.9106083075</v>
      </c>
      <c r="AM62" s="807">
        <f t="shared" si="41"/>
        <v>1422704.008373515</v>
      </c>
      <c r="AN62" s="807">
        <f t="shared" si="41"/>
        <v>1458271.6085828526</v>
      </c>
      <c r="AO62" s="807">
        <f>AN62*AO3</f>
        <v>1494728.3987974238</v>
      </c>
      <c r="AP62" s="1056"/>
      <c r="AQ62" s="1251"/>
    </row>
    <row r="63" spans="2:43" s="899" customFormat="1" x14ac:dyDescent="0.35">
      <c r="B63" s="888" t="s">
        <v>1210</v>
      </c>
      <c r="C63" s="944" t="s">
        <v>1219</v>
      </c>
      <c r="D63" s="753"/>
      <c r="E63" s="748" t="s">
        <v>5</v>
      </c>
      <c r="F63" s="787"/>
      <c r="G63" s="753">
        <v>2033</v>
      </c>
      <c r="H63" s="787">
        <f>NPV(Assumptions!$C$5, J63:AP63)</f>
        <v>0</v>
      </c>
      <c r="I63" s="787">
        <f>H63/Assumptions!$C$4</f>
        <v>0</v>
      </c>
      <c r="J63" s="753"/>
      <c r="K63" s="753"/>
      <c r="L63" s="755">
        <v>0</v>
      </c>
      <c r="M63" s="755">
        <v>0</v>
      </c>
      <c r="N63" s="755">
        <v>0</v>
      </c>
      <c r="O63" s="755">
        <v>0</v>
      </c>
      <c r="P63" s="755">
        <v>0</v>
      </c>
      <c r="Q63" s="755">
        <v>0</v>
      </c>
      <c r="R63" s="755">
        <v>0</v>
      </c>
      <c r="S63" s="755">
        <v>0</v>
      </c>
      <c r="T63" s="755">
        <v>0</v>
      </c>
      <c r="U63" s="755">
        <v>0</v>
      </c>
      <c r="V63" s="807">
        <f>$F63*V3</f>
        <v>0</v>
      </c>
      <c r="W63" s="807">
        <f>V63*W3</f>
        <v>0</v>
      </c>
      <c r="X63" s="807">
        <f>W63*X3</f>
        <v>0</v>
      </c>
      <c r="Y63" s="807">
        <f t="shared" ref="Y63:AO63" si="42">X63*Y3</f>
        <v>0</v>
      </c>
      <c r="Z63" s="807">
        <f t="shared" si="42"/>
        <v>0</v>
      </c>
      <c r="AA63" s="807">
        <f t="shared" si="42"/>
        <v>0</v>
      </c>
      <c r="AB63" s="807">
        <f t="shared" si="42"/>
        <v>0</v>
      </c>
      <c r="AC63" s="807">
        <f t="shared" si="42"/>
        <v>0</v>
      </c>
      <c r="AD63" s="807">
        <f t="shared" si="42"/>
        <v>0</v>
      </c>
      <c r="AE63" s="807">
        <f t="shared" si="42"/>
        <v>0</v>
      </c>
      <c r="AF63" s="807">
        <f t="shared" si="42"/>
        <v>0</v>
      </c>
      <c r="AG63" s="807">
        <f t="shared" si="42"/>
        <v>0</v>
      </c>
      <c r="AH63" s="807">
        <f t="shared" si="42"/>
        <v>0</v>
      </c>
      <c r="AI63" s="807">
        <f t="shared" si="42"/>
        <v>0</v>
      </c>
      <c r="AJ63" s="807">
        <f t="shared" si="42"/>
        <v>0</v>
      </c>
      <c r="AK63" s="807">
        <f t="shared" si="42"/>
        <v>0</v>
      </c>
      <c r="AL63" s="807">
        <f t="shared" si="42"/>
        <v>0</v>
      </c>
      <c r="AM63" s="807">
        <f t="shared" si="42"/>
        <v>0</v>
      </c>
      <c r="AN63" s="807">
        <f t="shared" si="42"/>
        <v>0</v>
      </c>
      <c r="AO63" s="807">
        <f t="shared" si="42"/>
        <v>0</v>
      </c>
      <c r="AP63" s="1056"/>
      <c r="AQ63" s="1251"/>
    </row>
    <row r="64" spans="2:43" s="899" customFormat="1" x14ac:dyDescent="0.35">
      <c r="B64" s="888" t="s">
        <v>1211</v>
      </c>
      <c r="C64" s="944" t="s">
        <v>147</v>
      </c>
      <c r="D64" s="753"/>
      <c r="E64" s="748" t="s">
        <v>5</v>
      </c>
      <c r="F64" s="787">
        <f>Master!J100</f>
        <v>625847.87583999999</v>
      </c>
      <c r="G64" s="753">
        <v>2033</v>
      </c>
      <c r="H64" s="787">
        <f>NPV(Assumptions!$C$5, J64:AP64)</f>
        <v>6024254.4728276823</v>
      </c>
      <c r="I64" s="787">
        <f>H64/Assumptions!$C$4</f>
        <v>200808.48242758942</v>
      </c>
      <c r="J64" s="753"/>
      <c r="K64" s="753"/>
      <c r="L64" s="755">
        <v>0</v>
      </c>
      <c r="M64" s="755">
        <v>0</v>
      </c>
      <c r="N64" s="755">
        <v>0</v>
      </c>
      <c r="O64" s="755">
        <v>0</v>
      </c>
      <c r="P64" s="755">
        <v>0</v>
      </c>
      <c r="Q64" s="755">
        <v>0</v>
      </c>
      <c r="R64" s="755">
        <v>0</v>
      </c>
      <c r="S64" s="755">
        <v>0</v>
      </c>
      <c r="T64" s="755">
        <v>0</v>
      </c>
      <c r="U64" s="755">
        <v>0</v>
      </c>
      <c r="V64" s="807">
        <f>$F64*V3</f>
        <v>641494.07273599994</v>
      </c>
      <c r="W64" s="807">
        <f>V64*W3</f>
        <v>657531.42455439991</v>
      </c>
      <c r="X64" s="807">
        <f>W64*X3</f>
        <v>673969.7101682598</v>
      </c>
      <c r="Y64" s="807">
        <f t="shared" ref="Y64:AN64" si="43">X64*Y3</f>
        <v>690818.95292246621</v>
      </c>
      <c r="Z64" s="807">
        <f t="shared" si="43"/>
        <v>708089.42674552777</v>
      </c>
      <c r="AA64" s="807">
        <f t="shared" si="43"/>
        <v>725791.66241416591</v>
      </c>
      <c r="AB64" s="807">
        <f t="shared" si="43"/>
        <v>743936.45397451997</v>
      </c>
      <c r="AC64" s="807">
        <f t="shared" si="43"/>
        <v>762534.8653238829</v>
      </c>
      <c r="AD64" s="807">
        <f t="shared" si="43"/>
        <v>781598.23695697985</v>
      </c>
      <c r="AE64" s="807">
        <f t="shared" si="43"/>
        <v>801138.1928809043</v>
      </c>
      <c r="AF64" s="807">
        <f t="shared" si="43"/>
        <v>821166.64770292689</v>
      </c>
      <c r="AG64" s="807">
        <f t="shared" si="43"/>
        <v>841695.81389550003</v>
      </c>
      <c r="AH64" s="807">
        <f t="shared" si="43"/>
        <v>862738.20924288745</v>
      </c>
      <c r="AI64" s="807">
        <f t="shared" si="43"/>
        <v>884306.66447395959</v>
      </c>
      <c r="AJ64" s="807">
        <f t="shared" si="43"/>
        <v>906414.33108580846</v>
      </c>
      <c r="AK64" s="807">
        <f t="shared" si="43"/>
        <v>929074.68936295353</v>
      </c>
      <c r="AL64" s="807">
        <f t="shared" si="43"/>
        <v>952301.55659702735</v>
      </c>
      <c r="AM64" s="807">
        <f t="shared" si="43"/>
        <v>976109.095511953</v>
      </c>
      <c r="AN64" s="807">
        <f t="shared" si="43"/>
        <v>1000511.8228997517</v>
      </c>
      <c r="AO64" s="807">
        <f>AN64*AO3</f>
        <v>1025524.6184722454</v>
      </c>
      <c r="AP64" s="1056"/>
      <c r="AQ64" s="1251"/>
    </row>
    <row r="65" spans="2:43" s="899" customFormat="1" x14ac:dyDescent="0.35">
      <c r="B65" s="888" t="s">
        <v>1213</v>
      </c>
      <c r="C65" s="944" t="s">
        <v>148</v>
      </c>
      <c r="D65" s="753"/>
      <c r="E65" s="748" t="s">
        <v>5</v>
      </c>
      <c r="F65" s="787">
        <f>Master!J101</f>
        <v>662500</v>
      </c>
      <c r="G65" s="753">
        <v>2033</v>
      </c>
      <c r="H65" s="787">
        <f>NPV(Assumptions!$C$5, J65:AP65)</f>
        <v>6377058.6149095902</v>
      </c>
      <c r="I65" s="787">
        <f>H65/Assumptions!$C$4</f>
        <v>212568.62049698635</v>
      </c>
      <c r="J65" s="753"/>
      <c r="K65" s="753"/>
      <c r="L65" s="755">
        <v>0</v>
      </c>
      <c r="M65" s="755">
        <v>0</v>
      </c>
      <c r="N65" s="755">
        <v>0</v>
      </c>
      <c r="O65" s="755">
        <v>0</v>
      </c>
      <c r="P65" s="755">
        <v>0</v>
      </c>
      <c r="Q65" s="755">
        <v>0</v>
      </c>
      <c r="R65" s="755">
        <v>0</v>
      </c>
      <c r="S65" s="755">
        <v>0</v>
      </c>
      <c r="T65" s="755">
        <v>0</v>
      </c>
      <c r="U65" s="755">
        <v>0</v>
      </c>
      <c r="V65" s="807">
        <f>$F65*V3</f>
        <v>679062.49999999988</v>
      </c>
      <c r="W65" s="807">
        <f>V65*W3</f>
        <v>696039.06249999977</v>
      </c>
      <c r="X65" s="807">
        <f>W65*X3</f>
        <v>713440.03906249965</v>
      </c>
      <c r="Y65" s="807">
        <f t="shared" ref="Y65:AN65" si="44">X65*Y3</f>
        <v>731276.04003906203</v>
      </c>
      <c r="Z65" s="807">
        <f t="shared" si="44"/>
        <v>749557.94104003848</v>
      </c>
      <c r="AA65" s="807">
        <f t="shared" si="44"/>
        <v>768296.88956603943</v>
      </c>
      <c r="AB65" s="807">
        <f t="shared" si="44"/>
        <v>787504.3118051904</v>
      </c>
      <c r="AC65" s="807">
        <f t="shared" si="44"/>
        <v>807191.91960032005</v>
      </c>
      <c r="AD65" s="807">
        <f t="shared" si="44"/>
        <v>827371.71759032796</v>
      </c>
      <c r="AE65" s="807">
        <f t="shared" si="44"/>
        <v>848056.01053008612</v>
      </c>
      <c r="AF65" s="807">
        <f t="shared" si="44"/>
        <v>869257.4107933382</v>
      </c>
      <c r="AG65" s="807">
        <f t="shared" si="44"/>
        <v>890988.84606317163</v>
      </c>
      <c r="AH65" s="807">
        <f t="shared" si="44"/>
        <v>913263.5672147508</v>
      </c>
      <c r="AI65" s="807">
        <f t="shared" si="44"/>
        <v>936095.1563951195</v>
      </c>
      <c r="AJ65" s="807">
        <f t="shared" si="44"/>
        <v>959497.53530499735</v>
      </c>
      <c r="AK65" s="807">
        <f t="shared" si="44"/>
        <v>983484.97368762223</v>
      </c>
      <c r="AL65" s="807">
        <f t="shared" si="44"/>
        <v>1008072.0980298127</v>
      </c>
      <c r="AM65" s="807">
        <f t="shared" si="44"/>
        <v>1033273.9004805579</v>
      </c>
      <c r="AN65" s="807">
        <f t="shared" si="44"/>
        <v>1059105.7479925717</v>
      </c>
      <c r="AO65" s="807">
        <f>AN65*AO3</f>
        <v>1085583.3916923858</v>
      </c>
      <c r="AP65" s="1056"/>
      <c r="AQ65" s="1251"/>
    </row>
    <row r="66" spans="2:43" s="900" customFormat="1" x14ac:dyDescent="0.35">
      <c r="B66" s="808"/>
      <c r="C66" s="809"/>
      <c r="D66" s="810"/>
      <c r="E66" s="808"/>
      <c r="F66" s="810">
        <f>SUM(SUM(F57:F65))</f>
        <v>59578042.74778904</v>
      </c>
      <c r="G66" s="809"/>
      <c r="H66" s="810">
        <f>SUM(H57:H65)</f>
        <v>1158171161.6417074</v>
      </c>
      <c r="I66" s="810">
        <f>SUM(SUM(I57:I65))</f>
        <v>38605705.388056919</v>
      </c>
      <c r="J66" s="810"/>
      <c r="K66" s="810"/>
      <c r="L66" s="810">
        <f>SUM(SUM(L57:L65))</f>
        <v>46321078.130315259</v>
      </c>
      <c r="M66" s="810">
        <f t="shared" ref="M66:AO66" si="45">SUM(SUM(M57:M65))</f>
        <v>47479105.083573133</v>
      </c>
      <c r="N66" s="810">
        <f>SUM(SUM(N57:N65))</f>
        <v>49433475.8643509</v>
      </c>
      <c r="O66" s="810">
        <f t="shared" si="45"/>
        <v>50669312.76095967</v>
      </c>
      <c r="P66" s="810">
        <f t="shared" si="45"/>
        <v>51936045.579983652</v>
      </c>
      <c r="Q66" s="810">
        <f t="shared" si="45"/>
        <v>71790867.088233247</v>
      </c>
      <c r="R66" s="810">
        <f t="shared" si="45"/>
        <v>73585638.765439063</v>
      </c>
      <c r="S66" s="810">
        <f t="shared" si="45"/>
        <v>75425279.734575033</v>
      </c>
      <c r="T66" s="810">
        <f t="shared" si="45"/>
        <v>77310911.727939412</v>
      </c>
      <c r="U66" s="810">
        <f t="shared" si="45"/>
        <v>79243684.521137878</v>
      </c>
      <c r="V66" s="810">
        <f>SUM(SUM(V57:V65))</f>
        <v>82545333.206902325</v>
      </c>
      <c r="W66" s="810">
        <f t="shared" si="45"/>
        <v>84608966.537074864</v>
      </c>
      <c r="X66" s="810">
        <f t="shared" si="45"/>
        <v>86724190.700501725</v>
      </c>
      <c r="Y66" s="810">
        <f t="shared" si="45"/>
        <v>88892295.468014255</v>
      </c>
      <c r="Z66" s="810">
        <f t="shared" si="45"/>
        <v>91114602.854714617</v>
      </c>
      <c r="AA66" s="810">
        <f t="shared" si="45"/>
        <v>93392467.926082477</v>
      </c>
      <c r="AB66" s="810">
        <f t="shared" si="45"/>
        <v>95727279.624234527</v>
      </c>
      <c r="AC66" s="810">
        <f t="shared" si="45"/>
        <v>98120461.614840388</v>
      </c>
      <c r="AD66" s="810">
        <f t="shared" si="45"/>
        <v>100573473.1552114</v>
      </c>
      <c r="AE66" s="810">
        <f t="shared" si="45"/>
        <v>103087809.98409165</v>
      </c>
      <c r="AF66" s="810">
        <f t="shared" si="45"/>
        <v>86828069.329763353</v>
      </c>
      <c r="AG66" s="810">
        <f t="shared" si="45"/>
        <v>88998771.063007429</v>
      </c>
      <c r="AH66" s="810">
        <f t="shared" si="45"/>
        <v>91223740.339582622</v>
      </c>
      <c r="AI66" s="810">
        <f t="shared" si="45"/>
        <v>93504333.848072186</v>
      </c>
      <c r="AJ66" s="810">
        <f t="shared" si="45"/>
        <v>95841942.194273964</v>
      </c>
      <c r="AK66" s="810">
        <f t="shared" si="45"/>
        <v>80440462.985692039</v>
      </c>
      <c r="AL66" s="810">
        <f t="shared" si="45"/>
        <v>82451474.560334325</v>
      </c>
      <c r="AM66" s="810">
        <f t="shared" si="45"/>
        <v>84512761.424342677</v>
      </c>
      <c r="AN66" s="810">
        <f t="shared" si="45"/>
        <v>86625580.459951252</v>
      </c>
      <c r="AO66" s="810">
        <f t="shared" si="45"/>
        <v>88791219.971450001</v>
      </c>
      <c r="AP66" s="1056"/>
      <c r="AQ66" s="1251"/>
    </row>
    <row r="67" spans="2:43" s="196" customFormat="1" x14ac:dyDescent="0.35">
      <c r="B67" s="813"/>
      <c r="D67" s="1064"/>
      <c r="E67" s="813"/>
      <c r="F67" s="1064"/>
      <c r="H67" s="1064"/>
      <c r="I67" s="1064"/>
      <c r="J67" s="1064"/>
      <c r="K67" s="1064"/>
      <c r="L67" s="1064"/>
      <c r="M67" s="1064"/>
      <c r="N67" s="1064"/>
      <c r="O67" s="1064"/>
      <c r="P67" s="1064"/>
      <c r="Q67" s="1064"/>
      <c r="R67" s="1064"/>
      <c r="S67" s="1064"/>
      <c r="T67" s="1064"/>
      <c r="U67" s="1064"/>
      <c r="V67" s="1064"/>
      <c r="W67" s="1064"/>
      <c r="X67" s="1064"/>
      <c r="Y67" s="1064"/>
      <c r="Z67" s="1064"/>
      <c r="AA67" s="1064"/>
      <c r="AB67" s="1064"/>
      <c r="AC67" s="1064"/>
      <c r="AD67" s="1064"/>
      <c r="AE67" s="1064"/>
      <c r="AF67" s="1064"/>
      <c r="AG67" s="1064"/>
      <c r="AH67" s="1064"/>
      <c r="AI67" s="1064"/>
      <c r="AJ67" s="1064"/>
      <c r="AK67" s="1064"/>
      <c r="AL67" s="1064"/>
      <c r="AM67" s="1064"/>
      <c r="AN67" s="1064"/>
      <c r="AO67" s="1064"/>
      <c r="AP67" s="1065"/>
    </row>
    <row r="68" spans="2:43" s="900" customFormat="1" x14ac:dyDescent="0.35">
      <c r="B68" s="1061" t="s">
        <v>1094</v>
      </c>
      <c r="C68" s="1062"/>
      <c r="D68" s="1063"/>
      <c r="E68" s="1061"/>
      <c r="F68" s="1063"/>
      <c r="G68" s="1062"/>
      <c r="H68" s="1063">
        <f>SUM(H66,H48,H37,H16,H54)</f>
        <v>218805264978.34857</v>
      </c>
      <c r="I68" s="1063">
        <f>SUM(I66,I48,I37,I16,I54)</f>
        <v>7293508832.611619</v>
      </c>
      <c r="J68" s="1063"/>
      <c r="K68" s="1063"/>
      <c r="L68" s="1063">
        <f>SUM(L66,L48,L37,L16,L54)</f>
        <v>12227402462.104851</v>
      </c>
      <c r="M68" s="1063">
        <f t="shared" ref="M68:AO68" si="46">SUM(M66,M48,M37,M16,M54)</f>
        <v>12571880508.826086</v>
      </c>
      <c r="N68" s="1063">
        <f t="shared" si="46"/>
        <v>13266999535.062355</v>
      </c>
      <c r="O68" s="1063">
        <f t="shared" si="46"/>
        <v>13639431403.481693</v>
      </c>
      <c r="P68" s="1063">
        <f t="shared" si="46"/>
        <v>13795764717.530067</v>
      </c>
      <c r="Q68" s="1063">
        <f t="shared" si="46"/>
        <v>14388570159.825434</v>
      </c>
      <c r="R68" s="1063">
        <f t="shared" si="46"/>
        <v>14792175115.843384</v>
      </c>
      <c r="S68" s="1063">
        <f t="shared" si="46"/>
        <v>14821958514.060696</v>
      </c>
      <c r="T68" s="1063">
        <f t="shared" si="46"/>
        <v>15238620145.724411</v>
      </c>
      <c r="U68" s="1063">
        <f t="shared" si="46"/>
        <v>14347791883.455769</v>
      </c>
      <c r="V68" s="1063">
        <f t="shared" si="46"/>
        <v>11795198189.368538</v>
      </c>
      <c r="W68" s="1063">
        <f t="shared" si="46"/>
        <v>12139736444.840332</v>
      </c>
      <c r="X68" s="1063">
        <f t="shared" si="46"/>
        <v>12494129614.217365</v>
      </c>
      <c r="Y68" s="1063">
        <f t="shared" si="46"/>
        <v>12858655106.785221</v>
      </c>
      <c r="Z68" s="1063">
        <f t="shared" si="46"/>
        <v>13233598042.972586</v>
      </c>
      <c r="AA68" s="1063">
        <f t="shared" si="46"/>
        <v>13619251466.52758</v>
      </c>
      <c r="AB68" s="1063">
        <f t="shared" si="46"/>
        <v>14015916562.483463</v>
      </c>
      <c r="AC68" s="1063">
        <f t="shared" si="46"/>
        <v>14423902881.070557</v>
      </c>
      <c r="AD68" s="1063">
        <f t="shared" si="46"/>
        <v>14843528567.73546</v>
      </c>
      <c r="AE68" s="1063">
        <f t="shared" si="46"/>
        <v>15275120599.432934</v>
      </c>
      <c r="AF68" s="1063">
        <f t="shared" si="46"/>
        <v>14990937751.119253</v>
      </c>
      <c r="AG68" s="1063">
        <f t="shared" si="46"/>
        <v>15429278018.162468</v>
      </c>
      <c r="AH68" s="1063">
        <f t="shared" si="46"/>
        <v>15880165962.46339</v>
      </c>
      <c r="AI68" s="1063">
        <f t="shared" si="46"/>
        <v>16343955005.218014</v>
      </c>
      <c r="AJ68" s="1063">
        <f t="shared" si="46"/>
        <v>16821008396.383827</v>
      </c>
      <c r="AK68" s="1063">
        <f t="shared" si="46"/>
        <v>17293901957.466232</v>
      </c>
      <c r="AL68" s="1063">
        <f t="shared" si="46"/>
        <v>17798169532.312538</v>
      </c>
      <c r="AM68" s="1063">
        <f t="shared" si="46"/>
        <v>18316841797.177746</v>
      </c>
      <c r="AN68" s="1063">
        <f t="shared" si="46"/>
        <v>18850323819.328522</v>
      </c>
      <c r="AO68" s="1063">
        <f t="shared" si="46"/>
        <v>19399031916.463593</v>
      </c>
      <c r="AP68" s="1056"/>
    </row>
    <row r="70" spans="2:43" s="900" customFormat="1" x14ac:dyDescent="0.35">
      <c r="B70" s="1062" t="s">
        <v>1401</v>
      </c>
      <c r="C70" s="1062"/>
      <c r="D70" s="1063"/>
      <c r="E70" s="1061"/>
      <c r="F70" s="1063"/>
      <c r="G70" s="1062"/>
      <c r="H70" s="1063"/>
      <c r="I70" s="1063"/>
      <c r="J70" s="1061" t="s">
        <v>1400</v>
      </c>
      <c r="K70" s="1063"/>
      <c r="L70" s="1063">
        <f>L68/((1+Assumptions!$C$5)^(L2-2024))</f>
        <v>11645145202.00462</v>
      </c>
      <c r="M70" s="1063">
        <f>M68/((1+Assumptions!$C$5)^(M2-2024))</f>
        <v>11403066221.157448</v>
      </c>
      <c r="N70" s="1063">
        <f>N68/((1+Assumptions!$C$5)^(N2-2024))</f>
        <v>11460533018.086473</v>
      </c>
      <c r="O70" s="1063">
        <f>O68/((1+Assumptions!$C$5)^(O2-2024))</f>
        <v>11221193970.3985</v>
      </c>
      <c r="P70" s="1063">
        <f>P68/((1+Assumptions!$C$5)^(P2-2024))</f>
        <v>10809342642.627155</v>
      </c>
      <c r="Q70" s="1063">
        <f>Q68/((1+Assumptions!$C$5)^(Q2-2024))</f>
        <v>10736972588.848082</v>
      </c>
      <c r="R70" s="1063">
        <f>R68/((1+Assumptions!$C$5)^(R2-2024))</f>
        <v>10512522686.845259</v>
      </c>
      <c r="S70" s="1063">
        <f>S68/((1+Assumptions!$C$5)^(S2-2024))</f>
        <v>10032084944.67251</v>
      </c>
      <c r="T70" s="1063">
        <f>T68/((1+Assumptions!$C$5)^(T2-2024))</f>
        <v>9822950416.7901039</v>
      </c>
      <c r="U70" s="1063">
        <f>U68/((1+Assumptions!$C$5)^(U2-2024))</f>
        <v>8808299596.2980289</v>
      </c>
      <c r="V70" s="1063">
        <f>V68/((1+Assumptions!$C$5)^(V2-2024))</f>
        <v>6896408091.9936304</v>
      </c>
      <c r="W70" s="1063">
        <f>W68/((1+Assumptions!$C$5)^(W2-2024))</f>
        <v>6759859499.3009157</v>
      </c>
      <c r="X70" s="1063">
        <f>X68/((1+Assumptions!$C$5)^(X2-2024))</f>
        <v>6625903692.149128</v>
      </c>
      <c r="Y70" s="1063">
        <f>Y68/((1+Assumptions!$C$5)^(Y2-2024))</f>
        <v>6494494613.0593863</v>
      </c>
      <c r="Z70" s="1063">
        <f>Z68/((1+Assumptions!$C$5)^(Z2-2024))</f>
        <v>6365586927.9330149</v>
      </c>
      <c r="AA70" s="1063">
        <f>AA68/((1+Assumptions!$C$5)^(AA2-2024))</f>
        <v>6239136017.7145596</v>
      </c>
      <c r="AB70" s="1063">
        <f>AB68/((1+Assumptions!$C$5)^(AB2-2024))</f>
        <v>6115097970.041688</v>
      </c>
      <c r="AC70" s="1063">
        <f>AC68/((1+Assumptions!$C$5)^(AC2-2024))</f>
        <v>5993429570.8874149</v>
      </c>
      <c r="AD70" s="1063">
        <f>AD68/((1+Assumptions!$C$5)^(AD2-2024))</f>
        <v>5874088296.1996498</v>
      </c>
      <c r="AE70" s="1063">
        <f>AE68/((1+Assumptions!$C$5)^(AE2-2024))</f>
        <v>5757032303.5429974</v>
      </c>
      <c r="AF70" s="1063">
        <f>AF68/((1+Assumptions!$C$5)^(AF2-2024))</f>
        <v>5380882644.5720739</v>
      </c>
      <c r="AG70" s="1063">
        <f>AG68/((1+Assumptions!$C$5)^(AG2-2024))</f>
        <v>5274496701.4684887</v>
      </c>
      <c r="AH70" s="1063">
        <f>AH68/((1+Assumptions!$C$5)^(AH2-2024))</f>
        <v>5170126368.668828</v>
      </c>
      <c r="AI70" s="1063">
        <f>AI68/((1+Assumptions!$C$5)^(AI2-2024))</f>
        <v>5067735974.221611</v>
      </c>
      <c r="AJ70" s="1063">
        <f>AJ68/((1+Assumptions!$C$5)^(AJ2-2024))</f>
        <v>4967290402.2034731</v>
      </c>
      <c r="AK70" s="1063">
        <f>AK68/((1+Assumptions!$C$5)^(AK2-2024))</f>
        <v>4863749696.6753635</v>
      </c>
      <c r="AL70" s="1063">
        <f>AL68/((1+Assumptions!$C$5)^(AL2-2024))</f>
        <v>4767209790.5111599</v>
      </c>
      <c r="AM70" s="1063">
        <f>AM68/((1+Assumptions!$C$5)^(AM2-2024))</f>
        <v>4672509795.0165262</v>
      </c>
      <c r="AN70" s="1063">
        <f>AN68/((1+Assumptions!$C$5)^(AN2-2024))</f>
        <v>4579616823.2356319</v>
      </c>
      <c r="AO70" s="1063">
        <f>AO68/((1+Assumptions!$C$5)^(AO2-2024))</f>
        <v>4488498511.2249079</v>
      </c>
      <c r="AP70" s="1056"/>
    </row>
  </sheetData>
  <phoneticPr fontId="84" type="noConversion"/>
  <pageMargins left="0.7" right="0.7" top="0.75" bottom="0.75" header="0.3" footer="0.3"/>
  <pageSetup paperSize="9"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6" tint="0.39997558519241921"/>
  </sheetPr>
  <dimension ref="B2:I23"/>
  <sheetViews>
    <sheetView zoomScaleNormal="100" workbookViewId="0">
      <selection activeCell="E12" sqref="E12"/>
    </sheetView>
  </sheetViews>
  <sheetFormatPr defaultColWidth="9" defaultRowHeight="13" x14ac:dyDescent="0.3"/>
  <cols>
    <col min="1" max="1" width="9" style="125"/>
    <col min="2" max="2" width="23.54296875" style="125" customWidth="1"/>
    <col min="3" max="3" width="19.08984375" style="125" bestFit="1" customWidth="1"/>
    <col min="4" max="4" width="9" style="125"/>
    <col min="5" max="8" width="22.26953125" style="125" customWidth="1"/>
    <col min="9" max="16384" width="9" style="125"/>
  </cols>
  <sheetData>
    <row r="2" spans="2:9" x14ac:dyDescent="0.3">
      <c r="B2" s="1662" t="s">
        <v>476</v>
      </c>
      <c r="C2" s="1662"/>
      <c r="E2" s="1663" t="s">
        <v>1395</v>
      </c>
      <c r="F2" s="1664"/>
      <c r="G2" s="1664"/>
      <c r="H2" s="1665"/>
    </row>
    <row r="3" spans="2:9" ht="16" customHeight="1" x14ac:dyDescent="0.3">
      <c r="B3" s="1248" t="s">
        <v>1399</v>
      </c>
      <c r="C3" s="1339">
        <f>SUM(E4:H4)*1000000000</f>
        <v>2406800000000</v>
      </c>
      <c r="E3" s="1238" t="s">
        <v>1391</v>
      </c>
      <c r="F3" s="1239" t="s">
        <v>1392</v>
      </c>
      <c r="G3" s="1239" t="s">
        <v>1393</v>
      </c>
      <c r="H3" s="1240" t="s">
        <v>1394</v>
      </c>
    </row>
    <row r="4" spans="2:9" ht="14.5" x14ac:dyDescent="0.35">
      <c r="B4" s="1234" t="s">
        <v>477</v>
      </c>
      <c r="C4" s="1235">
        <v>30</v>
      </c>
      <c r="E4" s="1241">
        <v>595.6</v>
      </c>
      <c r="F4" s="1242">
        <v>600.5</v>
      </c>
      <c r="G4" s="1242">
        <v>604</v>
      </c>
      <c r="H4" s="1243">
        <v>606.70000000000005</v>
      </c>
    </row>
    <row r="5" spans="2:9" x14ac:dyDescent="0.3">
      <c r="B5" s="1234" t="s">
        <v>478</v>
      </c>
      <c r="C5" s="1236">
        <v>0.05</v>
      </c>
      <c r="E5" s="1244" t="s">
        <v>1271</v>
      </c>
      <c r="F5" s="1245"/>
      <c r="G5" s="1245"/>
      <c r="H5" s="1246"/>
    </row>
    <row r="6" spans="2:9" x14ac:dyDescent="0.3">
      <c r="B6" s="1234" t="s">
        <v>1273</v>
      </c>
      <c r="C6" s="1249">
        <v>2.5000000000000001E-2</v>
      </c>
      <c r="E6" s="1244" t="s">
        <v>1398</v>
      </c>
      <c r="F6" s="1245"/>
      <c r="G6" s="1245"/>
      <c r="H6" s="1246"/>
    </row>
    <row r="7" spans="2:9" x14ac:dyDescent="0.3">
      <c r="B7" s="1234" t="s">
        <v>113</v>
      </c>
      <c r="C7" s="1249">
        <v>0.1</v>
      </c>
      <c r="E7" s="1244" t="s">
        <v>1277</v>
      </c>
      <c r="F7" s="1245"/>
      <c r="G7" s="1245"/>
      <c r="H7" s="1246"/>
    </row>
    <row r="8" spans="2:9" ht="28" customHeight="1" x14ac:dyDescent="0.3">
      <c r="B8" s="1234" t="s">
        <v>1372</v>
      </c>
      <c r="C8" s="1271">
        <v>35</v>
      </c>
      <c r="E8" s="1247" t="s">
        <v>1170</v>
      </c>
      <c r="F8" s="1346"/>
      <c r="G8" s="1346"/>
      <c r="H8" s="1347"/>
      <c r="I8" s="1348"/>
    </row>
    <row r="9" spans="2:9" ht="29" customHeight="1" x14ac:dyDescent="0.3">
      <c r="B9" s="1234" t="s">
        <v>1373</v>
      </c>
      <c r="C9" s="1271">
        <v>75</v>
      </c>
    </row>
    <row r="10" spans="2:9" x14ac:dyDescent="0.3">
      <c r="B10" s="1234" t="s">
        <v>1291</v>
      </c>
      <c r="C10" s="1249">
        <v>0.02</v>
      </c>
    </row>
    <row r="11" spans="2:9" x14ac:dyDescent="0.3">
      <c r="B11" s="1234" t="s">
        <v>1278</v>
      </c>
      <c r="C11" s="1235">
        <v>32308944</v>
      </c>
    </row>
    <row r="12" spans="2:9" ht="26" customHeight="1" x14ac:dyDescent="0.3">
      <c r="B12" s="1237" t="s">
        <v>1359</v>
      </c>
      <c r="C12" s="1292">
        <v>1.0580000000000001</v>
      </c>
    </row>
    <row r="13" spans="2:9" x14ac:dyDescent="0.3">
      <c r="B13" s="1303" t="s">
        <v>1360</v>
      </c>
    </row>
    <row r="15" spans="2:9" x14ac:dyDescent="0.3">
      <c r="C15" s="1350"/>
    </row>
    <row r="16" spans="2:9" x14ac:dyDescent="0.3">
      <c r="F16" s="1233"/>
      <c r="G16" s="1233"/>
    </row>
    <row r="17" spans="3:7" x14ac:dyDescent="0.3">
      <c r="F17" s="1232"/>
      <c r="G17" s="1232"/>
    </row>
    <row r="18" spans="3:7" x14ac:dyDescent="0.3">
      <c r="F18" s="1232"/>
      <c r="G18" s="1232"/>
    </row>
    <row r="19" spans="3:7" x14ac:dyDescent="0.3">
      <c r="F19" s="1232"/>
      <c r="G19" s="1232"/>
    </row>
    <row r="20" spans="3:7" x14ac:dyDescent="0.3">
      <c r="F20" s="1232"/>
      <c r="G20" s="1232"/>
    </row>
    <row r="21" spans="3:7" x14ac:dyDescent="0.3">
      <c r="C21" s="819"/>
    </row>
    <row r="23" spans="3:7" ht="14.5" x14ac:dyDescent="0.3">
      <c r="C23" s="570"/>
    </row>
  </sheetData>
  <mergeCells count="2">
    <mergeCell ref="B2:C2"/>
    <mergeCell ref="E2:H2"/>
  </mergeCells>
  <hyperlinks>
    <hyperlink ref="E8" r:id="rId1" location="data-download" xr:uid="{4B09E58D-FC3A-41D8-9D23-6039B480F337}"/>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4D12C8-887C-462F-BAF8-F35CCA21A288}">
  <sheetPr>
    <tabColor theme="0" tint="-0.249977111117893"/>
  </sheetPr>
  <dimension ref="B3:D31"/>
  <sheetViews>
    <sheetView topLeftCell="A14" zoomScale="70" zoomScaleNormal="70" workbookViewId="0">
      <selection activeCell="G10" sqref="G10"/>
    </sheetView>
  </sheetViews>
  <sheetFormatPr defaultRowHeight="14.5" x14ac:dyDescent="0.35"/>
  <cols>
    <col min="1" max="1" width="9.08984375" customWidth="1"/>
    <col min="2" max="2" width="9.26953125" style="850" bestFit="1" customWidth="1"/>
    <col min="3" max="3" width="19.26953125" style="850" customWidth="1"/>
    <col min="4" max="4" width="17.26953125" style="850" bestFit="1" customWidth="1"/>
  </cols>
  <sheetData>
    <row r="3" spans="2:4" ht="26.5" customHeight="1" x14ac:dyDescent="0.35">
      <c r="B3" s="1666" t="s">
        <v>1396</v>
      </c>
      <c r="C3" s="1667"/>
      <c r="D3" s="1667"/>
    </row>
    <row r="4" spans="2:4" ht="30.5" customHeight="1" x14ac:dyDescent="0.35">
      <c r="B4" s="1342" t="s">
        <v>117</v>
      </c>
      <c r="C4" s="1344" t="s">
        <v>1154</v>
      </c>
      <c r="D4" s="1343" t="s">
        <v>1397</v>
      </c>
    </row>
    <row r="5" spans="2:4" x14ac:dyDescent="0.35">
      <c r="B5" s="851">
        <v>2000</v>
      </c>
      <c r="C5" s="1340">
        <v>1.7809999999999999</v>
      </c>
      <c r="D5" s="1345">
        <v>4.3999999999999997E-2</v>
      </c>
    </row>
    <row r="6" spans="2:4" x14ac:dyDescent="0.35">
      <c r="B6" s="851">
        <v>2001</v>
      </c>
      <c r="C6" s="1340">
        <v>1.706</v>
      </c>
      <c r="D6" s="1345">
        <v>0.03</v>
      </c>
    </row>
    <row r="7" spans="2:4" x14ac:dyDescent="0.35">
      <c r="B7" s="851">
        <v>2002</v>
      </c>
      <c r="C7" s="1340">
        <v>1.6559999999999999</v>
      </c>
      <c r="D7" s="1345">
        <v>2.7E-2</v>
      </c>
    </row>
    <row r="8" spans="2:4" x14ac:dyDescent="0.35">
      <c r="B8" s="851">
        <v>2003</v>
      </c>
      <c r="C8" s="1340">
        <v>1.6120000000000001</v>
      </c>
      <c r="D8" s="1345">
        <v>2.3E-2</v>
      </c>
    </row>
    <row r="9" spans="2:4" x14ac:dyDescent="0.35">
      <c r="B9" s="851">
        <v>2004</v>
      </c>
      <c r="C9" s="1340">
        <v>1.575</v>
      </c>
      <c r="D9" s="1345">
        <v>2.7E-2</v>
      </c>
    </row>
    <row r="10" spans="2:4" x14ac:dyDescent="0.35">
      <c r="B10" s="851">
        <v>2005</v>
      </c>
      <c r="C10" s="1340">
        <v>1.534</v>
      </c>
      <c r="D10" s="1345">
        <v>3.5999999999999997E-2</v>
      </c>
    </row>
    <row r="11" spans="2:4" x14ac:dyDescent="0.35">
      <c r="B11" s="851">
        <v>2006</v>
      </c>
      <c r="C11" s="1340">
        <v>1.482</v>
      </c>
      <c r="D11" s="1345">
        <v>2.3E-2</v>
      </c>
    </row>
    <row r="12" spans="2:4" x14ac:dyDescent="0.35">
      <c r="B12" s="851">
        <v>2007</v>
      </c>
      <c r="C12" s="1340">
        <v>1.448</v>
      </c>
      <c r="D12" s="1345">
        <v>4.3999999999999997E-2</v>
      </c>
    </row>
    <row r="13" spans="2:4" x14ac:dyDescent="0.35">
      <c r="B13" s="851">
        <v>2008</v>
      </c>
      <c r="C13" s="1340">
        <v>1.387</v>
      </c>
      <c r="D13" s="1345">
        <v>1.7999999999999999E-2</v>
      </c>
    </row>
    <row r="14" spans="2:4" x14ac:dyDescent="0.35">
      <c r="B14" s="851">
        <v>2009</v>
      </c>
      <c r="C14" s="1340">
        <v>1.363</v>
      </c>
      <c r="D14" s="1345">
        <v>2.9000000000000001E-2</v>
      </c>
    </row>
    <row r="15" spans="2:4" x14ac:dyDescent="0.35">
      <c r="B15" s="851">
        <v>2010</v>
      </c>
      <c r="C15" s="1340">
        <v>1.325</v>
      </c>
      <c r="D15" s="1345">
        <v>3.3000000000000002E-2</v>
      </c>
    </row>
    <row r="16" spans="2:4" x14ac:dyDescent="0.35">
      <c r="B16" s="851">
        <v>2011</v>
      </c>
      <c r="C16" s="1340">
        <v>1.282</v>
      </c>
      <c r="D16" s="1345">
        <v>1.7999999999999999E-2</v>
      </c>
    </row>
    <row r="17" spans="2:4" x14ac:dyDescent="0.35">
      <c r="B17" s="851">
        <v>2012</v>
      </c>
      <c r="C17" s="1340">
        <v>1.26</v>
      </c>
      <c r="D17" s="1345">
        <v>2.4E-2</v>
      </c>
    </row>
    <row r="18" spans="2:4" x14ac:dyDescent="0.35">
      <c r="B18" s="851">
        <v>2013</v>
      </c>
      <c r="C18" s="1340">
        <v>1.23</v>
      </c>
      <c r="D18" s="1345">
        <v>2.5000000000000001E-2</v>
      </c>
    </row>
    <row r="19" spans="2:4" x14ac:dyDescent="0.35">
      <c r="B19" s="851">
        <v>2014</v>
      </c>
      <c r="C19" s="1340">
        <v>1.2</v>
      </c>
      <c r="D19" s="1345">
        <v>1.4999999999999999E-2</v>
      </c>
    </row>
    <row r="20" spans="2:4" x14ac:dyDescent="0.35">
      <c r="B20" s="851">
        <v>2015</v>
      </c>
      <c r="C20" s="1340">
        <v>1.1819999999999999</v>
      </c>
      <c r="D20" s="1345">
        <v>1.2999999999999999E-2</v>
      </c>
    </row>
    <row r="21" spans="2:4" x14ac:dyDescent="0.35">
      <c r="B21" s="851">
        <v>2016</v>
      </c>
      <c r="C21" s="1340">
        <v>1.167</v>
      </c>
      <c r="D21" s="1345">
        <v>1.9E-2</v>
      </c>
    </row>
    <row r="22" spans="2:4" x14ac:dyDescent="0.35">
      <c r="B22" s="851">
        <v>2017</v>
      </c>
      <c r="C22" s="1340">
        <v>1.145</v>
      </c>
      <c r="D22" s="1345">
        <v>1.9E-2</v>
      </c>
    </row>
    <row r="23" spans="2:4" x14ac:dyDescent="0.35">
      <c r="B23" s="851">
        <v>2018</v>
      </c>
      <c r="C23" s="1340">
        <v>1.1240000000000001</v>
      </c>
      <c r="D23" s="1345">
        <v>1.6E-2</v>
      </c>
    </row>
    <row r="24" spans="2:4" x14ac:dyDescent="0.35">
      <c r="B24" s="851">
        <v>2019</v>
      </c>
      <c r="C24" s="1340">
        <v>1.1060000000000001</v>
      </c>
      <c r="D24" s="1345">
        <v>8.0000000000000002E-3</v>
      </c>
    </row>
    <row r="25" spans="2:4" x14ac:dyDescent="0.35">
      <c r="B25" s="851">
        <v>2020</v>
      </c>
      <c r="C25" s="1340">
        <v>1.0960000000000001</v>
      </c>
      <c r="D25" s="1345">
        <v>2.9000000000000001E-2</v>
      </c>
    </row>
    <row r="26" spans="2:4" x14ac:dyDescent="0.35">
      <c r="B26" s="851">
        <v>2021</v>
      </c>
      <c r="C26" s="1340">
        <v>1.0660000000000001</v>
      </c>
      <c r="D26" s="1345">
        <v>6.6000000000000003E-2</v>
      </c>
    </row>
    <row r="27" spans="2:4" x14ac:dyDescent="0.35">
      <c r="B27" s="851">
        <v>2022</v>
      </c>
      <c r="C27" s="1340">
        <v>1</v>
      </c>
      <c r="D27" s="1345">
        <v>5.6000000000000001E-2</v>
      </c>
    </row>
    <row r="28" spans="2:4" x14ac:dyDescent="0.35">
      <c r="B28" s="852">
        <v>2023</v>
      </c>
      <c r="C28" s="1341"/>
      <c r="D28" s="1338"/>
    </row>
    <row r="30" spans="2:4" x14ac:dyDescent="0.35">
      <c r="B30" t="s">
        <v>1153</v>
      </c>
    </row>
    <row r="31" spans="2:4" x14ac:dyDescent="0.35">
      <c r="B31" t="s">
        <v>1272</v>
      </c>
    </row>
  </sheetData>
  <mergeCells count="1">
    <mergeCell ref="B3:D3"/>
  </mergeCell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2" tint="-0.499984740745262"/>
  </sheetPr>
  <dimension ref="A1:C39"/>
  <sheetViews>
    <sheetView topLeftCell="B29" workbookViewId="0">
      <selection activeCell="B42" sqref="B42"/>
    </sheetView>
  </sheetViews>
  <sheetFormatPr defaultColWidth="9" defaultRowHeight="14.5" x14ac:dyDescent="0.35"/>
  <cols>
    <col min="1" max="1" width="3.81640625" style="67" customWidth="1"/>
    <col min="2" max="2" width="176.54296875" style="67" customWidth="1"/>
    <col min="3" max="3" width="47" style="67" customWidth="1"/>
    <col min="4" max="16384" width="9" style="67"/>
  </cols>
  <sheetData>
    <row r="1" spans="1:3" s="400" customFormat="1" x14ac:dyDescent="0.35">
      <c r="B1" s="401" t="s">
        <v>333</v>
      </c>
    </row>
    <row r="2" spans="1:3" x14ac:dyDescent="0.35">
      <c r="B2" s="334" t="s">
        <v>479</v>
      </c>
    </row>
    <row r="3" spans="1:3" x14ac:dyDescent="0.35">
      <c r="B3" s="334" t="s">
        <v>480</v>
      </c>
    </row>
    <row r="4" spans="1:3" x14ac:dyDescent="0.35">
      <c r="B4" s="335" t="s">
        <v>481</v>
      </c>
    </row>
    <row r="5" spans="1:3" x14ac:dyDescent="0.35">
      <c r="B5" s="335"/>
    </row>
    <row r="6" spans="1:3" s="402" customFormat="1" x14ac:dyDescent="0.35">
      <c r="B6" s="403" t="s">
        <v>334</v>
      </c>
    </row>
    <row r="7" spans="1:3" x14ac:dyDescent="0.35">
      <c r="B7" s="334"/>
    </row>
    <row r="8" spans="1:3" s="397" customFormat="1" x14ac:dyDescent="0.35">
      <c r="B8" s="398" t="s">
        <v>482</v>
      </c>
    </row>
    <row r="9" spans="1:3" x14ac:dyDescent="0.35">
      <c r="A9" s="341">
        <v>1</v>
      </c>
      <c r="B9" s="335" t="s">
        <v>483</v>
      </c>
    </row>
    <row r="10" spans="1:3" x14ac:dyDescent="0.35">
      <c r="A10" s="341">
        <v>2</v>
      </c>
      <c r="B10" s="335" t="s">
        <v>481</v>
      </c>
    </row>
    <row r="11" spans="1:3" x14ac:dyDescent="0.35">
      <c r="A11" s="341"/>
      <c r="B11" s="335"/>
    </row>
    <row r="12" spans="1:3" x14ac:dyDescent="0.35">
      <c r="B12" s="335"/>
    </row>
    <row r="13" spans="1:3" s="337" customFormat="1" x14ac:dyDescent="0.35">
      <c r="B13" s="338" t="s">
        <v>336</v>
      </c>
      <c r="C13" s="337" t="s">
        <v>484</v>
      </c>
    </row>
    <row r="14" spans="1:3" x14ac:dyDescent="0.35">
      <c r="A14" s="341">
        <v>1</v>
      </c>
      <c r="B14" s="336" t="s">
        <v>485</v>
      </c>
      <c r="C14" s="2" t="s">
        <v>486</v>
      </c>
    </row>
    <row r="15" spans="1:3" x14ac:dyDescent="0.35">
      <c r="A15" s="341">
        <v>2</v>
      </c>
      <c r="B15" s="336" t="s">
        <v>487</v>
      </c>
      <c r="C15" s="2" t="s">
        <v>486</v>
      </c>
    </row>
    <row r="16" spans="1:3" x14ac:dyDescent="0.35">
      <c r="A16" s="341">
        <v>3</v>
      </c>
      <c r="B16" s="336" t="s">
        <v>488</v>
      </c>
      <c r="C16" s="2" t="s">
        <v>486</v>
      </c>
    </row>
    <row r="17" spans="1:3" x14ac:dyDescent="0.35">
      <c r="A17" s="341">
        <v>4</v>
      </c>
      <c r="B17" s="336" t="s">
        <v>489</v>
      </c>
      <c r="C17" s="2" t="s">
        <v>490</v>
      </c>
    </row>
    <row r="18" spans="1:3" x14ac:dyDescent="0.35">
      <c r="A18" s="341">
        <v>5</v>
      </c>
      <c r="B18" s="336" t="s">
        <v>491</v>
      </c>
      <c r="C18" s="2" t="s">
        <v>492</v>
      </c>
    </row>
    <row r="19" spans="1:3" x14ac:dyDescent="0.35">
      <c r="A19" s="341">
        <v>6</v>
      </c>
      <c r="B19" s="336" t="s">
        <v>493</v>
      </c>
      <c r="C19" s="2" t="s">
        <v>490</v>
      </c>
    </row>
    <row r="20" spans="1:3" x14ac:dyDescent="0.35">
      <c r="A20" s="341">
        <v>7</v>
      </c>
      <c r="B20" s="336" t="s">
        <v>494</v>
      </c>
      <c r="C20" s="2"/>
    </row>
    <row r="21" spans="1:3" x14ac:dyDescent="0.35">
      <c r="A21" s="341">
        <v>8</v>
      </c>
      <c r="B21" s="336" t="s">
        <v>495</v>
      </c>
      <c r="C21" s="2"/>
    </row>
    <row r="22" spans="1:3" x14ac:dyDescent="0.35">
      <c r="A22" s="341">
        <v>9</v>
      </c>
      <c r="B22" s="335" t="s">
        <v>481</v>
      </c>
      <c r="C22" s="2"/>
    </row>
    <row r="23" spans="1:3" x14ac:dyDescent="0.35">
      <c r="A23" s="341">
        <v>10</v>
      </c>
      <c r="B23" s="335" t="s">
        <v>496</v>
      </c>
      <c r="C23" s="2"/>
    </row>
    <row r="24" spans="1:3" x14ac:dyDescent="0.35">
      <c r="A24" s="341"/>
      <c r="B24" s="335"/>
      <c r="C24" s="2"/>
    </row>
    <row r="25" spans="1:3" s="339" customFormat="1" x14ac:dyDescent="0.35">
      <c r="B25" s="340" t="s">
        <v>337</v>
      </c>
      <c r="C25" s="348" t="s">
        <v>484</v>
      </c>
    </row>
    <row r="26" spans="1:3" x14ac:dyDescent="0.35">
      <c r="A26" s="341">
        <v>1</v>
      </c>
      <c r="B26" s="336" t="s">
        <v>497</v>
      </c>
      <c r="C26" s="2" t="s">
        <v>486</v>
      </c>
    </row>
    <row r="27" spans="1:3" x14ac:dyDescent="0.35">
      <c r="A27" s="341">
        <v>2</v>
      </c>
      <c r="B27" s="336" t="s">
        <v>498</v>
      </c>
      <c r="C27" s="2" t="s">
        <v>486</v>
      </c>
    </row>
    <row r="28" spans="1:3" x14ac:dyDescent="0.35">
      <c r="A28" s="341">
        <v>3</v>
      </c>
      <c r="B28" s="336" t="s">
        <v>499</v>
      </c>
      <c r="C28" s="2" t="s">
        <v>500</v>
      </c>
    </row>
    <row r="29" spans="1:3" x14ac:dyDescent="0.35">
      <c r="A29" s="341">
        <v>4</v>
      </c>
      <c r="B29" s="336" t="s">
        <v>501</v>
      </c>
      <c r="C29" s="2" t="s">
        <v>490</v>
      </c>
    </row>
    <row r="30" spans="1:3" x14ac:dyDescent="0.35">
      <c r="A30" s="341">
        <v>5</v>
      </c>
      <c r="B30" s="336" t="s">
        <v>502</v>
      </c>
      <c r="C30" s="346" t="s">
        <v>503</v>
      </c>
    </row>
    <row r="31" spans="1:3" x14ac:dyDescent="0.35">
      <c r="B31" s="336"/>
    </row>
    <row r="32" spans="1:3" x14ac:dyDescent="0.35">
      <c r="B32" s="336"/>
    </row>
    <row r="33" spans="1:2" s="342" customFormat="1" x14ac:dyDescent="0.35">
      <c r="B33" s="343" t="s">
        <v>338</v>
      </c>
    </row>
    <row r="34" spans="1:2" x14ac:dyDescent="0.35">
      <c r="A34" s="341">
        <v>1</v>
      </c>
      <c r="B34" s="336" t="s">
        <v>504</v>
      </c>
    </row>
    <row r="35" spans="1:2" x14ac:dyDescent="0.35">
      <c r="A35" s="341">
        <v>2</v>
      </c>
      <c r="B35" s="336" t="s">
        <v>505</v>
      </c>
    </row>
    <row r="36" spans="1:2" x14ac:dyDescent="0.35">
      <c r="A36" s="341"/>
      <c r="B36" s="336"/>
    </row>
    <row r="37" spans="1:2" s="344" customFormat="1" x14ac:dyDescent="0.35">
      <c r="B37" s="345" t="s">
        <v>351</v>
      </c>
    </row>
    <row r="38" spans="1:2" x14ac:dyDescent="0.35">
      <c r="B38" s="396" t="s">
        <v>506</v>
      </c>
    </row>
    <row r="39" spans="1:2" x14ac:dyDescent="0.35">
      <c r="B39" s="67" t="s">
        <v>507</v>
      </c>
    </row>
  </sheetData>
  <hyperlinks>
    <hyperlink ref="C30" r:id="rId1" xr:uid="{00000000-0004-0000-0E00-000000000000}"/>
  </hyperlinks>
  <pageMargins left="0.7" right="0.7" top="0.75" bottom="0.75" header="0.3" footer="0.3"/>
  <pageSetup paperSize="9" orientation="portrait"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47829A"/>
  </sheetPr>
  <dimension ref="A1:O2536"/>
  <sheetViews>
    <sheetView zoomScale="55" zoomScaleNormal="55" workbookViewId="0">
      <selection activeCell="D5" sqref="D5"/>
    </sheetView>
  </sheetViews>
  <sheetFormatPr defaultColWidth="9" defaultRowHeight="14.5" x14ac:dyDescent="0.35"/>
  <cols>
    <col min="1" max="1" width="34.453125" style="33" bestFit="1" customWidth="1"/>
    <col min="2" max="2" width="33.1796875" style="33" customWidth="1"/>
    <col min="3" max="3" width="16.453125" style="33" customWidth="1"/>
    <col min="4" max="4" width="19" style="33" customWidth="1"/>
    <col min="5" max="5" width="16" style="33" customWidth="1"/>
    <col min="6" max="6" width="21" style="33" customWidth="1"/>
    <col min="7" max="7" width="9" style="33" customWidth="1"/>
    <col min="8" max="8" width="13.453125" style="33" customWidth="1"/>
    <col min="9" max="9" width="14" style="33" bestFit="1" customWidth="1"/>
    <col min="10" max="11" width="9" style="33"/>
    <col min="12" max="12" width="11.81640625" style="33" bestFit="1" customWidth="1"/>
    <col min="13" max="13" width="14.26953125" style="33" bestFit="1" customWidth="1"/>
    <col min="14" max="14" width="15.453125" style="33" bestFit="1" customWidth="1"/>
    <col min="15" max="16" width="9" style="33" customWidth="1"/>
    <col min="17" max="16384" width="9" style="33"/>
  </cols>
  <sheetData>
    <row r="1" spans="1:15" s="1" customFormat="1" ht="15.5" x14ac:dyDescent="0.35">
      <c r="A1" s="323" t="s">
        <v>509</v>
      </c>
    </row>
    <row r="2" spans="1:15" x14ac:dyDescent="0.35">
      <c r="N2" s="126"/>
    </row>
    <row r="3" spans="1:15" s="325" customFormat="1" x14ac:dyDescent="0.35">
      <c r="A3" s="696" t="s">
        <v>510</v>
      </c>
      <c r="N3" s="326"/>
    </row>
    <row r="4" spans="1:15" s="797" customFormat="1" ht="58.15" customHeight="1" x14ac:dyDescent="0.35">
      <c r="A4" s="797" t="s">
        <v>7</v>
      </c>
      <c r="B4" s="797" t="s">
        <v>63</v>
      </c>
      <c r="C4" s="797" t="s">
        <v>511</v>
      </c>
      <c r="D4" s="797" t="s">
        <v>512</v>
      </c>
      <c r="E4" s="797" t="s">
        <v>999</v>
      </c>
      <c r="F4" s="797" t="s">
        <v>1000</v>
      </c>
      <c r="G4" s="797" t="s">
        <v>67</v>
      </c>
      <c r="H4" s="797" t="s">
        <v>68</v>
      </c>
      <c r="I4" s="797" t="s">
        <v>69</v>
      </c>
      <c r="J4" s="797" t="s">
        <v>70</v>
      </c>
      <c r="K4" s="797" t="s">
        <v>71</v>
      </c>
      <c r="L4" s="797" t="s">
        <v>513</v>
      </c>
      <c r="M4" s="797" t="s">
        <v>514</v>
      </c>
      <c r="O4" s="798"/>
    </row>
    <row r="5" spans="1:15" s="788" customFormat="1" x14ac:dyDescent="0.35">
      <c r="A5" s="788" t="s">
        <v>8</v>
      </c>
      <c r="B5" s="788" t="s">
        <v>74</v>
      </c>
      <c r="C5" s="796">
        <f>D5/10</f>
        <v>4416.4967579150198</v>
      </c>
      <c r="D5" s="796">
        <v>44164.967579150201</v>
      </c>
      <c r="E5" s="795">
        <v>10263936.090924511</v>
      </c>
      <c r="F5" s="795">
        <v>65677384.758690432</v>
      </c>
      <c r="M5" s="795">
        <v>67300.404599400004</v>
      </c>
      <c r="N5" s="789"/>
    </row>
    <row r="6" spans="1:15" s="788" customFormat="1" x14ac:dyDescent="0.35">
      <c r="A6" s="788" t="s">
        <v>9</v>
      </c>
      <c r="B6" s="788" t="s">
        <v>74</v>
      </c>
      <c r="C6" s="796">
        <f t="shared" ref="C6:C60" si="0">D6/10</f>
        <v>2731.3786081015173</v>
      </c>
      <c r="D6" s="796">
        <v>27313.786081015172</v>
      </c>
      <c r="E6" s="795">
        <v>4455552.3074630313</v>
      </c>
      <c r="F6" s="795">
        <v>46901904.214609325</v>
      </c>
      <c r="M6" s="795">
        <v>180009.59720213999</v>
      </c>
      <c r="N6" s="789"/>
    </row>
    <row r="7" spans="1:15" s="788" customFormat="1" x14ac:dyDescent="0.35">
      <c r="A7" s="788" t="s">
        <v>61</v>
      </c>
      <c r="B7" s="788" t="s">
        <v>74</v>
      </c>
      <c r="C7" s="796">
        <f t="shared" si="0"/>
        <v>1.8536703989516021</v>
      </c>
      <c r="D7" s="796">
        <v>18.53670398951602</v>
      </c>
      <c r="E7" s="795">
        <v>0</v>
      </c>
      <c r="F7" s="795">
        <v>0</v>
      </c>
      <c r="M7" s="795">
        <v>0</v>
      </c>
      <c r="N7" s="789"/>
    </row>
    <row r="8" spans="1:15" s="788" customFormat="1" x14ac:dyDescent="0.35">
      <c r="A8" s="788" t="s">
        <v>62</v>
      </c>
      <c r="B8" s="788" t="s">
        <v>74</v>
      </c>
      <c r="C8" s="796">
        <f t="shared" si="0"/>
        <v>1270.7119739967445</v>
      </c>
      <c r="D8" s="796">
        <v>12707.119739967446</v>
      </c>
      <c r="E8" s="795">
        <v>11787.195338377911</v>
      </c>
      <c r="F8" s="795">
        <v>306243.09212427662</v>
      </c>
      <c r="M8" s="795">
        <v>59988.597351299999</v>
      </c>
      <c r="N8" s="789"/>
    </row>
    <row r="9" spans="1:15" s="788" customFormat="1" x14ac:dyDescent="0.35">
      <c r="A9" s="788" t="s">
        <v>10</v>
      </c>
      <c r="B9" s="788" t="s">
        <v>76</v>
      </c>
      <c r="C9" s="796">
        <f t="shared" si="0"/>
        <v>577.21759107180833</v>
      </c>
      <c r="D9" s="796">
        <v>5772.1759107180833</v>
      </c>
      <c r="E9" s="795">
        <v>7010995.1224664459</v>
      </c>
      <c r="F9" s="795">
        <v>12276285.229572911</v>
      </c>
      <c r="M9" s="795">
        <v>289748.33674230002</v>
      </c>
      <c r="N9" s="789"/>
    </row>
    <row r="10" spans="1:15" s="788" customFormat="1" x14ac:dyDescent="0.35">
      <c r="A10" s="788" t="s">
        <v>11</v>
      </c>
      <c r="B10" s="788" t="s">
        <v>75</v>
      </c>
      <c r="C10" s="796">
        <f t="shared" si="0"/>
        <v>2524.5337666424489</v>
      </c>
      <c r="D10" s="796">
        <v>25245.33766642449</v>
      </c>
      <c r="E10" s="795">
        <v>6486117.8419687711</v>
      </c>
      <c r="F10" s="795">
        <v>24063062.01009867</v>
      </c>
      <c r="M10" s="795">
        <v>253189.75132044</v>
      </c>
      <c r="N10" s="789"/>
    </row>
    <row r="11" spans="1:15" s="788" customFormat="1" x14ac:dyDescent="0.35">
      <c r="A11" s="788" t="s">
        <v>12</v>
      </c>
      <c r="B11" s="788" t="s">
        <v>77</v>
      </c>
      <c r="C11" s="796">
        <f t="shared" si="0"/>
        <v>4.0739765852967809</v>
      </c>
      <c r="D11" s="796">
        <v>40.739765852967807</v>
      </c>
      <c r="E11" s="795">
        <v>39009.548556557325</v>
      </c>
      <c r="F11" s="795">
        <v>171635.39754505345</v>
      </c>
      <c r="M11" s="795">
        <v>0</v>
      </c>
      <c r="N11" s="789"/>
    </row>
    <row r="12" spans="1:15" s="788" customFormat="1" x14ac:dyDescent="0.35">
      <c r="A12" s="788" t="s">
        <v>13</v>
      </c>
      <c r="B12" s="788" t="s">
        <v>75</v>
      </c>
      <c r="C12" s="796">
        <f t="shared" si="0"/>
        <v>1556.6480528024135</v>
      </c>
      <c r="D12" s="796">
        <v>15566.480528024136</v>
      </c>
      <c r="E12" s="795">
        <v>2354063.4908046774</v>
      </c>
      <c r="F12" s="795">
        <v>10385896.208532406</v>
      </c>
      <c r="M12" s="795">
        <v>14647.775771826</v>
      </c>
      <c r="N12" s="789"/>
    </row>
    <row r="13" spans="1:15" s="788" customFormat="1" x14ac:dyDescent="0.35">
      <c r="A13" s="788" t="s">
        <v>60</v>
      </c>
      <c r="B13" s="788" t="s">
        <v>74</v>
      </c>
      <c r="C13" s="796">
        <f t="shared" si="0"/>
        <v>3446.6271792159578</v>
      </c>
      <c r="D13" s="796">
        <v>34466.271792159576</v>
      </c>
      <c r="E13" s="795">
        <v>23668.991097705744</v>
      </c>
      <c r="F13" s="795">
        <v>798328.66472443589</v>
      </c>
      <c r="M13" s="795">
        <v>70001.722019658002</v>
      </c>
      <c r="N13" s="789"/>
    </row>
    <row r="14" spans="1:15" s="788" customFormat="1" x14ac:dyDescent="0.35">
      <c r="A14" s="788" t="s">
        <v>14</v>
      </c>
      <c r="B14" s="788" t="s">
        <v>75</v>
      </c>
      <c r="C14" s="796">
        <f t="shared" si="0"/>
        <v>1297.4702942255383</v>
      </c>
      <c r="D14" s="796">
        <v>12974.702942255382</v>
      </c>
      <c r="E14" s="795">
        <v>2748627.3149101837</v>
      </c>
      <c r="F14" s="795">
        <v>11243207.733512852</v>
      </c>
      <c r="M14" s="795">
        <v>0</v>
      </c>
      <c r="N14" s="789"/>
    </row>
    <row r="15" spans="1:15" s="788" customFormat="1" x14ac:dyDescent="0.35">
      <c r="A15" s="788" t="s">
        <v>15</v>
      </c>
      <c r="B15" s="788" t="s">
        <v>76</v>
      </c>
      <c r="C15" s="796">
        <f t="shared" si="0"/>
        <v>382.24425231852865</v>
      </c>
      <c r="D15" s="796">
        <v>3822.4425231852865</v>
      </c>
      <c r="E15" s="795">
        <v>1492959.2325605017</v>
      </c>
      <c r="F15" s="795">
        <v>30589670.842683893</v>
      </c>
      <c r="M15" s="795">
        <v>6692868.290320334</v>
      </c>
      <c r="N15" s="789"/>
    </row>
    <row r="16" spans="1:15" s="788" customFormat="1" x14ac:dyDescent="0.35">
      <c r="A16" s="788" t="s">
        <v>16</v>
      </c>
      <c r="B16" s="788" t="s">
        <v>75</v>
      </c>
      <c r="C16" s="796">
        <f t="shared" si="0"/>
        <v>3577.5662635802278</v>
      </c>
      <c r="D16" s="796">
        <v>35775.662635802277</v>
      </c>
      <c r="E16" s="795">
        <v>6467326.036526233</v>
      </c>
      <c r="F16" s="795">
        <v>27035464.384644426</v>
      </c>
      <c r="M16" s="795">
        <v>121585.80330559798</v>
      </c>
      <c r="N16" s="789"/>
    </row>
    <row r="17" spans="1:14" s="788" customFormat="1" x14ac:dyDescent="0.35">
      <c r="A17" s="788" t="s">
        <v>17</v>
      </c>
      <c r="B17" s="788" t="s">
        <v>75</v>
      </c>
      <c r="C17" s="796">
        <f t="shared" si="0"/>
        <v>1015.9412886713744</v>
      </c>
      <c r="D17" s="796">
        <v>10159.412886713744</v>
      </c>
      <c r="E17" s="795">
        <v>2293951.1053500064</v>
      </c>
      <c r="F17" s="795">
        <v>6329682.4331099847</v>
      </c>
      <c r="M17" s="795">
        <v>1837.2475024979999</v>
      </c>
      <c r="N17" s="789"/>
    </row>
    <row r="18" spans="1:14" s="788" customFormat="1" x14ac:dyDescent="0.35">
      <c r="A18" s="788" t="s">
        <v>18</v>
      </c>
      <c r="B18" s="788" t="s">
        <v>78</v>
      </c>
      <c r="C18" s="796">
        <f t="shared" si="0"/>
        <v>576.99982008518054</v>
      </c>
      <c r="D18" s="796">
        <v>5769.9982008518054</v>
      </c>
      <c r="E18" s="795">
        <v>2649571.0113376714</v>
      </c>
      <c r="F18" s="795">
        <v>9206788.1248070039</v>
      </c>
      <c r="M18" s="795">
        <v>164412.95765281981</v>
      </c>
      <c r="N18" s="789"/>
    </row>
    <row r="19" spans="1:14" s="788" customFormat="1" x14ac:dyDescent="0.35">
      <c r="A19" s="788" t="s">
        <v>19</v>
      </c>
      <c r="B19" s="788" t="s">
        <v>74</v>
      </c>
      <c r="C19" s="796">
        <f t="shared" si="0"/>
        <v>4891.7939318662957</v>
      </c>
      <c r="D19" s="796">
        <v>48917.93931866296</v>
      </c>
      <c r="E19" s="795">
        <v>3661208.4940061634</v>
      </c>
      <c r="F19" s="795">
        <v>29951558.627018481</v>
      </c>
      <c r="M19" s="795">
        <v>652132.82581146003</v>
      </c>
      <c r="N19" s="789"/>
    </row>
    <row r="20" spans="1:14" s="788" customFormat="1" x14ac:dyDescent="0.35">
      <c r="A20" s="788" t="s">
        <v>20</v>
      </c>
      <c r="B20" s="788" t="s">
        <v>76</v>
      </c>
      <c r="C20" s="796">
        <f t="shared" si="0"/>
        <v>621.94736094933023</v>
      </c>
      <c r="D20" s="796">
        <v>6219.4736094933023</v>
      </c>
      <c r="E20" s="795">
        <v>2598069.5365003934</v>
      </c>
      <c r="F20" s="795">
        <v>8983804.5791156515</v>
      </c>
      <c r="M20" s="795">
        <v>276578.92610022001</v>
      </c>
      <c r="N20" s="789"/>
    </row>
    <row r="21" spans="1:14" s="788" customFormat="1" x14ac:dyDescent="0.35">
      <c r="A21" s="788" t="s">
        <v>21</v>
      </c>
      <c r="B21" s="788" t="s">
        <v>74</v>
      </c>
      <c r="C21" s="796">
        <f t="shared" si="0"/>
        <v>1577.5339298404374</v>
      </c>
      <c r="D21" s="796">
        <v>15775.339298404375</v>
      </c>
      <c r="E21" s="795">
        <v>2399262.9802740244</v>
      </c>
      <c r="F21" s="795">
        <v>24566291.102223795</v>
      </c>
      <c r="M21" s="795">
        <v>0</v>
      </c>
      <c r="N21" s="789"/>
    </row>
    <row r="22" spans="1:14" s="788" customFormat="1" x14ac:dyDescent="0.35">
      <c r="A22" s="788" t="s">
        <v>22</v>
      </c>
      <c r="B22" s="788" t="s">
        <v>77</v>
      </c>
      <c r="C22" s="796">
        <f t="shared" si="0"/>
        <v>89.210946640023295</v>
      </c>
      <c r="D22" s="796">
        <v>892.10946640023292</v>
      </c>
      <c r="E22" s="795">
        <v>409848.16347544413</v>
      </c>
      <c r="F22" s="795">
        <v>850275.12257183157</v>
      </c>
      <c r="M22" s="795">
        <v>0</v>
      </c>
      <c r="N22" s="789"/>
    </row>
    <row r="23" spans="1:14" s="788" customFormat="1" x14ac:dyDescent="0.35">
      <c r="A23" s="788" t="s">
        <v>23</v>
      </c>
      <c r="B23" s="788" t="s">
        <v>76</v>
      </c>
      <c r="C23" s="796">
        <f t="shared" si="0"/>
        <v>231.11543258509101</v>
      </c>
      <c r="D23" s="796">
        <v>2311.15432585091</v>
      </c>
      <c r="E23" s="795">
        <v>1945838.4259034018</v>
      </c>
      <c r="F23" s="795">
        <v>6684305.1419750834</v>
      </c>
      <c r="M23" s="795">
        <v>611370.05713382398</v>
      </c>
      <c r="N23" s="789"/>
    </row>
    <row r="24" spans="1:14" s="788" customFormat="1" x14ac:dyDescent="0.35">
      <c r="A24" s="788" t="s">
        <v>24</v>
      </c>
      <c r="B24" s="788" t="s">
        <v>76</v>
      </c>
      <c r="C24" s="796">
        <f t="shared" si="0"/>
        <v>486.12943853323179</v>
      </c>
      <c r="D24" s="796">
        <v>4861.2943853323177</v>
      </c>
      <c r="E24" s="795">
        <v>5041218.5277374834</v>
      </c>
      <c r="F24" s="795">
        <v>5600506.0133645581</v>
      </c>
      <c r="M24" s="795">
        <v>0</v>
      </c>
      <c r="N24" s="789"/>
    </row>
    <row r="25" spans="1:14" s="788" customFormat="1" x14ac:dyDescent="0.35">
      <c r="A25" s="788" t="s">
        <v>25</v>
      </c>
      <c r="B25" s="788" t="s">
        <v>76</v>
      </c>
      <c r="C25" s="796">
        <f t="shared" si="0"/>
        <v>773.99611665515067</v>
      </c>
      <c r="D25" s="796">
        <v>7739.9611665515067</v>
      </c>
      <c r="E25" s="795">
        <v>5251224.2094122283</v>
      </c>
      <c r="F25" s="795">
        <v>18462628.927363385</v>
      </c>
      <c r="M25" s="795">
        <v>590284.38322431012</v>
      </c>
      <c r="N25" s="789"/>
    </row>
    <row r="26" spans="1:14" s="788" customFormat="1" x14ac:dyDescent="0.35">
      <c r="A26" s="788" t="s">
        <v>26</v>
      </c>
      <c r="B26" s="788" t="s">
        <v>74</v>
      </c>
      <c r="C26" s="796">
        <f t="shared" si="0"/>
        <v>746.1835779987648</v>
      </c>
      <c r="D26" s="796">
        <v>7461.8357799876476</v>
      </c>
      <c r="E26" s="795">
        <v>1178579.4746550475</v>
      </c>
      <c r="F26" s="795">
        <v>14786479.959889075</v>
      </c>
      <c r="M26" s="795">
        <v>0</v>
      </c>
      <c r="N26" s="789"/>
    </row>
    <row r="27" spans="1:14" s="788" customFormat="1" x14ac:dyDescent="0.35">
      <c r="A27" s="788" t="s">
        <v>27</v>
      </c>
      <c r="B27" s="788" t="s">
        <v>76</v>
      </c>
      <c r="C27" s="796">
        <f t="shared" si="0"/>
        <v>753.10162167539306</v>
      </c>
      <c r="D27" s="796">
        <v>7531.0162167539311</v>
      </c>
      <c r="E27" s="795">
        <v>4668934.8147951923</v>
      </c>
      <c r="F27" s="795">
        <v>13472688.891947078</v>
      </c>
      <c r="M27" s="795">
        <v>441058.48707823805</v>
      </c>
      <c r="N27" s="789"/>
    </row>
    <row r="28" spans="1:14" s="788" customFormat="1" x14ac:dyDescent="0.35">
      <c r="A28" s="788" t="s">
        <v>28</v>
      </c>
      <c r="B28" s="788" t="s">
        <v>75</v>
      </c>
      <c r="C28" s="796">
        <f t="shared" si="0"/>
        <v>1265.6293326547145</v>
      </c>
      <c r="D28" s="796">
        <v>12656.293326547146</v>
      </c>
      <c r="E28" s="795">
        <v>6519736.5617963774</v>
      </c>
      <c r="F28" s="795">
        <v>7741389.6385580469</v>
      </c>
      <c r="M28" s="795">
        <v>0</v>
      </c>
      <c r="N28" s="789"/>
    </row>
    <row r="29" spans="1:14" s="788" customFormat="1" x14ac:dyDescent="0.35">
      <c r="A29" s="788" t="s">
        <v>29</v>
      </c>
      <c r="B29" s="788" t="s">
        <v>76</v>
      </c>
      <c r="C29" s="796">
        <f t="shared" si="0"/>
        <v>231.64686997286748</v>
      </c>
      <c r="D29" s="796">
        <v>2316.4686997286749</v>
      </c>
      <c r="E29" s="795">
        <v>1914270.0106322104</v>
      </c>
      <c r="F29" s="795">
        <v>7550559.2887319233</v>
      </c>
      <c r="M29" s="795">
        <v>813976.41676249681</v>
      </c>
      <c r="N29" s="789"/>
    </row>
    <row r="30" spans="1:14" s="788" customFormat="1" x14ac:dyDescent="0.35">
      <c r="A30" s="788" t="s">
        <v>30</v>
      </c>
      <c r="B30" s="788" t="s">
        <v>74</v>
      </c>
      <c r="C30" s="796">
        <f t="shared" si="0"/>
        <v>7721.8576770523377</v>
      </c>
      <c r="D30" s="796">
        <v>77218.576770523374</v>
      </c>
      <c r="E30" s="795">
        <v>1730903.7878937714</v>
      </c>
      <c r="F30" s="795">
        <v>17544616.462091163</v>
      </c>
      <c r="M30" s="795">
        <v>0</v>
      </c>
      <c r="N30" s="789"/>
    </row>
    <row r="31" spans="1:14" s="788" customFormat="1" x14ac:dyDescent="0.35">
      <c r="A31" s="788" t="s">
        <v>31</v>
      </c>
      <c r="B31" s="788" t="s">
        <v>78</v>
      </c>
      <c r="C31" s="796">
        <f t="shared" si="0"/>
        <v>1403.3066247752736</v>
      </c>
      <c r="D31" s="796">
        <v>14033.066247752737</v>
      </c>
      <c r="E31" s="795">
        <v>2578028.0455276216</v>
      </c>
      <c r="F31" s="795">
        <v>6858361.965789929</v>
      </c>
      <c r="M31" s="795">
        <v>755.21280597600014</v>
      </c>
      <c r="N31" s="789"/>
    </row>
    <row r="32" spans="1:14" s="788" customFormat="1" x14ac:dyDescent="0.35">
      <c r="A32" s="788" t="s">
        <v>32</v>
      </c>
      <c r="B32" s="788" t="s">
        <v>75</v>
      </c>
      <c r="C32" s="796">
        <f t="shared" si="0"/>
        <v>1773.3587472871357</v>
      </c>
      <c r="D32" s="796">
        <v>17733.587472871357</v>
      </c>
      <c r="E32" s="795">
        <v>5614656.2140696049</v>
      </c>
      <c r="F32" s="795">
        <v>7489254.3553278586</v>
      </c>
      <c r="M32" s="795">
        <v>161745.56643654601</v>
      </c>
      <c r="N32" s="789"/>
    </row>
    <row r="33" spans="1:14" s="788" customFormat="1" x14ac:dyDescent="0.35">
      <c r="A33" s="788" t="s">
        <v>33</v>
      </c>
      <c r="B33" s="788" t="s">
        <v>77</v>
      </c>
      <c r="C33" s="796">
        <f t="shared" si="0"/>
        <v>120.69229278663525</v>
      </c>
      <c r="D33" s="796">
        <v>1206.9229278663524</v>
      </c>
      <c r="E33" s="799">
        <v>492643.76618194557</v>
      </c>
      <c r="F33" s="795">
        <v>3204590.1411052044</v>
      </c>
      <c r="M33" s="795">
        <v>83084.143237199998</v>
      </c>
      <c r="N33" s="789"/>
    </row>
    <row r="34" spans="1:14" s="788" customFormat="1" x14ac:dyDescent="0.35">
      <c r="A34" s="788" t="s">
        <v>34</v>
      </c>
      <c r="B34" s="788" t="s">
        <v>78</v>
      </c>
      <c r="C34" s="796">
        <f t="shared" si="0"/>
        <v>1880.980979856243</v>
      </c>
      <c r="D34" s="796">
        <v>18809.80979856243</v>
      </c>
      <c r="E34" s="799">
        <v>6935073.1494074464</v>
      </c>
      <c r="F34" s="795">
        <v>20186250.552608524</v>
      </c>
      <c r="M34" s="795">
        <v>1786899.9981670489</v>
      </c>
      <c r="N34" s="789"/>
    </row>
    <row r="35" spans="1:14" s="788" customFormat="1" x14ac:dyDescent="0.35">
      <c r="A35" s="788" t="s">
        <v>35</v>
      </c>
      <c r="B35" s="788" t="s">
        <v>78</v>
      </c>
      <c r="C35" s="796">
        <f t="shared" si="0"/>
        <v>395.59937209223796</v>
      </c>
      <c r="D35" s="796">
        <v>3955.9937209223795</v>
      </c>
      <c r="E35" s="799">
        <v>708140.90150793805</v>
      </c>
      <c r="F35" s="795">
        <v>5199350.345748771</v>
      </c>
      <c r="M35" s="795">
        <v>141858.13693560002</v>
      </c>
      <c r="N35" s="789"/>
    </row>
    <row r="36" spans="1:14" s="788" customFormat="1" x14ac:dyDescent="0.35">
      <c r="A36" s="788" t="s">
        <v>36</v>
      </c>
      <c r="B36" s="788" t="s">
        <v>77</v>
      </c>
      <c r="C36" s="796">
        <f t="shared" si="0"/>
        <v>609.36965799492532</v>
      </c>
      <c r="D36" s="796">
        <v>6093.6965799492527</v>
      </c>
      <c r="E36" s="799">
        <v>1123881.2521299869</v>
      </c>
      <c r="F36" s="795">
        <v>5982334.1232457198</v>
      </c>
      <c r="M36" s="795">
        <v>70143.459192600014</v>
      </c>
      <c r="N36" s="789"/>
    </row>
    <row r="37" spans="1:14" s="788" customFormat="1" x14ac:dyDescent="0.35">
      <c r="A37" s="790" t="s">
        <v>37</v>
      </c>
      <c r="B37" s="791" t="s">
        <v>80</v>
      </c>
      <c r="C37" s="796">
        <f t="shared" si="0"/>
        <v>613.87742737388578</v>
      </c>
      <c r="D37" s="796">
        <v>6138.774273738858</v>
      </c>
      <c r="E37" s="800">
        <v>3818729.0717802807</v>
      </c>
      <c r="F37" s="795">
        <v>5574812.7873559343</v>
      </c>
      <c r="M37" s="795">
        <v>113867.85418059517</v>
      </c>
      <c r="N37" s="792"/>
    </row>
    <row r="38" spans="1:14" s="788" customFormat="1" x14ac:dyDescent="0.35">
      <c r="A38" s="790" t="s">
        <v>38</v>
      </c>
      <c r="B38" s="791" t="s">
        <v>77</v>
      </c>
      <c r="C38" s="796">
        <f t="shared" si="0"/>
        <v>295.34757126043502</v>
      </c>
      <c r="D38" s="796">
        <v>2953.4757126043501</v>
      </c>
      <c r="E38" s="800">
        <v>1420084.5678530615</v>
      </c>
      <c r="F38" s="795">
        <v>5080524.4936306728</v>
      </c>
      <c r="M38" s="795">
        <v>0</v>
      </c>
      <c r="N38" s="792"/>
    </row>
    <row r="39" spans="1:14" s="788" customFormat="1" x14ac:dyDescent="0.35">
      <c r="A39" s="790" t="s">
        <v>39</v>
      </c>
      <c r="B39" s="791" t="s">
        <v>75</v>
      </c>
      <c r="C39" s="796">
        <f t="shared" si="0"/>
        <v>11001.011807491954</v>
      </c>
      <c r="D39" s="796">
        <v>110010.11807491953</v>
      </c>
      <c r="E39" s="800">
        <v>1825271.6505019339</v>
      </c>
      <c r="F39" s="795">
        <v>8069006.910428104</v>
      </c>
      <c r="M39" s="795">
        <v>0</v>
      </c>
      <c r="N39" s="792"/>
    </row>
    <row r="40" spans="1:14" s="788" customFormat="1" x14ac:dyDescent="0.35">
      <c r="A40" s="790" t="s">
        <v>40</v>
      </c>
      <c r="B40" s="791" t="s">
        <v>77</v>
      </c>
      <c r="C40" s="796">
        <f t="shared" si="0"/>
        <v>195.04023310677786</v>
      </c>
      <c r="D40" s="796">
        <v>1950.4023310677787</v>
      </c>
      <c r="E40" s="800">
        <v>1252517.0507467873</v>
      </c>
      <c r="F40" s="795">
        <v>2980901.5577679528</v>
      </c>
      <c r="M40" s="795">
        <v>0</v>
      </c>
      <c r="N40" s="792"/>
    </row>
    <row r="41" spans="1:14" s="788" customFormat="1" x14ac:dyDescent="0.35">
      <c r="A41" s="788" t="s">
        <v>41</v>
      </c>
      <c r="B41" s="788" t="s">
        <v>74</v>
      </c>
      <c r="C41" s="796">
        <f t="shared" si="0"/>
        <v>1807.235361246368</v>
      </c>
      <c r="D41" s="796">
        <v>18072.353612463681</v>
      </c>
      <c r="E41" s="799">
        <v>2085858.3742634887</v>
      </c>
      <c r="F41" s="795">
        <v>18901085.856767248</v>
      </c>
      <c r="M41" s="795">
        <v>526333.41877101001</v>
      </c>
      <c r="N41" s="789"/>
    </row>
    <row r="42" spans="1:14" s="788" customFormat="1" x14ac:dyDescent="0.35">
      <c r="A42" s="788" t="s">
        <v>42</v>
      </c>
      <c r="B42" s="788" t="s">
        <v>78</v>
      </c>
      <c r="C42" s="796">
        <f t="shared" si="0"/>
        <v>1817.0209746511719</v>
      </c>
      <c r="D42" s="796">
        <v>18170.209746511719</v>
      </c>
      <c r="E42" s="799">
        <v>5797451.4022081001</v>
      </c>
      <c r="F42" s="795">
        <v>11418651.275347088</v>
      </c>
      <c r="M42" s="795">
        <v>0</v>
      </c>
      <c r="N42" s="789"/>
    </row>
    <row r="43" spans="1:14" s="788" customFormat="1" x14ac:dyDescent="0.35">
      <c r="A43" s="788" t="s">
        <v>43</v>
      </c>
      <c r="B43" s="788" t="s">
        <v>74</v>
      </c>
      <c r="C43" s="796">
        <f t="shared" si="0"/>
        <v>19436.185393436212</v>
      </c>
      <c r="D43" s="796">
        <v>194361.85393436212</v>
      </c>
      <c r="E43" s="795">
        <v>4280069.4838143727</v>
      </c>
      <c r="F43" s="795">
        <v>28215391.686082941</v>
      </c>
      <c r="M43" s="795">
        <v>0</v>
      </c>
      <c r="N43" s="789"/>
    </row>
    <row r="44" spans="1:14" s="788" customFormat="1" x14ac:dyDescent="0.35">
      <c r="A44" s="791" t="s">
        <v>44</v>
      </c>
      <c r="B44" s="793" t="s">
        <v>80</v>
      </c>
      <c r="C44" s="796">
        <f t="shared" si="0"/>
        <v>945.53867434410188</v>
      </c>
      <c r="D44" s="796">
        <v>9455.3867434410186</v>
      </c>
      <c r="E44" s="795">
        <v>9274705.5700265337</v>
      </c>
      <c r="F44" s="795">
        <v>4686815.4064181587</v>
      </c>
      <c r="M44" s="795">
        <v>229057.40863542</v>
      </c>
      <c r="N44" s="789"/>
    </row>
    <row r="45" spans="1:14" s="788" customFormat="1" x14ac:dyDescent="0.35">
      <c r="A45" s="788" t="s">
        <v>45</v>
      </c>
      <c r="B45" s="788" t="s">
        <v>78</v>
      </c>
      <c r="C45" s="796">
        <f t="shared" si="0"/>
        <v>364.89274677070449</v>
      </c>
      <c r="D45" s="796">
        <v>3648.9274677070448</v>
      </c>
      <c r="E45" s="795">
        <v>928133.50414678303</v>
      </c>
      <c r="F45" s="795">
        <v>11278631.868323112</v>
      </c>
      <c r="M45" s="795">
        <v>2557717.9970637653</v>
      </c>
      <c r="N45" s="789"/>
    </row>
    <row r="46" spans="1:14" s="788" customFormat="1" x14ac:dyDescent="0.35">
      <c r="A46" s="794" t="s">
        <v>46</v>
      </c>
      <c r="B46" s="792" t="s">
        <v>76</v>
      </c>
      <c r="C46" s="796">
        <f t="shared" si="0"/>
        <v>66.606359669336456</v>
      </c>
      <c r="D46" s="796">
        <v>666.06359669336462</v>
      </c>
      <c r="E46" s="795">
        <v>640676.17403583182</v>
      </c>
      <c r="F46" s="795">
        <v>1131508.4716229271</v>
      </c>
      <c r="M46" s="795">
        <v>0</v>
      </c>
      <c r="N46" s="789"/>
    </row>
    <row r="47" spans="1:14" s="788" customFormat="1" x14ac:dyDescent="0.35">
      <c r="A47" s="793" t="s">
        <v>47</v>
      </c>
      <c r="B47" s="792" t="s">
        <v>78</v>
      </c>
      <c r="C47" s="796">
        <f t="shared" si="0"/>
        <v>14932.978757183857</v>
      </c>
      <c r="D47" s="796">
        <v>149329.78757183856</v>
      </c>
      <c r="E47" s="793">
        <v>612598.82421639678</v>
      </c>
      <c r="F47" s="795">
        <v>8628224.0915849246</v>
      </c>
      <c r="M47" s="795">
        <v>0</v>
      </c>
      <c r="N47" s="792"/>
    </row>
    <row r="48" spans="1:14" s="788" customFormat="1" x14ac:dyDescent="0.35">
      <c r="A48" s="793" t="s">
        <v>48</v>
      </c>
      <c r="B48" s="792" t="s">
        <v>76</v>
      </c>
      <c r="C48" s="796">
        <f t="shared" si="0"/>
        <v>1158.3727103697472</v>
      </c>
      <c r="D48" s="796">
        <v>11583.727103697473</v>
      </c>
      <c r="E48" s="793">
        <v>4265292.1474515256</v>
      </c>
      <c r="F48" s="795">
        <v>3811759.7315016817</v>
      </c>
      <c r="M48" s="795">
        <v>0</v>
      </c>
      <c r="N48" s="792"/>
    </row>
    <row r="49" spans="1:14" s="788" customFormat="1" x14ac:dyDescent="0.35">
      <c r="A49" s="793" t="s">
        <v>49</v>
      </c>
      <c r="B49" s="792" t="s">
        <v>75</v>
      </c>
      <c r="C49" s="796">
        <f t="shared" si="0"/>
        <v>1601.5437692391874</v>
      </c>
      <c r="D49" s="796">
        <v>16015.437692391873</v>
      </c>
      <c r="E49" s="793">
        <v>1968807.300738764</v>
      </c>
      <c r="F49" s="795">
        <v>5559958.7415772602</v>
      </c>
      <c r="M49" s="795">
        <v>19366.37758986</v>
      </c>
      <c r="N49" s="792"/>
    </row>
    <row r="50" spans="1:14" s="788" customFormat="1" x14ac:dyDescent="0.35">
      <c r="A50" s="793" t="s">
        <v>50</v>
      </c>
      <c r="B50" s="792" t="s">
        <v>74</v>
      </c>
      <c r="C50" s="796">
        <f t="shared" si="0"/>
        <v>132.12784055654134</v>
      </c>
      <c r="D50" s="796">
        <v>1321.2784055654133</v>
      </c>
      <c r="E50" s="793">
        <v>315525.82174930529</v>
      </c>
      <c r="F50" s="795">
        <v>1151616.9407309268</v>
      </c>
      <c r="M50" s="795">
        <v>0</v>
      </c>
      <c r="N50" s="792"/>
    </row>
    <row r="51" spans="1:14" s="788" customFormat="1" x14ac:dyDescent="0.35">
      <c r="A51" s="790" t="s">
        <v>51</v>
      </c>
      <c r="B51" s="791" t="s">
        <v>80</v>
      </c>
      <c r="C51" s="796">
        <f t="shared" si="0"/>
        <v>687.66996821224063</v>
      </c>
      <c r="D51" s="796">
        <v>6876.6996821224066</v>
      </c>
      <c r="E51" s="800">
        <v>3787713.4432238885</v>
      </c>
      <c r="F51" s="795">
        <v>7878439.102500068</v>
      </c>
      <c r="M51" s="795">
        <v>837136.93633398006</v>
      </c>
      <c r="N51" s="792"/>
    </row>
    <row r="52" spans="1:14" s="788" customFormat="1" x14ac:dyDescent="0.35">
      <c r="A52" s="790" t="s">
        <v>52</v>
      </c>
      <c r="B52" s="791" t="s">
        <v>52</v>
      </c>
      <c r="C52" s="796">
        <f t="shared" si="0"/>
        <v>106.42715536599135</v>
      </c>
      <c r="D52" s="796">
        <v>1064.2715536599135</v>
      </c>
      <c r="E52" s="800">
        <v>269094.82492152276</v>
      </c>
      <c r="F52" s="795">
        <v>1170495.2241815482</v>
      </c>
      <c r="M52" s="795">
        <v>0</v>
      </c>
      <c r="N52" s="792"/>
    </row>
    <row r="53" spans="1:14" s="788" customFormat="1" x14ac:dyDescent="0.35">
      <c r="A53" s="790" t="s">
        <v>53</v>
      </c>
      <c r="B53" s="791" t="s">
        <v>77</v>
      </c>
      <c r="C53" s="796">
        <f t="shared" si="0"/>
        <v>12598.711051656834</v>
      </c>
      <c r="D53" s="796">
        <v>125987.11051656834</v>
      </c>
      <c r="E53" s="800">
        <v>714170.7501736884</v>
      </c>
      <c r="F53" s="795">
        <v>3622050.9805174591</v>
      </c>
      <c r="M53" s="795">
        <v>0</v>
      </c>
      <c r="N53" s="792"/>
    </row>
    <row r="54" spans="1:14" s="788" customFormat="1" x14ac:dyDescent="0.35">
      <c r="A54" s="790" t="s">
        <v>54</v>
      </c>
      <c r="B54" s="791" t="s">
        <v>79</v>
      </c>
      <c r="C54" s="796">
        <f t="shared" si="0"/>
        <v>16538.705743092934</v>
      </c>
      <c r="D54" s="796">
        <v>165387.05743092936</v>
      </c>
      <c r="E54" s="800">
        <v>899606.31898272899</v>
      </c>
      <c r="F54" s="795">
        <v>17940160.642446138</v>
      </c>
      <c r="M54" s="795">
        <v>203219.71946223604</v>
      </c>
      <c r="N54" s="792"/>
    </row>
    <row r="55" spans="1:14" s="788" customFormat="1" x14ac:dyDescent="0.35">
      <c r="A55" s="793" t="s">
        <v>55</v>
      </c>
      <c r="B55" s="792" t="s">
        <v>74</v>
      </c>
      <c r="C55" s="796">
        <f t="shared" si="0"/>
        <v>856.54682287011542</v>
      </c>
      <c r="D55" s="796">
        <v>8565.4682287011547</v>
      </c>
      <c r="E55" s="793">
        <v>229682.90453831226</v>
      </c>
      <c r="F55" s="795">
        <v>6469721.4943962721</v>
      </c>
      <c r="M55" s="795">
        <v>61448.725816692007</v>
      </c>
      <c r="N55" s="792"/>
    </row>
    <row r="56" spans="1:14" s="788" customFormat="1" x14ac:dyDescent="0.35">
      <c r="A56" s="791" t="s">
        <v>56</v>
      </c>
      <c r="B56" s="795" t="s">
        <v>75</v>
      </c>
      <c r="C56" s="796">
        <f t="shared" si="0"/>
        <v>1211.1765399705569</v>
      </c>
      <c r="D56" s="796">
        <v>12111.765399705568</v>
      </c>
      <c r="E56" s="795">
        <v>1132256.2639325541</v>
      </c>
      <c r="F56" s="795">
        <v>5229811.3524171598</v>
      </c>
      <c r="M56" s="795">
        <v>0</v>
      </c>
      <c r="N56" s="789"/>
    </row>
    <row r="57" spans="1:14" s="788" customFormat="1" x14ac:dyDescent="0.35">
      <c r="A57" s="788" t="s">
        <v>57</v>
      </c>
      <c r="B57" s="788" t="s">
        <v>74</v>
      </c>
      <c r="C57" s="796">
        <f t="shared" si="0"/>
        <v>8169.4194748670325</v>
      </c>
      <c r="D57" s="796">
        <v>81694.194748670328</v>
      </c>
      <c r="E57" s="795">
        <v>2939339.0429065526</v>
      </c>
      <c r="F57" s="795">
        <v>35908251.77311752</v>
      </c>
      <c r="M57" s="795">
        <v>319187.44334106008</v>
      </c>
      <c r="N57" s="789"/>
    </row>
    <row r="58" spans="1:14" s="788" customFormat="1" x14ac:dyDescent="0.35">
      <c r="A58" s="794" t="s">
        <v>515</v>
      </c>
      <c r="B58" s="788" t="s">
        <v>74</v>
      </c>
      <c r="C58" s="796">
        <f t="shared" si="0"/>
        <v>7503.055620899846</v>
      </c>
      <c r="D58" s="796">
        <v>75030.55620899846</v>
      </c>
      <c r="E58" s="795">
        <v>994651.46782644314</v>
      </c>
      <c r="F58" s="795">
        <v>8273152.9004263803</v>
      </c>
      <c r="M58" s="795">
        <v>11064.735707760001</v>
      </c>
      <c r="N58" s="789"/>
    </row>
    <row r="59" spans="1:14" s="788" customFormat="1" x14ac:dyDescent="0.35">
      <c r="A59" s="793" t="s">
        <v>58</v>
      </c>
      <c r="B59" s="788" t="s">
        <v>77</v>
      </c>
      <c r="C59" s="796">
        <f t="shared" si="0"/>
        <v>428.5019298709816</v>
      </c>
      <c r="D59" s="796">
        <v>4285.0192987098162</v>
      </c>
      <c r="E59" s="795">
        <v>0</v>
      </c>
      <c r="F59" s="795">
        <v>21789.486045409074</v>
      </c>
      <c r="M59" s="795">
        <v>0</v>
      </c>
      <c r="N59" s="789"/>
    </row>
    <row r="60" spans="1:14" s="788" customFormat="1" x14ac:dyDescent="0.35">
      <c r="A60" s="788" t="s">
        <v>59</v>
      </c>
      <c r="B60" s="788" t="s">
        <v>75</v>
      </c>
      <c r="C60" s="796">
        <f t="shared" si="0"/>
        <v>420.84637977060356</v>
      </c>
      <c r="D60" s="796">
        <v>4208.4637977060356</v>
      </c>
      <c r="E60" s="795">
        <v>979040.93943895644</v>
      </c>
      <c r="F60" s="795">
        <v>4799242.0589031158</v>
      </c>
      <c r="M60" s="795">
        <v>900576.81354715268</v>
      </c>
      <c r="N60" s="789"/>
    </row>
    <row r="61" spans="1:14" s="324" customFormat="1" x14ac:dyDescent="0.35">
      <c r="A61" s="89" t="s">
        <v>0</v>
      </c>
      <c r="B61" s="89"/>
      <c r="C61" s="801">
        <f>SUM(SUM(C5:C60))</f>
        <v>151842.05772010452</v>
      </c>
      <c r="D61" s="801">
        <f>SUM(SUM(D5:D60))</f>
        <v>1518420.5772010454</v>
      </c>
      <c r="E61" s="802">
        <f>SUM(SUM(E5:E60))</f>
        <v>151500360.5046888</v>
      </c>
      <c r="F61" s="802">
        <f>SUM(SUM(F5:F60))</f>
        <v>657902803.1674217</v>
      </c>
      <c r="G61" s="324">
        <v>657902803.1674217</v>
      </c>
      <c r="M61" s="802">
        <f>SUM(SUM(M5:M60))</f>
        <v>19324455.527123366</v>
      </c>
      <c r="N61" s="324">
        <v>19324455.527123366</v>
      </c>
    </row>
    <row r="62" spans="1:14" customFormat="1" x14ac:dyDescent="0.35"/>
    <row r="63" spans="1:14" customFormat="1" x14ac:dyDescent="0.35"/>
    <row r="64" spans="1:14" customFormat="1" x14ac:dyDescent="0.35"/>
    <row r="65" customFormat="1" x14ac:dyDescent="0.35"/>
    <row r="66" customFormat="1" x14ac:dyDescent="0.35"/>
    <row r="67" customFormat="1" x14ac:dyDescent="0.35"/>
    <row r="68" customFormat="1" x14ac:dyDescent="0.35"/>
    <row r="69" customFormat="1" x14ac:dyDescent="0.35"/>
    <row r="70" customFormat="1" x14ac:dyDescent="0.35"/>
    <row r="71" customFormat="1" x14ac:dyDescent="0.35"/>
    <row r="72" customFormat="1" x14ac:dyDescent="0.35"/>
    <row r="73" customFormat="1" x14ac:dyDescent="0.35"/>
    <row r="74" customFormat="1" x14ac:dyDescent="0.35"/>
    <row r="75" customFormat="1" x14ac:dyDescent="0.35"/>
    <row r="76" customFormat="1" x14ac:dyDescent="0.35"/>
    <row r="77" customFormat="1" x14ac:dyDescent="0.35"/>
    <row r="78" customFormat="1" x14ac:dyDescent="0.35"/>
    <row r="79" customFormat="1" x14ac:dyDescent="0.35"/>
    <row r="80" customFormat="1" x14ac:dyDescent="0.35"/>
    <row r="81" spans="1:2" customFormat="1" x14ac:dyDescent="0.35">
      <c r="A81" s="550">
        <f>(27900+150000+200000+330000)/5</f>
        <v>141580</v>
      </c>
      <c r="B81" t="s">
        <v>516</v>
      </c>
    </row>
    <row r="82" spans="1:2" customFormat="1" x14ac:dyDescent="0.35"/>
    <row r="83" spans="1:2" customFormat="1" x14ac:dyDescent="0.35"/>
    <row r="84" spans="1:2" customFormat="1" x14ac:dyDescent="0.35"/>
    <row r="85" spans="1:2" customFormat="1" x14ac:dyDescent="0.35"/>
    <row r="86" spans="1:2" customFormat="1" x14ac:dyDescent="0.35"/>
    <row r="87" spans="1:2" customFormat="1" x14ac:dyDescent="0.35"/>
    <row r="88" spans="1:2" customFormat="1" x14ac:dyDescent="0.35"/>
    <row r="89" spans="1:2" customFormat="1" x14ac:dyDescent="0.35"/>
    <row r="90" spans="1:2" customFormat="1" x14ac:dyDescent="0.35"/>
    <row r="91" spans="1:2" customFormat="1" x14ac:dyDescent="0.35"/>
    <row r="92" spans="1:2" customFormat="1" x14ac:dyDescent="0.35"/>
    <row r="93" spans="1:2" customFormat="1" x14ac:dyDescent="0.35"/>
    <row r="94" spans="1:2" customFormat="1" x14ac:dyDescent="0.35"/>
    <row r="95" spans="1:2" customFormat="1" x14ac:dyDescent="0.35"/>
    <row r="96" spans="1:2" customFormat="1" x14ac:dyDescent="0.35"/>
    <row r="97" spans="14:14" x14ac:dyDescent="0.35">
      <c r="N97" s="126"/>
    </row>
    <row r="98" spans="14:14" x14ac:dyDescent="0.35">
      <c r="N98" s="126"/>
    </row>
    <row r="99" spans="14:14" x14ac:dyDescent="0.35">
      <c r="N99" s="126"/>
    </row>
    <row r="100" spans="14:14" x14ac:dyDescent="0.35">
      <c r="N100" s="126"/>
    </row>
    <row r="101" spans="14:14" x14ac:dyDescent="0.35">
      <c r="N101" s="126"/>
    </row>
    <row r="102" spans="14:14" x14ac:dyDescent="0.35">
      <c r="N102" s="126"/>
    </row>
    <row r="103" spans="14:14" x14ac:dyDescent="0.35">
      <c r="N103" s="126"/>
    </row>
    <row r="104" spans="14:14" x14ac:dyDescent="0.35">
      <c r="N104" s="126"/>
    </row>
    <row r="105" spans="14:14" x14ac:dyDescent="0.35">
      <c r="N105" s="126"/>
    </row>
    <row r="106" spans="14:14" x14ac:dyDescent="0.35">
      <c r="N106" s="126"/>
    </row>
    <row r="107" spans="14:14" x14ac:dyDescent="0.35">
      <c r="N107" s="126"/>
    </row>
    <row r="108" spans="14:14" x14ac:dyDescent="0.35">
      <c r="N108" s="126"/>
    </row>
    <row r="109" spans="14:14" x14ac:dyDescent="0.35">
      <c r="N109" s="126"/>
    </row>
    <row r="110" spans="14:14" x14ac:dyDescent="0.35">
      <c r="N110" s="126"/>
    </row>
    <row r="111" spans="14:14" x14ac:dyDescent="0.35">
      <c r="N111" s="126"/>
    </row>
    <row r="112" spans="14:14" x14ac:dyDescent="0.35">
      <c r="N112" s="126"/>
    </row>
    <row r="113" spans="14:14" x14ac:dyDescent="0.35">
      <c r="N113" s="126"/>
    </row>
    <row r="114" spans="14:14" x14ac:dyDescent="0.35">
      <c r="N114" s="126"/>
    </row>
    <row r="115" spans="14:14" x14ac:dyDescent="0.35">
      <c r="N115" s="126"/>
    </row>
    <row r="116" spans="14:14" x14ac:dyDescent="0.35">
      <c r="N116" s="126"/>
    </row>
    <row r="117" spans="14:14" x14ac:dyDescent="0.35">
      <c r="N117" s="126"/>
    </row>
    <row r="118" spans="14:14" x14ac:dyDescent="0.35">
      <c r="N118" s="126"/>
    </row>
    <row r="119" spans="14:14" x14ac:dyDescent="0.35">
      <c r="N119" s="126"/>
    </row>
    <row r="120" spans="14:14" x14ac:dyDescent="0.35">
      <c r="N120" s="126"/>
    </row>
    <row r="121" spans="14:14" x14ac:dyDescent="0.35">
      <c r="N121" s="126"/>
    </row>
    <row r="122" spans="14:14" x14ac:dyDescent="0.35">
      <c r="N122" s="126"/>
    </row>
    <row r="123" spans="14:14" x14ac:dyDescent="0.35">
      <c r="N123" s="126"/>
    </row>
    <row r="124" spans="14:14" x14ac:dyDescent="0.35">
      <c r="N124" s="126"/>
    </row>
    <row r="125" spans="14:14" x14ac:dyDescent="0.35">
      <c r="N125" s="126"/>
    </row>
    <row r="126" spans="14:14" x14ac:dyDescent="0.35">
      <c r="N126" s="126"/>
    </row>
    <row r="127" spans="14:14" x14ac:dyDescent="0.35">
      <c r="N127" s="126"/>
    </row>
    <row r="128" spans="14:14" x14ac:dyDescent="0.35">
      <c r="N128" s="126"/>
    </row>
    <row r="129" spans="14:14" x14ac:dyDescent="0.35">
      <c r="N129" s="126"/>
    </row>
    <row r="130" spans="14:14" x14ac:dyDescent="0.35">
      <c r="N130" s="126"/>
    </row>
    <row r="131" spans="14:14" x14ac:dyDescent="0.35">
      <c r="N131" s="126"/>
    </row>
    <row r="132" spans="14:14" x14ac:dyDescent="0.35">
      <c r="N132" s="126"/>
    </row>
    <row r="133" spans="14:14" x14ac:dyDescent="0.35">
      <c r="N133" s="126"/>
    </row>
    <row r="134" spans="14:14" x14ac:dyDescent="0.35">
      <c r="N134" s="126"/>
    </row>
    <row r="135" spans="14:14" x14ac:dyDescent="0.35">
      <c r="N135" s="126"/>
    </row>
    <row r="136" spans="14:14" x14ac:dyDescent="0.35">
      <c r="N136" s="126"/>
    </row>
    <row r="137" spans="14:14" x14ac:dyDescent="0.35">
      <c r="N137" s="126"/>
    </row>
    <row r="138" spans="14:14" x14ac:dyDescent="0.35">
      <c r="N138" s="126"/>
    </row>
    <row r="139" spans="14:14" x14ac:dyDescent="0.35">
      <c r="N139" s="126"/>
    </row>
    <row r="140" spans="14:14" x14ac:dyDescent="0.35">
      <c r="N140" s="126"/>
    </row>
    <row r="141" spans="14:14" x14ac:dyDescent="0.35">
      <c r="N141" s="126"/>
    </row>
    <row r="142" spans="14:14" x14ac:dyDescent="0.35">
      <c r="N142" s="126"/>
    </row>
    <row r="143" spans="14:14" x14ac:dyDescent="0.35">
      <c r="N143" s="126"/>
    </row>
    <row r="144" spans="14:14" x14ac:dyDescent="0.35">
      <c r="N144" s="126"/>
    </row>
    <row r="145" spans="14:14" x14ac:dyDescent="0.35">
      <c r="N145" s="126"/>
    </row>
    <row r="146" spans="14:14" x14ac:dyDescent="0.35">
      <c r="N146" s="126"/>
    </row>
    <row r="147" spans="14:14" x14ac:dyDescent="0.35">
      <c r="N147" s="126"/>
    </row>
    <row r="148" spans="14:14" x14ac:dyDescent="0.35">
      <c r="N148" s="126"/>
    </row>
    <row r="149" spans="14:14" x14ac:dyDescent="0.35">
      <c r="N149" s="126"/>
    </row>
    <row r="150" spans="14:14" x14ac:dyDescent="0.35">
      <c r="N150" s="126"/>
    </row>
    <row r="151" spans="14:14" x14ac:dyDescent="0.35">
      <c r="N151" s="126"/>
    </row>
    <row r="152" spans="14:14" x14ac:dyDescent="0.35">
      <c r="N152" s="126"/>
    </row>
    <row r="153" spans="14:14" x14ac:dyDescent="0.35">
      <c r="N153" s="126"/>
    </row>
    <row r="154" spans="14:14" x14ac:dyDescent="0.35">
      <c r="N154" s="126"/>
    </row>
    <row r="155" spans="14:14" x14ac:dyDescent="0.35">
      <c r="N155" s="126"/>
    </row>
    <row r="156" spans="14:14" x14ac:dyDescent="0.35">
      <c r="N156" s="126"/>
    </row>
    <row r="157" spans="14:14" x14ac:dyDescent="0.35">
      <c r="N157" s="126"/>
    </row>
    <row r="158" spans="14:14" x14ac:dyDescent="0.35">
      <c r="N158" s="126"/>
    </row>
    <row r="159" spans="14:14" x14ac:dyDescent="0.35">
      <c r="N159" s="126"/>
    </row>
    <row r="160" spans="14:14" x14ac:dyDescent="0.35">
      <c r="N160" s="126"/>
    </row>
    <row r="161" spans="14:14" x14ac:dyDescent="0.35">
      <c r="N161" s="126"/>
    </row>
    <row r="162" spans="14:14" x14ac:dyDescent="0.35">
      <c r="N162" s="126"/>
    </row>
    <row r="163" spans="14:14" x14ac:dyDescent="0.35">
      <c r="N163" s="126"/>
    </row>
    <row r="164" spans="14:14" x14ac:dyDescent="0.35">
      <c r="N164" s="126"/>
    </row>
    <row r="165" spans="14:14" x14ac:dyDescent="0.35">
      <c r="N165" s="126"/>
    </row>
    <row r="166" spans="14:14" x14ac:dyDescent="0.35">
      <c r="N166" s="126"/>
    </row>
    <row r="167" spans="14:14" x14ac:dyDescent="0.35">
      <c r="N167" s="126"/>
    </row>
    <row r="168" spans="14:14" x14ac:dyDescent="0.35">
      <c r="N168" s="126"/>
    </row>
    <row r="169" spans="14:14" x14ac:dyDescent="0.35">
      <c r="N169" s="126"/>
    </row>
    <row r="170" spans="14:14" x14ac:dyDescent="0.35">
      <c r="N170" s="126"/>
    </row>
    <row r="171" spans="14:14" x14ac:dyDescent="0.35">
      <c r="N171" s="126"/>
    </row>
    <row r="172" spans="14:14" x14ac:dyDescent="0.35">
      <c r="N172" s="126"/>
    </row>
    <row r="173" spans="14:14" x14ac:dyDescent="0.35">
      <c r="N173" s="126"/>
    </row>
    <row r="174" spans="14:14" x14ac:dyDescent="0.35">
      <c r="N174" s="126"/>
    </row>
    <row r="175" spans="14:14" x14ac:dyDescent="0.35">
      <c r="N175" s="126"/>
    </row>
    <row r="176" spans="14:14" x14ac:dyDescent="0.35">
      <c r="N176" s="126"/>
    </row>
    <row r="177" spans="14:14" x14ac:dyDescent="0.35">
      <c r="N177" s="126"/>
    </row>
    <row r="178" spans="14:14" x14ac:dyDescent="0.35">
      <c r="N178" s="126"/>
    </row>
    <row r="179" spans="14:14" x14ac:dyDescent="0.35">
      <c r="N179" s="126"/>
    </row>
    <row r="180" spans="14:14" x14ac:dyDescent="0.35">
      <c r="N180" s="126"/>
    </row>
    <row r="181" spans="14:14" x14ac:dyDescent="0.35">
      <c r="N181" s="126"/>
    </row>
    <row r="182" spans="14:14" x14ac:dyDescent="0.35">
      <c r="N182" s="126"/>
    </row>
    <row r="183" spans="14:14" x14ac:dyDescent="0.35">
      <c r="N183" s="126"/>
    </row>
    <row r="184" spans="14:14" x14ac:dyDescent="0.35">
      <c r="N184" s="126"/>
    </row>
    <row r="185" spans="14:14" x14ac:dyDescent="0.35">
      <c r="N185" s="126"/>
    </row>
    <row r="186" spans="14:14" x14ac:dyDescent="0.35">
      <c r="N186" s="126"/>
    </row>
    <row r="187" spans="14:14" x14ac:dyDescent="0.35">
      <c r="N187" s="126"/>
    </row>
    <row r="188" spans="14:14" x14ac:dyDescent="0.35">
      <c r="N188" s="126"/>
    </row>
    <row r="189" spans="14:14" x14ac:dyDescent="0.35">
      <c r="N189" s="126"/>
    </row>
    <row r="190" spans="14:14" x14ac:dyDescent="0.35">
      <c r="N190" s="126"/>
    </row>
    <row r="191" spans="14:14" x14ac:dyDescent="0.35">
      <c r="N191" s="126"/>
    </row>
    <row r="192" spans="14:14" x14ac:dyDescent="0.35">
      <c r="N192" s="126"/>
    </row>
    <row r="193" spans="14:14" x14ac:dyDescent="0.35">
      <c r="N193" s="126"/>
    </row>
    <row r="194" spans="14:14" x14ac:dyDescent="0.35">
      <c r="N194" s="126"/>
    </row>
    <row r="195" spans="14:14" x14ac:dyDescent="0.35">
      <c r="N195" s="126"/>
    </row>
    <row r="196" spans="14:14" x14ac:dyDescent="0.35">
      <c r="N196" s="126"/>
    </row>
    <row r="197" spans="14:14" x14ac:dyDescent="0.35">
      <c r="N197" s="126"/>
    </row>
    <row r="198" spans="14:14" x14ac:dyDescent="0.35">
      <c r="N198" s="126"/>
    </row>
    <row r="199" spans="14:14" x14ac:dyDescent="0.35">
      <c r="N199" s="126"/>
    </row>
    <row r="200" spans="14:14" x14ac:dyDescent="0.35">
      <c r="N200" s="126"/>
    </row>
    <row r="201" spans="14:14" x14ac:dyDescent="0.35">
      <c r="N201" s="126"/>
    </row>
    <row r="202" spans="14:14" x14ac:dyDescent="0.35">
      <c r="N202" s="126"/>
    </row>
    <row r="203" spans="14:14" x14ac:dyDescent="0.35">
      <c r="N203" s="126"/>
    </row>
    <row r="204" spans="14:14" x14ac:dyDescent="0.35">
      <c r="N204" s="126"/>
    </row>
    <row r="205" spans="14:14" x14ac:dyDescent="0.35">
      <c r="N205" s="126"/>
    </row>
    <row r="206" spans="14:14" x14ac:dyDescent="0.35">
      <c r="N206" s="126"/>
    </row>
    <row r="207" spans="14:14" x14ac:dyDescent="0.35">
      <c r="N207" s="126"/>
    </row>
    <row r="208" spans="14:14" x14ac:dyDescent="0.35">
      <c r="N208" s="126"/>
    </row>
    <row r="209" spans="14:14" x14ac:dyDescent="0.35">
      <c r="N209" s="126"/>
    </row>
    <row r="210" spans="14:14" x14ac:dyDescent="0.35">
      <c r="N210" s="126"/>
    </row>
    <row r="211" spans="14:14" x14ac:dyDescent="0.35">
      <c r="N211" s="126"/>
    </row>
    <row r="212" spans="14:14" x14ac:dyDescent="0.35">
      <c r="N212" s="126"/>
    </row>
    <row r="213" spans="14:14" x14ac:dyDescent="0.35">
      <c r="N213" s="126"/>
    </row>
    <row r="214" spans="14:14" x14ac:dyDescent="0.35">
      <c r="N214" s="126"/>
    </row>
    <row r="215" spans="14:14" x14ac:dyDescent="0.35">
      <c r="N215" s="126"/>
    </row>
    <row r="216" spans="14:14" x14ac:dyDescent="0.35">
      <c r="N216" s="126"/>
    </row>
    <row r="217" spans="14:14" x14ac:dyDescent="0.35">
      <c r="N217" s="126"/>
    </row>
    <row r="218" spans="14:14" x14ac:dyDescent="0.35">
      <c r="N218" s="126"/>
    </row>
    <row r="219" spans="14:14" x14ac:dyDescent="0.35">
      <c r="N219" s="126"/>
    </row>
    <row r="220" spans="14:14" x14ac:dyDescent="0.35">
      <c r="N220" s="126"/>
    </row>
    <row r="221" spans="14:14" x14ac:dyDescent="0.35">
      <c r="N221" s="126"/>
    </row>
    <row r="222" spans="14:14" x14ac:dyDescent="0.35">
      <c r="N222" s="126"/>
    </row>
    <row r="223" spans="14:14" x14ac:dyDescent="0.35">
      <c r="N223" s="126"/>
    </row>
    <row r="224" spans="14:14" x14ac:dyDescent="0.35">
      <c r="N224" s="126"/>
    </row>
    <row r="225" spans="14:14" x14ac:dyDescent="0.35">
      <c r="N225" s="126"/>
    </row>
    <row r="226" spans="14:14" x14ac:dyDescent="0.35">
      <c r="N226" s="126"/>
    </row>
    <row r="227" spans="14:14" x14ac:dyDescent="0.35">
      <c r="N227" s="126"/>
    </row>
    <row r="228" spans="14:14" x14ac:dyDescent="0.35">
      <c r="N228" s="126"/>
    </row>
    <row r="229" spans="14:14" x14ac:dyDescent="0.35">
      <c r="N229" s="126"/>
    </row>
    <row r="230" spans="14:14" x14ac:dyDescent="0.35">
      <c r="N230" s="126"/>
    </row>
    <row r="231" spans="14:14" x14ac:dyDescent="0.35">
      <c r="N231" s="126"/>
    </row>
    <row r="232" spans="14:14" x14ac:dyDescent="0.35">
      <c r="N232" s="126"/>
    </row>
    <row r="233" spans="14:14" x14ac:dyDescent="0.35">
      <c r="N233" s="126"/>
    </row>
    <row r="234" spans="14:14" x14ac:dyDescent="0.35">
      <c r="N234" s="126"/>
    </row>
    <row r="235" spans="14:14" x14ac:dyDescent="0.35">
      <c r="N235" s="126"/>
    </row>
    <row r="236" spans="14:14" x14ac:dyDescent="0.35">
      <c r="N236" s="126"/>
    </row>
    <row r="237" spans="14:14" x14ac:dyDescent="0.35">
      <c r="N237" s="126"/>
    </row>
    <row r="238" spans="14:14" x14ac:dyDescent="0.35">
      <c r="N238" s="126"/>
    </row>
    <row r="239" spans="14:14" x14ac:dyDescent="0.35">
      <c r="N239" s="126"/>
    </row>
    <row r="240" spans="14:14" x14ac:dyDescent="0.35">
      <c r="N240" s="126"/>
    </row>
    <row r="241" spans="14:14" x14ac:dyDescent="0.35">
      <c r="N241" s="126"/>
    </row>
    <row r="242" spans="14:14" x14ac:dyDescent="0.35">
      <c r="N242" s="126"/>
    </row>
    <row r="243" spans="14:14" x14ac:dyDescent="0.35">
      <c r="N243" s="126"/>
    </row>
    <row r="244" spans="14:14" x14ac:dyDescent="0.35">
      <c r="N244" s="126"/>
    </row>
    <row r="245" spans="14:14" x14ac:dyDescent="0.35">
      <c r="N245" s="126"/>
    </row>
    <row r="246" spans="14:14" x14ac:dyDescent="0.35">
      <c r="N246" s="126"/>
    </row>
    <row r="247" spans="14:14" x14ac:dyDescent="0.35">
      <c r="N247" s="126"/>
    </row>
    <row r="248" spans="14:14" x14ac:dyDescent="0.35">
      <c r="N248" s="126"/>
    </row>
    <row r="249" spans="14:14" x14ac:dyDescent="0.35">
      <c r="N249" s="126"/>
    </row>
    <row r="250" spans="14:14" x14ac:dyDescent="0.35">
      <c r="N250" s="126"/>
    </row>
    <row r="251" spans="14:14" x14ac:dyDescent="0.35">
      <c r="N251" s="126"/>
    </row>
    <row r="252" spans="14:14" x14ac:dyDescent="0.35">
      <c r="N252" s="126"/>
    </row>
    <row r="253" spans="14:14" x14ac:dyDescent="0.35">
      <c r="N253" s="126"/>
    </row>
    <row r="254" spans="14:14" x14ac:dyDescent="0.35">
      <c r="N254" s="126"/>
    </row>
    <row r="255" spans="14:14" x14ac:dyDescent="0.35">
      <c r="N255" s="126"/>
    </row>
    <row r="256" spans="14:14" x14ac:dyDescent="0.35">
      <c r="N256" s="126"/>
    </row>
    <row r="257" spans="14:14" x14ac:dyDescent="0.35">
      <c r="N257" s="126"/>
    </row>
    <row r="258" spans="14:14" x14ac:dyDescent="0.35">
      <c r="N258" s="126"/>
    </row>
    <row r="259" spans="14:14" x14ac:dyDescent="0.35">
      <c r="N259" s="126"/>
    </row>
    <row r="260" spans="14:14" x14ac:dyDescent="0.35">
      <c r="N260" s="126"/>
    </row>
    <row r="261" spans="14:14" x14ac:dyDescent="0.35">
      <c r="N261" s="126"/>
    </row>
    <row r="262" spans="14:14" x14ac:dyDescent="0.35">
      <c r="N262" s="126"/>
    </row>
    <row r="263" spans="14:14" x14ac:dyDescent="0.35">
      <c r="N263" s="126"/>
    </row>
    <row r="264" spans="14:14" x14ac:dyDescent="0.35">
      <c r="N264" s="126"/>
    </row>
    <row r="265" spans="14:14" x14ac:dyDescent="0.35">
      <c r="N265" s="126"/>
    </row>
    <row r="266" spans="14:14" x14ac:dyDescent="0.35">
      <c r="N266" s="126"/>
    </row>
    <row r="267" spans="14:14" x14ac:dyDescent="0.35">
      <c r="N267" s="126"/>
    </row>
    <row r="268" spans="14:14" x14ac:dyDescent="0.35">
      <c r="N268" s="126"/>
    </row>
    <row r="269" spans="14:14" x14ac:dyDescent="0.35">
      <c r="N269" s="126"/>
    </row>
    <row r="270" spans="14:14" x14ac:dyDescent="0.35">
      <c r="N270" s="126"/>
    </row>
    <row r="271" spans="14:14" x14ac:dyDescent="0.35">
      <c r="N271" s="126"/>
    </row>
    <row r="272" spans="14:14" x14ac:dyDescent="0.35">
      <c r="N272" s="126"/>
    </row>
    <row r="273" spans="14:14" x14ac:dyDescent="0.35">
      <c r="N273" s="126"/>
    </row>
    <row r="274" spans="14:14" x14ac:dyDescent="0.35">
      <c r="N274" s="126"/>
    </row>
    <row r="275" spans="14:14" x14ac:dyDescent="0.35">
      <c r="N275" s="126"/>
    </row>
    <row r="276" spans="14:14" x14ac:dyDescent="0.35">
      <c r="N276" s="126"/>
    </row>
    <row r="277" spans="14:14" x14ac:dyDescent="0.35">
      <c r="N277" s="126"/>
    </row>
    <row r="278" spans="14:14" x14ac:dyDescent="0.35">
      <c r="N278" s="126"/>
    </row>
    <row r="279" spans="14:14" x14ac:dyDescent="0.35">
      <c r="N279" s="126"/>
    </row>
    <row r="280" spans="14:14" x14ac:dyDescent="0.35">
      <c r="N280" s="126"/>
    </row>
    <row r="281" spans="14:14" x14ac:dyDescent="0.35">
      <c r="N281" s="126"/>
    </row>
    <row r="282" spans="14:14" x14ac:dyDescent="0.35">
      <c r="N282" s="126"/>
    </row>
    <row r="283" spans="14:14" x14ac:dyDescent="0.35">
      <c r="N283" s="126"/>
    </row>
    <row r="284" spans="14:14" x14ac:dyDescent="0.35">
      <c r="N284" s="126"/>
    </row>
    <row r="285" spans="14:14" x14ac:dyDescent="0.35">
      <c r="N285" s="126"/>
    </row>
    <row r="286" spans="14:14" x14ac:dyDescent="0.35">
      <c r="N286" s="126"/>
    </row>
    <row r="287" spans="14:14" x14ac:dyDescent="0.35">
      <c r="N287" s="126"/>
    </row>
    <row r="288" spans="14:14" x14ac:dyDescent="0.35">
      <c r="N288" s="126"/>
    </row>
    <row r="289" spans="14:14" x14ac:dyDescent="0.35">
      <c r="N289" s="126"/>
    </row>
    <row r="290" spans="14:14" x14ac:dyDescent="0.35">
      <c r="N290" s="126"/>
    </row>
    <row r="291" spans="14:14" x14ac:dyDescent="0.35">
      <c r="N291" s="126"/>
    </row>
    <row r="292" spans="14:14" x14ac:dyDescent="0.35">
      <c r="N292" s="126"/>
    </row>
    <row r="293" spans="14:14" x14ac:dyDescent="0.35">
      <c r="N293" s="126"/>
    </row>
    <row r="294" spans="14:14" x14ac:dyDescent="0.35">
      <c r="N294" s="126"/>
    </row>
    <row r="295" spans="14:14" x14ac:dyDescent="0.35">
      <c r="N295" s="126"/>
    </row>
    <row r="296" spans="14:14" x14ac:dyDescent="0.35">
      <c r="N296" s="126"/>
    </row>
    <row r="297" spans="14:14" x14ac:dyDescent="0.35">
      <c r="N297" s="126"/>
    </row>
    <row r="298" spans="14:14" x14ac:dyDescent="0.35">
      <c r="N298" s="126"/>
    </row>
    <row r="299" spans="14:14" x14ac:dyDescent="0.35">
      <c r="N299" s="126"/>
    </row>
    <row r="300" spans="14:14" x14ac:dyDescent="0.35">
      <c r="N300" s="126"/>
    </row>
    <row r="301" spans="14:14" x14ac:dyDescent="0.35">
      <c r="N301" s="126"/>
    </row>
    <row r="302" spans="14:14" x14ac:dyDescent="0.35">
      <c r="N302" s="126"/>
    </row>
    <row r="303" spans="14:14" x14ac:dyDescent="0.35">
      <c r="N303" s="126"/>
    </row>
    <row r="304" spans="14:14" x14ac:dyDescent="0.35">
      <c r="N304" s="126"/>
    </row>
    <row r="305" spans="14:14" x14ac:dyDescent="0.35">
      <c r="N305" s="126"/>
    </row>
    <row r="306" spans="14:14" x14ac:dyDescent="0.35">
      <c r="N306" s="126"/>
    </row>
    <row r="307" spans="14:14" x14ac:dyDescent="0.35">
      <c r="N307" s="126"/>
    </row>
    <row r="308" spans="14:14" x14ac:dyDescent="0.35">
      <c r="N308" s="126"/>
    </row>
    <row r="309" spans="14:14" x14ac:dyDescent="0.35">
      <c r="N309" s="126"/>
    </row>
    <row r="310" spans="14:14" x14ac:dyDescent="0.35">
      <c r="N310" s="126"/>
    </row>
    <row r="311" spans="14:14" x14ac:dyDescent="0.35">
      <c r="N311" s="126"/>
    </row>
    <row r="312" spans="14:14" x14ac:dyDescent="0.35">
      <c r="N312" s="126"/>
    </row>
    <row r="313" spans="14:14" x14ac:dyDescent="0.35">
      <c r="N313" s="126"/>
    </row>
    <row r="314" spans="14:14" x14ac:dyDescent="0.35">
      <c r="N314" s="126"/>
    </row>
    <row r="315" spans="14:14" x14ac:dyDescent="0.35">
      <c r="N315" s="126"/>
    </row>
    <row r="316" spans="14:14" x14ac:dyDescent="0.35">
      <c r="N316" s="126"/>
    </row>
    <row r="317" spans="14:14" x14ac:dyDescent="0.35">
      <c r="N317" s="126"/>
    </row>
    <row r="318" spans="14:14" x14ac:dyDescent="0.35">
      <c r="N318" s="126"/>
    </row>
    <row r="319" spans="14:14" x14ac:dyDescent="0.35">
      <c r="N319" s="126"/>
    </row>
    <row r="320" spans="14:14" x14ac:dyDescent="0.35">
      <c r="N320" s="126"/>
    </row>
    <row r="321" spans="14:14" x14ac:dyDescent="0.35">
      <c r="N321" s="126"/>
    </row>
    <row r="322" spans="14:14" x14ac:dyDescent="0.35">
      <c r="N322" s="126"/>
    </row>
    <row r="323" spans="14:14" x14ac:dyDescent="0.35">
      <c r="N323" s="126"/>
    </row>
    <row r="324" spans="14:14" x14ac:dyDescent="0.35">
      <c r="N324" s="126"/>
    </row>
    <row r="325" spans="14:14" x14ac:dyDescent="0.35">
      <c r="N325" s="126"/>
    </row>
    <row r="326" spans="14:14" x14ac:dyDescent="0.35">
      <c r="N326" s="126"/>
    </row>
    <row r="327" spans="14:14" x14ac:dyDescent="0.35">
      <c r="N327" s="126"/>
    </row>
    <row r="328" spans="14:14" x14ac:dyDescent="0.35">
      <c r="N328" s="126"/>
    </row>
    <row r="329" spans="14:14" x14ac:dyDescent="0.35">
      <c r="N329" s="126"/>
    </row>
    <row r="330" spans="14:14" x14ac:dyDescent="0.35">
      <c r="N330" s="126"/>
    </row>
    <row r="331" spans="14:14" x14ac:dyDescent="0.35">
      <c r="N331" s="126"/>
    </row>
    <row r="332" spans="14:14" x14ac:dyDescent="0.35">
      <c r="N332" s="126"/>
    </row>
    <row r="333" spans="14:14" x14ac:dyDescent="0.35">
      <c r="N333" s="126"/>
    </row>
    <row r="334" spans="14:14" x14ac:dyDescent="0.35">
      <c r="N334" s="126"/>
    </row>
    <row r="335" spans="14:14" x14ac:dyDescent="0.35">
      <c r="N335" s="126"/>
    </row>
    <row r="336" spans="14:14" x14ac:dyDescent="0.35">
      <c r="N336" s="126"/>
    </row>
    <row r="337" spans="14:14" x14ac:dyDescent="0.35">
      <c r="N337" s="126"/>
    </row>
    <row r="338" spans="14:14" x14ac:dyDescent="0.35">
      <c r="N338" s="126"/>
    </row>
    <row r="339" spans="14:14" x14ac:dyDescent="0.35">
      <c r="N339" s="126"/>
    </row>
    <row r="340" spans="14:14" x14ac:dyDescent="0.35">
      <c r="N340" s="126"/>
    </row>
    <row r="341" spans="14:14" x14ac:dyDescent="0.35">
      <c r="N341" s="126"/>
    </row>
    <row r="342" spans="14:14" x14ac:dyDescent="0.35">
      <c r="N342" s="126"/>
    </row>
    <row r="343" spans="14:14" x14ac:dyDescent="0.35">
      <c r="N343" s="126"/>
    </row>
    <row r="344" spans="14:14" x14ac:dyDescent="0.35">
      <c r="N344" s="126"/>
    </row>
    <row r="345" spans="14:14" x14ac:dyDescent="0.35">
      <c r="N345" s="126"/>
    </row>
    <row r="346" spans="14:14" x14ac:dyDescent="0.35">
      <c r="N346" s="126"/>
    </row>
    <row r="347" spans="14:14" x14ac:dyDescent="0.35">
      <c r="N347" s="126"/>
    </row>
    <row r="348" spans="14:14" x14ac:dyDescent="0.35">
      <c r="N348" s="126"/>
    </row>
    <row r="349" spans="14:14" x14ac:dyDescent="0.35">
      <c r="N349" s="126"/>
    </row>
    <row r="350" spans="14:14" x14ac:dyDescent="0.35">
      <c r="N350" s="126"/>
    </row>
    <row r="351" spans="14:14" x14ac:dyDescent="0.35">
      <c r="N351" s="126"/>
    </row>
    <row r="352" spans="14:14" x14ac:dyDescent="0.35">
      <c r="N352" s="126"/>
    </row>
    <row r="353" spans="14:14" x14ac:dyDescent="0.35">
      <c r="N353" s="126"/>
    </row>
    <row r="354" spans="14:14" x14ac:dyDescent="0.35">
      <c r="N354" s="126"/>
    </row>
    <row r="355" spans="14:14" x14ac:dyDescent="0.35">
      <c r="N355" s="126"/>
    </row>
    <row r="356" spans="14:14" x14ac:dyDescent="0.35">
      <c r="N356" s="126"/>
    </row>
    <row r="357" spans="14:14" x14ac:dyDescent="0.35">
      <c r="N357" s="126"/>
    </row>
    <row r="358" spans="14:14" x14ac:dyDescent="0.35">
      <c r="N358" s="126"/>
    </row>
    <row r="359" spans="14:14" x14ac:dyDescent="0.35">
      <c r="N359" s="126"/>
    </row>
    <row r="360" spans="14:14" x14ac:dyDescent="0.35">
      <c r="N360" s="126"/>
    </row>
    <row r="361" spans="14:14" x14ac:dyDescent="0.35">
      <c r="N361" s="126"/>
    </row>
    <row r="362" spans="14:14" x14ac:dyDescent="0.35">
      <c r="N362" s="126"/>
    </row>
    <row r="363" spans="14:14" x14ac:dyDescent="0.35">
      <c r="N363" s="126"/>
    </row>
    <row r="364" spans="14:14" x14ac:dyDescent="0.35">
      <c r="N364" s="126"/>
    </row>
    <row r="365" spans="14:14" x14ac:dyDescent="0.35">
      <c r="N365" s="126"/>
    </row>
    <row r="366" spans="14:14" x14ac:dyDescent="0.35">
      <c r="N366" s="126"/>
    </row>
    <row r="367" spans="14:14" x14ac:dyDescent="0.35">
      <c r="N367" s="126"/>
    </row>
    <row r="368" spans="14:14" x14ac:dyDescent="0.35">
      <c r="N368" s="126"/>
    </row>
    <row r="369" spans="14:14" x14ac:dyDescent="0.35">
      <c r="N369" s="126"/>
    </row>
    <row r="370" spans="14:14" x14ac:dyDescent="0.35">
      <c r="N370" s="126"/>
    </row>
    <row r="371" spans="14:14" x14ac:dyDescent="0.35">
      <c r="N371" s="126"/>
    </row>
    <row r="372" spans="14:14" x14ac:dyDescent="0.35">
      <c r="N372" s="126"/>
    </row>
    <row r="373" spans="14:14" x14ac:dyDescent="0.35">
      <c r="N373" s="126"/>
    </row>
    <row r="374" spans="14:14" x14ac:dyDescent="0.35">
      <c r="N374" s="126"/>
    </row>
    <row r="375" spans="14:14" x14ac:dyDescent="0.35">
      <c r="N375" s="126"/>
    </row>
    <row r="376" spans="14:14" x14ac:dyDescent="0.35">
      <c r="N376" s="126"/>
    </row>
    <row r="377" spans="14:14" x14ac:dyDescent="0.35">
      <c r="N377" s="126"/>
    </row>
    <row r="378" spans="14:14" x14ac:dyDescent="0.35">
      <c r="N378" s="126"/>
    </row>
    <row r="379" spans="14:14" x14ac:dyDescent="0.35">
      <c r="N379" s="126"/>
    </row>
    <row r="380" spans="14:14" x14ac:dyDescent="0.35">
      <c r="N380" s="126"/>
    </row>
    <row r="381" spans="14:14" x14ac:dyDescent="0.35">
      <c r="N381" s="126"/>
    </row>
    <row r="382" spans="14:14" x14ac:dyDescent="0.35">
      <c r="N382" s="126"/>
    </row>
    <row r="383" spans="14:14" x14ac:dyDescent="0.35">
      <c r="N383" s="126"/>
    </row>
    <row r="384" spans="14:14" x14ac:dyDescent="0.35">
      <c r="N384" s="126"/>
    </row>
    <row r="385" spans="14:14" x14ac:dyDescent="0.35">
      <c r="N385" s="126"/>
    </row>
    <row r="386" spans="14:14" x14ac:dyDescent="0.35">
      <c r="N386" s="126"/>
    </row>
    <row r="387" spans="14:14" x14ac:dyDescent="0.35">
      <c r="N387" s="126"/>
    </row>
    <row r="388" spans="14:14" x14ac:dyDescent="0.35">
      <c r="N388" s="126"/>
    </row>
    <row r="389" spans="14:14" x14ac:dyDescent="0.35">
      <c r="N389" s="126"/>
    </row>
    <row r="390" spans="14:14" x14ac:dyDescent="0.35">
      <c r="N390" s="126"/>
    </row>
    <row r="391" spans="14:14" x14ac:dyDescent="0.35">
      <c r="N391" s="126"/>
    </row>
    <row r="392" spans="14:14" x14ac:dyDescent="0.35">
      <c r="N392" s="126"/>
    </row>
    <row r="393" spans="14:14" x14ac:dyDescent="0.35">
      <c r="N393" s="126"/>
    </row>
    <row r="394" spans="14:14" x14ac:dyDescent="0.35">
      <c r="N394" s="126"/>
    </row>
    <row r="395" spans="14:14" x14ac:dyDescent="0.35">
      <c r="N395" s="126"/>
    </row>
    <row r="396" spans="14:14" x14ac:dyDescent="0.35">
      <c r="N396" s="126"/>
    </row>
    <row r="397" spans="14:14" x14ac:dyDescent="0.35">
      <c r="N397" s="126"/>
    </row>
    <row r="398" spans="14:14" x14ac:dyDescent="0.35">
      <c r="N398" s="126"/>
    </row>
    <row r="399" spans="14:14" x14ac:dyDescent="0.35">
      <c r="N399" s="126"/>
    </row>
    <row r="400" spans="14:14" x14ac:dyDescent="0.35">
      <c r="N400" s="126"/>
    </row>
    <row r="401" spans="14:14" x14ac:dyDescent="0.35">
      <c r="N401" s="126"/>
    </row>
    <row r="402" spans="14:14" x14ac:dyDescent="0.35">
      <c r="N402" s="126"/>
    </row>
    <row r="403" spans="14:14" x14ac:dyDescent="0.35">
      <c r="N403" s="126"/>
    </row>
    <row r="404" spans="14:14" x14ac:dyDescent="0.35">
      <c r="N404" s="126"/>
    </row>
    <row r="405" spans="14:14" x14ac:dyDescent="0.35">
      <c r="N405" s="126"/>
    </row>
    <row r="406" spans="14:14" x14ac:dyDescent="0.35">
      <c r="N406" s="126"/>
    </row>
    <row r="407" spans="14:14" x14ac:dyDescent="0.35">
      <c r="N407" s="126"/>
    </row>
    <row r="408" spans="14:14" x14ac:dyDescent="0.35">
      <c r="N408" s="126"/>
    </row>
    <row r="409" spans="14:14" x14ac:dyDescent="0.35">
      <c r="N409" s="126"/>
    </row>
    <row r="410" spans="14:14" x14ac:dyDescent="0.35">
      <c r="N410" s="126"/>
    </row>
    <row r="411" spans="14:14" x14ac:dyDescent="0.35">
      <c r="N411" s="126"/>
    </row>
    <row r="412" spans="14:14" x14ac:dyDescent="0.35">
      <c r="N412" s="126"/>
    </row>
    <row r="413" spans="14:14" x14ac:dyDescent="0.35">
      <c r="N413" s="126"/>
    </row>
    <row r="414" spans="14:14" x14ac:dyDescent="0.35">
      <c r="N414" s="126"/>
    </row>
    <row r="415" spans="14:14" x14ac:dyDescent="0.35">
      <c r="N415" s="126"/>
    </row>
    <row r="416" spans="14:14" x14ac:dyDescent="0.35">
      <c r="N416" s="126"/>
    </row>
    <row r="417" spans="14:14" x14ac:dyDescent="0.35">
      <c r="N417" s="126"/>
    </row>
    <row r="418" spans="14:14" x14ac:dyDescent="0.35">
      <c r="N418" s="126"/>
    </row>
    <row r="419" spans="14:14" x14ac:dyDescent="0.35">
      <c r="N419" s="126"/>
    </row>
    <row r="420" spans="14:14" x14ac:dyDescent="0.35">
      <c r="N420" s="126"/>
    </row>
    <row r="421" spans="14:14" x14ac:dyDescent="0.35">
      <c r="N421" s="126"/>
    </row>
    <row r="422" spans="14:14" x14ac:dyDescent="0.35">
      <c r="N422" s="126"/>
    </row>
    <row r="423" spans="14:14" x14ac:dyDescent="0.35">
      <c r="N423" s="126"/>
    </row>
    <row r="424" spans="14:14" x14ac:dyDescent="0.35">
      <c r="N424" s="126"/>
    </row>
    <row r="425" spans="14:14" x14ac:dyDescent="0.35">
      <c r="N425" s="126"/>
    </row>
    <row r="426" spans="14:14" x14ac:dyDescent="0.35">
      <c r="N426" s="126"/>
    </row>
    <row r="427" spans="14:14" x14ac:dyDescent="0.35">
      <c r="N427" s="126"/>
    </row>
    <row r="428" spans="14:14" x14ac:dyDescent="0.35">
      <c r="N428" s="126"/>
    </row>
    <row r="429" spans="14:14" x14ac:dyDescent="0.35">
      <c r="N429" s="126"/>
    </row>
    <row r="430" spans="14:14" x14ac:dyDescent="0.35">
      <c r="N430" s="126"/>
    </row>
    <row r="431" spans="14:14" x14ac:dyDescent="0.35">
      <c r="N431" s="126"/>
    </row>
    <row r="432" spans="14:14" x14ac:dyDescent="0.35">
      <c r="N432" s="126"/>
    </row>
    <row r="433" spans="14:14" x14ac:dyDescent="0.35">
      <c r="N433" s="126"/>
    </row>
    <row r="434" spans="14:14" x14ac:dyDescent="0.35">
      <c r="N434" s="126"/>
    </row>
    <row r="435" spans="14:14" x14ac:dyDescent="0.35">
      <c r="N435" s="126"/>
    </row>
    <row r="436" spans="14:14" x14ac:dyDescent="0.35">
      <c r="N436" s="126"/>
    </row>
    <row r="437" spans="14:14" x14ac:dyDescent="0.35">
      <c r="N437" s="126"/>
    </row>
    <row r="438" spans="14:14" x14ac:dyDescent="0.35">
      <c r="N438" s="126"/>
    </row>
    <row r="439" spans="14:14" x14ac:dyDescent="0.35">
      <c r="N439" s="126"/>
    </row>
    <row r="440" spans="14:14" x14ac:dyDescent="0.35">
      <c r="N440" s="126"/>
    </row>
    <row r="441" spans="14:14" x14ac:dyDescent="0.35">
      <c r="N441" s="126"/>
    </row>
    <row r="442" spans="14:14" x14ac:dyDescent="0.35">
      <c r="N442" s="126"/>
    </row>
    <row r="443" spans="14:14" x14ac:dyDescent="0.35">
      <c r="N443" s="126"/>
    </row>
    <row r="444" spans="14:14" x14ac:dyDescent="0.35">
      <c r="N444" s="126"/>
    </row>
    <row r="445" spans="14:14" x14ac:dyDescent="0.35">
      <c r="N445" s="126"/>
    </row>
    <row r="446" spans="14:14" x14ac:dyDescent="0.35">
      <c r="N446" s="126"/>
    </row>
    <row r="447" spans="14:14" x14ac:dyDescent="0.35">
      <c r="N447" s="126"/>
    </row>
    <row r="448" spans="14:14" x14ac:dyDescent="0.35">
      <c r="N448" s="126"/>
    </row>
    <row r="449" spans="14:14" x14ac:dyDescent="0.35">
      <c r="N449" s="126"/>
    </row>
    <row r="450" spans="14:14" x14ac:dyDescent="0.35">
      <c r="N450" s="126"/>
    </row>
    <row r="451" spans="14:14" x14ac:dyDescent="0.35">
      <c r="N451" s="126"/>
    </row>
    <row r="452" spans="14:14" x14ac:dyDescent="0.35">
      <c r="N452" s="126"/>
    </row>
    <row r="453" spans="14:14" x14ac:dyDescent="0.35">
      <c r="N453" s="126"/>
    </row>
    <row r="454" spans="14:14" x14ac:dyDescent="0.35">
      <c r="N454" s="126"/>
    </row>
    <row r="455" spans="14:14" x14ac:dyDescent="0.35">
      <c r="N455" s="126"/>
    </row>
    <row r="456" spans="14:14" x14ac:dyDescent="0.35">
      <c r="N456" s="126"/>
    </row>
    <row r="457" spans="14:14" x14ac:dyDescent="0.35">
      <c r="N457" s="126"/>
    </row>
    <row r="458" spans="14:14" x14ac:dyDescent="0.35">
      <c r="N458" s="126"/>
    </row>
    <row r="459" spans="14:14" x14ac:dyDescent="0.35">
      <c r="N459" s="126"/>
    </row>
    <row r="460" spans="14:14" x14ac:dyDescent="0.35">
      <c r="N460" s="126"/>
    </row>
    <row r="461" spans="14:14" x14ac:dyDescent="0.35">
      <c r="N461" s="126"/>
    </row>
    <row r="462" spans="14:14" x14ac:dyDescent="0.35">
      <c r="N462" s="126"/>
    </row>
    <row r="463" spans="14:14" x14ac:dyDescent="0.35">
      <c r="N463" s="126"/>
    </row>
    <row r="464" spans="14:14" x14ac:dyDescent="0.35">
      <c r="N464" s="126"/>
    </row>
    <row r="465" spans="14:14" x14ac:dyDescent="0.35">
      <c r="N465" s="126"/>
    </row>
    <row r="466" spans="14:14" x14ac:dyDescent="0.35">
      <c r="N466" s="126"/>
    </row>
    <row r="467" spans="14:14" x14ac:dyDescent="0.35">
      <c r="N467" s="126"/>
    </row>
    <row r="468" spans="14:14" x14ac:dyDescent="0.35">
      <c r="N468" s="126"/>
    </row>
    <row r="469" spans="14:14" x14ac:dyDescent="0.35">
      <c r="N469" s="126"/>
    </row>
    <row r="470" spans="14:14" x14ac:dyDescent="0.35">
      <c r="N470" s="126"/>
    </row>
    <row r="471" spans="14:14" x14ac:dyDescent="0.35">
      <c r="N471" s="126"/>
    </row>
    <row r="472" spans="14:14" x14ac:dyDescent="0.35">
      <c r="N472" s="126"/>
    </row>
    <row r="473" spans="14:14" x14ac:dyDescent="0.35">
      <c r="N473" s="126"/>
    </row>
    <row r="474" spans="14:14" x14ac:dyDescent="0.35">
      <c r="N474" s="126"/>
    </row>
    <row r="475" spans="14:14" x14ac:dyDescent="0.35">
      <c r="N475" s="126"/>
    </row>
    <row r="476" spans="14:14" x14ac:dyDescent="0.35">
      <c r="N476" s="126"/>
    </row>
    <row r="477" spans="14:14" x14ac:dyDescent="0.35">
      <c r="N477" s="126"/>
    </row>
    <row r="478" spans="14:14" x14ac:dyDescent="0.35">
      <c r="N478" s="126"/>
    </row>
    <row r="479" spans="14:14" x14ac:dyDescent="0.35">
      <c r="N479" s="126"/>
    </row>
    <row r="480" spans="14:14" x14ac:dyDescent="0.35">
      <c r="N480" s="126"/>
    </row>
    <row r="481" spans="14:14" x14ac:dyDescent="0.35">
      <c r="N481" s="126"/>
    </row>
    <row r="482" spans="14:14" x14ac:dyDescent="0.35">
      <c r="N482" s="126"/>
    </row>
    <row r="483" spans="14:14" x14ac:dyDescent="0.35">
      <c r="N483" s="126"/>
    </row>
    <row r="484" spans="14:14" x14ac:dyDescent="0.35">
      <c r="N484" s="126"/>
    </row>
    <row r="485" spans="14:14" x14ac:dyDescent="0.35">
      <c r="N485" s="126"/>
    </row>
    <row r="486" spans="14:14" x14ac:dyDescent="0.35">
      <c r="N486" s="126"/>
    </row>
    <row r="487" spans="14:14" x14ac:dyDescent="0.35">
      <c r="N487" s="126"/>
    </row>
    <row r="488" spans="14:14" x14ac:dyDescent="0.35">
      <c r="N488" s="126"/>
    </row>
    <row r="489" spans="14:14" x14ac:dyDescent="0.35">
      <c r="N489" s="126"/>
    </row>
    <row r="490" spans="14:14" x14ac:dyDescent="0.35">
      <c r="N490" s="126"/>
    </row>
    <row r="491" spans="14:14" x14ac:dyDescent="0.35">
      <c r="N491" s="126"/>
    </row>
    <row r="492" spans="14:14" x14ac:dyDescent="0.35">
      <c r="N492" s="126"/>
    </row>
    <row r="493" spans="14:14" x14ac:dyDescent="0.35">
      <c r="N493" s="126"/>
    </row>
    <row r="494" spans="14:14" x14ac:dyDescent="0.35">
      <c r="N494" s="126"/>
    </row>
    <row r="495" spans="14:14" x14ac:dyDescent="0.35">
      <c r="N495" s="126"/>
    </row>
    <row r="496" spans="14:14" x14ac:dyDescent="0.35">
      <c r="N496" s="126"/>
    </row>
    <row r="497" spans="14:14" x14ac:dyDescent="0.35">
      <c r="N497" s="126"/>
    </row>
    <row r="498" spans="14:14" x14ac:dyDescent="0.35">
      <c r="N498" s="126"/>
    </row>
    <row r="499" spans="14:14" x14ac:dyDescent="0.35">
      <c r="N499" s="126"/>
    </row>
    <row r="500" spans="14:14" x14ac:dyDescent="0.35">
      <c r="N500" s="126"/>
    </row>
    <row r="501" spans="14:14" x14ac:dyDescent="0.35">
      <c r="N501" s="126"/>
    </row>
    <row r="502" spans="14:14" x14ac:dyDescent="0.35">
      <c r="N502" s="126"/>
    </row>
    <row r="503" spans="14:14" x14ac:dyDescent="0.35">
      <c r="N503" s="126"/>
    </row>
    <row r="504" spans="14:14" x14ac:dyDescent="0.35">
      <c r="N504" s="126"/>
    </row>
    <row r="505" spans="14:14" x14ac:dyDescent="0.35">
      <c r="N505" s="126"/>
    </row>
    <row r="506" spans="14:14" x14ac:dyDescent="0.35">
      <c r="N506" s="126"/>
    </row>
    <row r="507" spans="14:14" x14ac:dyDescent="0.35">
      <c r="N507" s="126"/>
    </row>
    <row r="508" spans="14:14" x14ac:dyDescent="0.35">
      <c r="N508" s="126"/>
    </row>
    <row r="509" spans="14:14" x14ac:dyDescent="0.35">
      <c r="N509" s="126"/>
    </row>
    <row r="510" spans="14:14" x14ac:dyDescent="0.35">
      <c r="N510" s="126"/>
    </row>
    <row r="511" spans="14:14" x14ac:dyDescent="0.35">
      <c r="N511" s="126"/>
    </row>
    <row r="512" spans="14:14" x14ac:dyDescent="0.35">
      <c r="N512" s="126"/>
    </row>
    <row r="513" spans="14:14" x14ac:dyDescent="0.35">
      <c r="N513" s="126"/>
    </row>
    <row r="514" spans="14:14" x14ac:dyDescent="0.35">
      <c r="N514" s="126"/>
    </row>
    <row r="515" spans="14:14" x14ac:dyDescent="0.35">
      <c r="N515" s="126"/>
    </row>
    <row r="516" spans="14:14" x14ac:dyDescent="0.35">
      <c r="N516" s="126"/>
    </row>
    <row r="517" spans="14:14" x14ac:dyDescent="0.35">
      <c r="N517" s="126"/>
    </row>
    <row r="518" spans="14:14" x14ac:dyDescent="0.35">
      <c r="N518" s="126"/>
    </row>
    <row r="519" spans="14:14" x14ac:dyDescent="0.35">
      <c r="N519" s="126"/>
    </row>
    <row r="520" spans="14:14" x14ac:dyDescent="0.35">
      <c r="N520" s="126"/>
    </row>
    <row r="521" spans="14:14" x14ac:dyDescent="0.35">
      <c r="N521" s="126"/>
    </row>
    <row r="522" spans="14:14" x14ac:dyDescent="0.35">
      <c r="N522" s="126"/>
    </row>
    <row r="523" spans="14:14" x14ac:dyDescent="0.35">
      <c r="N523" s="126"/>
    </row>
    <row r="524" spans="14:14" x14ac:dyDescent="0.35">
      <c r="N524" s="126"/>
    </row>
    <row r="525" spans="14:14" x14ac:dyDescent="0.35">
      <c r="N525" s="126"/>
    </row>
    <row r="526" spans="14:14" x14ac:dyDescent="0.35">
      <c r="N526" s="126"/>
    </row>
    <row r="527" spans="14:14" x14ac:dyDescent="0.35">
      <c r="N527" s="126"/>
    </row>
    <row r="528" spans="14:14" x14ac:dyDescent="0.35">
      <c r="N528" s="126"/>
    </row>
    <row r="529" spans="14:14" x14ac:dyDescent="0.35">
      <c r="N529" s="126"/>
    </row>
    <row r="530" spans="14:14" x14ac:dyDescent="0.35">
      <c r="N530" s="126"/>
    </row>
    <row r="531" spans="14:14" x14ac:dyDescent="0.35">
      <c r="N531" s="126"/>
    </row>
    <row r="532" spans="14:14" x14ac:dyDescent="0.35">
      <c r="N532" s="126"/>
    </row>
    <row r="533" spans="14:14" x14ac:dyDescent="0.35">
      <c r="N533" s="126"/>
    </row>
    <row r="534" spans="14:14" x14ac:dyDescent="0.35">
      <c r="N534" s="126"/>
    </row>
    <row r="535" spans="14:14" x14ac:dyDescent="0.35">
      <c r="N535" s="126"/>
    </row>
    <row r="536" spans="14:14" x14ac:dyDescent="0.35">
      <c r="N536" s="126"/>
    </row>
    <row r="537" spans="14:14" x14ac:dyDescent="0.35">
      <c r="N537" s="126"/>
    </row>
    <row r="538" spans="14:14" x14ac:dyDescent="0.35">
      <c r="N538" s="126"/>
    </row>
    <row r="539" spans="14:14" x14ac:dyDescent="0.35">
      <c r="N539" s="126"/>
    </row>
    <row r="540" spans="14:14" x14ac:dyDescent="0.35">
      <c r="N540" s="126"/>
    </row>
    <row r="541" spans="14:14" x14ac:dyDescent="0.35">
      <c r="N541" s="126"/>
    </row>
    <row r="542" spans="14:14" x14ac:dyDescent="0.35">
      <c r="N542" s="126"/>
    </row>
    <row r="543" spans="14:14" x14ac:dyDescent="0.35">
      <c r="N543" s="126"/>
    </row>
    <row r="544" spans="14:14" x14ac:dyDescent="0.35">
      <c r="N544" s="126"/>
    </row>
    <row r="545" spans="14:14" x14ac:dyDescent="0.35">
      <c r="N545" s="126"/>
    </row>
    <row r="546" spans="14:14" x14ac:dyDescent="0.35">
      <c r="N546" s="126"/>
    </row>
    <row r="547" spans="14:14" x14ac:dyDescent="0.35">
      <c r="N547" s="126"/>
    </row>
    <row r="548" spans="14:14" x14ac:dyDescent="0.35">
      <c r="N548" s="126"/>
    </row>
    <row r="549" spans="14:14" x14ac:dyDescent="0.35">
      <c r="N549" s="126"/>
    </row>
    <row r="550" spans="14:14" x14ac:dyDescent="0.35">
      <c r="N550" s="126"/>
    </row>
    <row r="551" spans="14:14" x14ac:dyDescent="0.35">
      <c r="N551" s="126"/>
    </row>
    <row r="552" spans="14:14" x14ac:dyDescent="0.35">
      <c r="N552" s="126"/>
    </row>
    <row r="553" spans="14:14" x14ac:dyDescent="0.35">
      <c r="N553" s="126"/>
    </row>
    <row r="554" spans="14:14" x14ac:dyDescent="0.35">
      <c r="N554" s="126"/>
    </row>
    <row r="555" spans="14:14" x14ac:dyDescent="0.35">
      <c r="N555" s="126"/>
    </row>
    <row r="556" spans="14:14" x14ac:dyDescent="0.35">
      <c r="N556" s="126"/>
    </row>
    <row r="557" spans="14:14" x14ac:dyDescent="0.35">
      <c r="N557" s="126"/>
    </row>
    <row r="558" spans="14:14" x14ac:dyDescent="0.35">
      <c r="N558" s="126"/>
    </row>
    <row r="559" spans="14:14" x14ac:dyDescent="0.35">
      <c r="N559" s="126"/>
    </row>
    <row r="560" spans="14:14" x14ac:dyDescent="0.35">
      <c r="N560" s="126"/>
    </row>
    <row r="561" spans="14:14" x14ac:dyDescent="0.35">
      <c r="N561" s="126"/>
    </row>
    <row r="562" spans="14:14" x14ac:dyDescent="0.35">
      <c r="N562" s="126"/>
    </row>
    <row r="563" spans="14:14" x14ac:dyDescent="0.35">
      <c r="N563" s="126"/>
    </row>
    <row r="564" spans="14:14" x14ac:dyDescent="0.35">
      <c r="N564" s="126"/>
    </row>
    <row r="565" spans="14:14" x14ac:dyDescent="0.35">
      <c r="N565" s="126"/>
    </row>
    <row r="566" spans="14:14" x14ac:dyDescent="0.35">
      <c r="N566" s="126"/>
    </row>
    <row r="567" spans="14:14" x14ac:dyDescent="0.35">
      <c r="N567" s="126"/>
    </row>
    <row r="568" spans="14:14" x14ac:dyDescent="0.35">
      <c r="N568" s="126"/>
    </row>
    <row r="569" spans="14:14" x14ac:dyDescent="0.35">
      <c r="N569" s="126"/>
    </row>
    <row r="570" spans="14:14" x14ac:dyDescent="0.35">
      <c r="N570" s="126"/>
    </row>
    <row r="571" spans="14:14" x14ac:dyDescent="0.35">
      <c r="N571" s="126"/>
    </row>
    <row r="572" spans="14:14" x14ac:dyDescent="0.35">
      <c r="N572" s="126"/>
    </row>
    <row r="573" spans="14:14" x14ac:dyDescent="0.35">
      <c r="N573" s="126"/>
    </row>
    <row r="574" spans="14:14" x14ac:dyDescent="0.35">
      <c r="N574" s="126"/>
    </row>
    <row r="575" spans="14:14" x14ac:dyDescent="0.35">
      <c r="N575" s="126"/>
    </row>
    <row r="576" spans="14:14" x14ac:dyDescent="0.35">
      <c r="N576" s="126"/>
    </row>
    <row r="577" spans="14:14" x14ac:dyDescent="0.35">
      <c r="N577" s="126"/>
    </row>
    <row r="578" spans="14:14" x14ac:dyDescent="0.35">
      <c r="N578" s="126"/>
    </row>
    <row r="579" spans="14:14" x14ac:dyDescent="0.35">
      <c r="N579" s="126"/>
    </row>
    <row r="580" spans="14:14" x14ac:dyDescent="0.35">
      <c r="N580" s="126"/>
    </row>
    <row r="581" spans="14:14" x14ac:dyDescent="0.35">
      <c r="N581" s="126"/>
    </row>
    <row r="582" spans="14:14" x14ac:dyDescent="0.35">
      <c r="N582" s="126"/>
    </row>
    <row r="583" spans="14:14" x14ac:dyDescent="0.35">
      <c r="N583" s="126"/>
    </row>
    <row r="584" spans="14:14" x14ac:dyDescent="0.35">
      <c r="N584" s="126"/>
    </row>
    <row r="585" spans="14:14" x14ac:dyDescent="0.35">
      <c r="N585" s="126"/>
    </row>
    <row r="586" spans="14:14" x14ac:dyDescent="0.35">
      <c r="N586" s="126"/>
    </row>
    <row r="587" spans="14:14" x14ac:dyDescent="0.35">
      <c r="N587" s="126"/>
    </row>
    <row r="588" spans="14:14" x14ac:dyDescent="0.35">
      <c r="N588" s="126"/>
    </row>
    <row r="589" spans="14:14" x14ac:dyDescent="0.35">
      <c r="N589" s="126"/>
    </row>
    <row r="590" spans="14:14" x14ac:dyDescent="0.35">
      <c r="N590" s="126"/>
    </row>
    <row r="591" spans="14:14" x14ac:dyDescent="0.35">
      <c r="N591" s="126"/>
    </row>
    <row r="592" spans="14:14" x14ac:dyDescent="0.35">
      <c r="N592" s="126"/>
    </row>
    <row r="593" spans="14:14" x14ac:dyDescent="0.35">
      <c r="N593" s="126"/>
    </row>
    <row r="594" spans="14:14" x14ac:dyDescent="0.35">
      <c r="N594" s="126"/>
    </row>
    <row r="595" spans="14:14" x14ac:dyDescent="0.35">
      <c r="N595" s="126"/>
    </row>
    <row r="596" spans="14:14" x14ac:dyDescent="0.35">
      <c r="N596" s="126"/>
    </row>
    <row r="597" spans="14:14" x14ac:dyDescent="0.35">
      <c r="N597" s="126"/>
    </row>
    <row r="598" spans="14:14" x14ac:dyDescent="0.35">
      <c r="N598" s="126"/>
    </row>
    <row r="599" spans="14:14" x14ac:dyDescent="0.35">
      <c r="N599" s="126"/>
    </row>
    <row r="600" spans="14:14" x14ac:dyDescent="0.35">
      <c r="N600" s="126"/>
    </row>
    <row r="601" spans="14:14" x14ac:dyDescent="0.35">
      <c r="N601" s="126"/>
    </row>
    <row r="602" spans="14:14" x14ac:dyDescent="0.35">
      <c r="N602" s="126"/>
    </row>
    <row r="603" spans="14:14" x14ac:dyDescent="0.35">
      <c r="N603" s="126"/>
    </row>
    <row r="604" spans="14:14" x14ac:dyDescent="0.35">
      <c r="N604" s="126"/>
    </row>
    <row r="605" spans="14:14" x14ac:dyDescent="0.35">
      <c r="N605" s="126"/>
    </row>
    <row r="606" spans="14:14" x14ac:dyDescent="0.35">
      <c r="N606" s="126"/>
    </row>
    <row r="607" spans="14:14" x14ac:dyDescent="0.35">
      <c r="N607" s="126"/>
    </row>
    <row r="608" spans="14:14" x14ac:dyDescent="0.35">
      <c r="N608" s="126"/>
    </row>
    <row r="609" spans="14:14" x14ac:dyDescent="0.35">
      <c r="N609" s="126"/>
    </row>
    <row r="610" spans="14:14" x14ac:dyDescent="0.35">
      <c r="N610" s="126"/>
    </row>
    <row r="611" spans="14:14" x14ac:dyDescent="0.35">
      <c r="N611" s="126"/>
    </row>
    <row r="612" spans="14:14" x14ac:dyDescent="0.35">
      <c r="N612" s="126"/>
    </row>
    <row r="613" spans="14:14" x14ac:dyDescent="0.35">
      <c r="N613" s="126"/>
    </row>
    <row r="614" spans="14:14" x14ac:dyDescent="0.35">
      <c r="N614" s="126"/>
    </row>
    <row r="615" spans="14:14" x14ac:dyDescent="0.35">
      <c r="N615" s="126"/>
    </row>
    <row r="616" spans="14:14" x14ac:dyDescent="0.35">
      <c r="N616" s="126"/>
    </row>
    <row r="617" spans="14:14" x14ac:dyDescent="0.35">
      <c r="N617" s="126"/>
    </row>
    <row r="618" spans="14:14" x14ac:dyDescent="0.35">
      <c r="N618" s="126"/>
    </row>
    <row r="619" spans="14:14" x14ac:dyDescent="0.35">
      <c r="N619" s="126"/>
    </row>
    <row r="620" spans="14:14" x14ac:dyDescent="0.35">
      <c r="N620" s="126"/>
    </row>
    <row r="621" spans="14:14" x14ac:dyDescent="0.35">
      <c r="N621" s="126"/>
    </row>
    <row r="622" spans="14:14" x14ac:dyDescent="0.35">
      <c r="N622" s="126"/>
    </row>
    <row r="623" spans="14:14" x14ac:dyDescent="0.35">
      <c r="N623" s="126"/>
    </row>
    <row r="624" spans="14:14" x14ac:dyDescent="0.35">
      <c r="N624" s="126"/>
    </row>
    <row r="625" spans="14:14" x14ac:dyDescent="0.35">
      <c r="N625" s="126"/>
    </row>
    <row r="626" spans="14:14" x14ac:dyDescent="0.35">
      <c r="N626" s="126"/>
    </row>
    <row r="627" spans="14:14" x14ac:dyDescent="0.35">
      <c r="N627" s="126"/>
    </row>
    <row r="628" spans="14:14" x14ac:dyDescent="0.35">
      <c r="N628" s="126"/>
    </row>
    <row r="629" spans="14:14" x14ac:dyDescent="0.35">
      <c r="N629" s="126"/>
    </row>
    <row r="630" spans="14:14" x14ac:dyDescent="0.35">
      <c r="N630" s="126"/>
    </row>
    <row r="631" spans="14:14" x14ac:dyDescent="0.35">
      <c r="N631" s="126"/>
    </row>
    <row r="632" spans="14:14" x14ac:dyDescent="0.35">
      <c r="N632" s="126"/>
    </row>
    <row r="633" spans="14:14" x14ac:dyDescent="0.35">
      <c r="N633" s="126"/>
    </row>
    <row r="634" spans="14:14" x14ac:dyDescent="0.35">
      <c r="N634" s="126"/>
    </row>
    <row r="635" spans="14:14" x14ac:dyDescent="0.35">
      <c r="N635" s="126"/>
    </row>
    <row r="636" spans="14:14" x14ac:dyDescent="0.35">
      <c r="N636" s="126"/>
    </row>
    <row r="637" spans="14:14" x14ac:dyDescent="0.35">
      <c r="N637" s="126"/>
    </row>
    <row r="638" spans="14:14" x14ac:dyDescent="0.35">
      <c r="N638" s="126"/>
    </row>
    <row r="639" spans="14:14" x14ac:dyDescent="0.35">
      <c r="N639" s="126"/>
    </row>
    <row r="640" spans="14:14" x14ac:dyDescent="0.35">
      <c r="N640" s="126"/>
    </row>
    <row r="641" spans="14:14" x14ac:dyDescent="0.35">
      <c r="N641" s="126"/>
    </row>
    <row r="642" spans="14:14" x14ac:dyDescent="0.35">
      <c r="N642" s="126"/>
    </row>
    <row r="643" spans="14:14" x14ac:dyDescent="0.35">
      <c r="N643" s="126"/>
    </row>
    <row r="644" spans="14:14" x14ac:dyDescent="0.35">
      <c r="N644" s="126"/>
    </row>
    <row r="645" spans="14:14" x14ac:dyDescent="0.35">
      <c r="N645" s="126"/>
    </row>
    <row r="646" spans="14:14" x14ac:dyDescent="0.35">
      <c r="N646" s="126"/>
    </row>
    <row r="647" spans="14:14" x14ac:dyDescent="0.35">
      <c r="N647" s="126"/>
    </row>
    <row r="648" spans="14:14" x14ac:dyDescent="0.35">
      <c r="N648" s="126"/>
    </row>
    <row r="649" spans="14:14" x14ac:dyDescent="0.35">
      <c r="N649" s="126"/>
    </row>
    <row r="650" spans="14:14" x14ac:dyDescent="0.35">
      <c r="N650" s="126"/>
    </row>
    <row r="651" spans="14:14" x14ac:dyDescent="0.35">
      <c r="N651" s="126"/>
    </row>
    <row r="652" spans="14:14" x14ac:dyDescent="0.35">
      <c r="N652" s="126"/>
    </row>
    <row r="653" spans="14:14" x14ac:dyDescent="0.35">
      <c r="N653" s="126"/>
    </row>
    <row r="654" spans="14:14" x14ac:dyDescent="0.35">
      <c r="N654" s="126"/>
    </row>
    <row r="655" spans="14:14" x14ac:dyDescent="0.35">
      <c r="N655" s="126"/>
    </row>
    <row r="656" spans="14:14" x14ac:dyDescent="0.35">
      <c r="N656" s="126"/>
    </row>
    <row r="657" spans="14:14" x14ac:dyDescent="0.35">
      <c r="N657" s="126"/>
    </row>
    <row r="658" spans="14:14" x14ac:dyDescent="0.35">
      <c r="N658" s="126"/>
    </row>
    <row r="659" spans="14:14" x14ac:dyDescent="0.35">
      <c r="N659" s="126"/>
    </row>
    <row r="660" spans="14:14" x14ac:dyDescent="0.35">
      <c r="N660" s="126"/>
    </row>
    <row r="661" spans="14:14" x14ac:dyDescent="0.35">
      <c r="N661" s="126"/>
    </row>
    <row r="662" spans="14:14" x14ac:dyDescent="0.35">
      <c r="N662" s="126"/>
    </row>
    <row r="663" spans="14:14" x14ac:dyDescent="0.35">
      <c r="N663" s="126"/>
    </row>
    <row r="664" spans="14:14" x14ac:dyDescent="0.35">
      <c r="N664" s="126"/>
    </row>
    <row r="665" spans="14:14" x14ac:dyDescent="0.35">
      <c r="N665" s="126"/>
    </row>
    <row r="666" spans="14:14" x14ac:dyDescent="0.35">
      <c r="N666" s="126"/>
    </row>
    <row r="667" spans="14:14" x14ac:dyDescent="0.35">
      <c r="N667" s="126"/>
    </row>
    <row r="668" spans="14:14" x14ac:dyDescent="0.35">
      <c r="N668" s="126"/>
    </row>
    <row r="669" spans="14:14" x14ac:dyDescent="0.35">
      <c r="N669" s="126"/>
    </row>
    <row r="670" spans="14:14" x14ac:dyDescent="0.35">
      <c r="N670" s="126"/>
    </row>
    <row r="671" spans="14:14" x14ac:dyDescent="0.35">
      <c r="N671" s="126"/>
    </row>
    <row r="672" spans="14:14" x14ac:dyDescent="0.35">
      <c r="N672" s="126"/>
    </row>
    <row r="673" spans="14:14" x14ac:dyDescent="0.35">
      <c r="N673" s="126"/>
    </row>
    <row r="674" spans="14:14" x14ac:dyDescent="0.35">
      <c r="N674" s="126"/>
    </row>
    <row r="675" spans="14:14" x14ac:dyDescent="0.35">
      <c r="N675" s="126"/>
    </row>
    <row r="676" spans="14:14" x14ac:dyDescent="0.35">
      <c r="N676" s="126"/>
    </row>
    <row r="677" spans="14:14" x14ac:dyDescent="0.35">
      <c r="N677" s="126"/>
    </row>
    <row r="678" spans="14:14" x14ac:dyDescent="0.35">
      <c r="N678" s="126"/>
    </row>
    <row r="679" spans="14:14" x14ac:dyDescent="0.35">
      <c r="N679" s="126"/>
    </row>
    <row r="680" spans="14:14" x14ac:dyDescent="0.35">
      <c r="N680" s="126"/>
    </row>
    <row r="681" spans="14:14" x14ac:dyDescent="0.35">
      <c r="N681" s="126"/>
    </row>
    <row r="682" spans="14:14" x14ac:dyDescent="0.35">
      <c r="N682" s="126"/>
    </row>
    <row r="683" spans="14:14" x14ac:dyDescent="0.35">
      <c r="N683" s="126"/>
    </row>
    <row r="684" spans="14:14" x14ac:dyDescent="0.35">
      <c r="N684" s="126"/>
    </row>
    <row r="685" spans="14:14" x14ac:dyDescent="0.35">
      <c r="N685" s="126"/>
    </row>
    <row r="686" spans="14:14" x14ac:dyDescent="0.35">
      <c r="N686" s="126"/>
    </row>
    <row r="687" spans="14:14" x14ac:dyDescent="0.35">
      <c r="N687" s="126"/>
    </row>
    <row r="688" spans="14:14" x14ac:dyDescent="0.35">
      <c r="N688" s="126"/>
    </row>
    <row r="689" spans="14:14" x14ac:dyDescent="0.35">
      <c r="N689" s="126"/>
    </row>
    <row r="690" spans="14:14" x14ac:dyDescent="0.35">
      <c r="N690" s="126"/>
    </row>
    <row r="691" spans="14:14" x14ac:dyDescent="0.35">
      <c r="N691" s="126"/>
    </row>
    <row r="692" spans="14:14" x14ac:dyDescent="0.35">
      <c r="N692" s="126"/>
    </row>
    <row r="693" spans="14:14" x14ac:dyDescent="0.35">
      <c r="N693" s="126"/>
    </row>
    <row r="694" spans="14:14" x14ac:dyDescent="0.35">
      <c r="N694" s="126"/>
    </row>
    <row r="695" spans="14:14" x14ac:dyDescent="0.35">
      <c r="N695" s="126"/>
    </row>
    <row r="696" spans="14:14" x14ac:dyDescent="0.35">
      <c r="N696" s="126"/>
    </row>
    <row r="697" spans="14:14" x14ac:dyDescent="0.35">
      <c r="N697" s="126"/>
    </row>
    <row r="698" spans="14:14" x14ac:dyDescent="0.35">
      <c r="N698" s="126"/>
    </row>
    <row r="699" spans="14:14" x14ac:dyDescent="0.35">
      <c r="N699" s="126"/>
    </row>
    <row r="700" spans="14:14" x14ac:dyDescent="0.35">
      <c r="N700" s="126"/>
    </row>
    <row r="701" spans="14:14" x14ac:dyDescent="0.35">
      <c r="N701" s="126"/>
    </row>
    <row r="702" spans="14:14" x14ac:dyDescent="0.35">
      <c r="N702" s="126"/>
    </row>
    <row r="703" spans="14:14" x14ac:dyDescent="0.35">
      <c r="N703" s="126"/>
    </row>
    <row r="704" spans="14:14" x14ac:dyDescent="0.35">
      <c r="N704" s="126"/>
    </row>
    <row r="705" spans="14:14" x14ac:dyDescent="0.35">
      <c r="N705" s="126"/>
    </row>
    <row r="706" spans="14:14" x14ac:dyDescent="0.35">
      <c r="N706" s="126"/>
    </row>
    <row r="707" spans="14:14" x14ac:dyDescent="0.35">
      <c r="N707" s="126"/>
    </row>
    <row r="708" spans="14:14" x14ac:dyDescent="0.35">
      <c r="N708" s="126"/>
    </row>
    <row r="709" spans="14:14" x14ac:dyDescent="0.35">
      <c r="N709" s="126"/>
    </row>
    <row r="710" spans="14:14" x14ac:dyDescent="0.35">
      <c r="N710" s="126"/>
    </row>
    <row r="711" spans="14:14" x14ac:dyDescent="0.35">
      <c r="N711" s="126"/>
    </row>
    <row r="712" spans="14:14" x14ac:dyDescent="0.35">
      <c r="N712" s="126"/>
    </row>
    <row r="713" spans="14:14" x14ac:dyDescent="0.35">
      <c r="N713" s="126"/>
    </row>
    <row r="714" spans="14:14" x14ac:dyDescent="0.35">
      <c r="N714" s="126"/>
    </row>
    <row r="715" spans="14:14" x14ac:dyDescent="0.35">
      <c r="N715" s="126"/>
    </row>
    <row r="716" spans="14:14" x14ac:dyDescent="0.35">
      <c r="N716" s="126"/>
    </row>
    <row r="717" spans="14:14" x14ac:dyDescent="0.35">
      <c r="N717" s="126"/>
    </row>
    <row r="718" spans="14:14" x14ac:dyDescent="0.35">
      <c r="N718" s="126"/>
    </row>
    <row r="719" spans="14:14" x14ac:dyDescent="0.35">
      <c r="N719" s="126"/>
    </row>
    <row r="720" spans="14:14" x14ac:dyDescent="0.35">
      <c r="N720" s="126"/>
    </row>
    <row r="721" spans="14:14" x14ac:dyDescent="0.35">
      <c r="N721" s="126"/>
    </row>
    <row r="722" spans="14:14" x14ac:dyDescent="0.35">
      <c r="N722" s="126"/>
    </row>
    <row r="723" spans="14:14" x14ac:dyDescent="0.35">
      <c r="N723" s="126"/>
    </row>
    <row r="724" spans="14:14" x14ac:dyDescent="0.35">
      <c r="N724" s="126"/>
    </row>
    <row r="725" spans="14:14" x14ac:dyDescent="0.35">
      <c r="N725" s="126"/>
    </row>
    <row r="726" spans="14:14" x14ac:dyDescent="0.35">
      <c r="N726" s="126"/>
    </row>
    <row r="727" spans="14:14" x14ac:dyDescent="0.35">
      <c r="N727" s="126"/>
    </row>
    <row r="728" spans="14:14" x14ac:dyDescent="0.35">
      <c r="N728" s="126"/>
    </row>
    <row r="729" spans="14:14" x14ac:dyDescent="0.35">
      <c r="N729" s="126"/>
    </row>
    <row r="730" spans="14:14" x14ac:dyDescent="0.35">
      <c r="N730" s="126"/>
    </row>
    <row r="731" spans="14:14" x14ac:dyDescent="0.35">
      <c r="N731" s="126"/>
    </row>
    <row r="732" spans="14:14" x14ac:dyDescent="0.35">
      <c r="N732" s="126"/>
    </row>
    <row r="733" spans="14:14" x14ac:dyDescent="0.35">
      <c r="N733" s="126"/>
    </row>
    <row r="734" spans="14:14" x14ac:dyDescent="0.35">
      <c r="N734" s="126"/>
    </row>
    <row r="735" spans="14:14" x14ac:dyDescent="0.35">
      <c r="N735" s="126"/>
    </row>
    <row r="736" spans="14:14" x14ac:dyDescent="0.35">
      <c r="N736" s="126"/>
    </row>
    <row r="737" spans="14:14" x14ac:dyDescent="0.35">
      <c r="N737" s="126"/>
    </row>
    <row r="738" spans="14:14" x14ac:dyDescent="0.35">
      <c r="N738" s="126"/>
    </row>
    <row r="739" spans="14:14" x14ac:dyDescent="0.35">
      <c r="N739" s="126"/>
    </row>
    <row r="740" spans="14:14" x14ac:dyDescent="0.35">
      <c r="N740" s="126"/>
    </row>
    <row r="741" spans="14:14" x14ac:dyDescent="0.35">
      <c r="N741" s="126"/>
    </row>
    <row r="742" spans="14:14" x14ac:dyDescent="0.35">
      <c r="N742" s="126"/>
    </row>
    <row r="743" spans="14:14" x14ac:dyDescent="0.35">
      <c r="N743" s="126"/>
    </row>
    <row r="744" spans="14:14" x14ac:dyDescent="0.35">
      <c r="N744" s="126"/>
    </row>
    <row r="745" spans="14:14" x14ac:dyDescent="0.35">
      <c r="N745" s="126"/>
    </row>
    <row r="746" spans="14:14" x14ac:dyDescent="0.35">
      <c r="N746" s="126"/>
    </row>
    <row r="747" spans="14:14" x14ac:dyDescent="0.35">
      <c r="N747" s="126"/>
    </row>
    <row r="748" spans="14:14" x14ac:dyDescent="0.35">
      <c r="N748" s="126"/>
    </row>
    <row r="749" spans="14:14" x14ac:dyDescent="0.35">
      <c r="N749" s="126"/>
    </row>
    <row r="750" spans="14:14" x14ac:dyDescent="0.35">
      <c r="N750" s="126"/>
    </row>
    <row r="751" spans="14:14" x14ac:dyDescent="0.35">
      <c r="N751" s="126"/>
    </row>
    <row r="752" spans="14:14" x14ac:dyDescent="0.35">
      <c r="N752" s="126"/>
    </row>
    <row r="753" spans="14:14" x14ac:dyDescent="0.35">
      <c r="N753" s="126"/>
    </row>
    <row r="754" spans="14:14" x14ac:dyDescent="0.35">
      <c r="N754" s="126"/>
    </row>
    <row r="755" spans="14:14" x14ac:dyDescent="0.35">
      <c r="N755" s="126"/>
    </row>
    <row r="756" spans="14:14" x14ac:dyDescent="0.35">
      <c r="N756" s="126"/>
    </row>
    <row r="757" spans="14:14" x14ac:dyDescent="0.35">
      <c r="N757" s="126"/>
    </row>
    <row r="758" spans="14:14" x14ac:dyDescent="0.35">
      <c r="N758" s="126"/>
    </row>
    <row r="759" spans="14:14" x14ac:dyDescent="0.35">
      <c r="N759" s="126"/>
    </row>
    <row r="760" spans="14:14" x14ac:dyDescent="0.35">
      <c r="N760" s="126"/>
    </row>
    <row r="761" spans="14:14" x14ac:dyDescent="0.35">
      <c r="N761" s="126"/>
    </row>
    <row r="762" spans="14:14" x14ac:dyDescent="0.35">
      <c r="N762" s="126"/>
    </row>
    <row r="763" spans="14:14" x14ac:dyDescent="0.35">
      <c r="N763" s="126"/>
    </row>
    <row r="764" spans="14:14" x14ac:dyDescent="0.35">
      <c r="N764" s="126"/>
    </row>
    <row r="765" spans="14:14" x14ac:dyDescent="0.35">
      <c r="N765" s="126"/>
    </row>
    <row r="766" spans="14:14" x14ac:dyDescent="0.35">
      <c r="N766" s="126"/>
    </row>
    <row r="767" spans="14:14" x14ac:dyDescent="0.35">
      <c r="N767" s="126"/>
    </row>
    <row r="768" spans="14:14" x14ac:dyDescent="0.35">
      <c r="N768" s="126"/>
    </row>
    <row r="769" spans="14:14" x14ac:dyDescent="0.35">
      <c r="N769" s="126"/>
    </row>
    <row r="770" spans="14:14" x14ac:dyDescent="0.35">
      <c r="N770" s="126"/>
    </row>
    <row r="771" spans="14:14" x14ac:dyDescent="0.35">
      <c r="N771" s="126"/>
    </row>
    <row r="772" spans="14:14" x14ac:dyDescent="0.35">
      <c r="N772" s="126"/>
    </row>
    <row r="773" spans="14:14" x14ac:dyDescent="0.35">
      <c r="N773" s="126"/>
    </row>
    <row r="774" spans="14:14" x14ac:dyDescent="0.35">
      <c r="N774" s="126"/>
    </row>
    <row r="775" spans="14:14" x14ac:dyDescent="0.35">
      <c r="N775" s="126"/>
    </row>
    <row r="776" spans="14:14" x14ac:dyDescent="0.35">
      <c r="N776" s="126"/>
    </row>
    <row r="777" spans="14:14" x14ac:dyDescent="0.35">
      <c r="N777" s="126"/>
    </row>
    <row r="778" spans="14:14" x14ac:dyDescent="0.35">
      <c r="N778" s="126"/>
    </row>
    <row r="779" spans="14:14" x14ac:dyDescent="0.35">
      <c r="N779" s="126"/>
    </row>
    <row r="780" spans="14:14" x14ac:dyDescent="0.35">
      <c r="N780" s="126"/>
    </row>
    <row r="781" spans="14:14" x14ac:dyDescent="0.35">
      <c r="N781" s="126"/>
    </row>
    <row r="782" spans="14:14" x14ac:dyDescent="0.35">
      <c r="N782" s="126"/>
    </row>
    <row r="783" spans="14:14" x14ac:dyDescent="0.35">
      <c r="N783" s="126"/>
    </row>
    <row r="784" spans="14:14" x14ac:dyDescent="0.35">
      <c r="N784" s="126"/>
    </row>
    <row r="785" spans="14:14" x14ac:dyDescent="0.35">
      <c r="N785" s="126"/>
    </row>
    <row r="786" spans="14:14" x14ac:dyDescent="0.35">
      <c r="N786" s="126"/>
    </row>
    <row r="787" spans="14:14" x14ac:dyDescent="0.35">
      <c r="N787" s="126"/>
    </row>
    <row r="788" spans="14:14" x14ac:dyDescent="0.35">
      <c r="N788" s="126"/>
    </row>
    <row r="789" spans="14:14" x14ac:dyDescent="0.35">
      <c r="N789" s="126"/>
    </row>
    <row r="790" spans="14:14" x14ac:dyDescent="0.35">
      <c r="N790" s="126"/>
    </row>
    <row r="791" spans="14:14" x14ac:dyDescent="0.35">
      <c r="N791" s="126"/>
    </row>
    <row r="792" spans="14:14" x14ac:dyDescent="0.35">
      <c r="N792" s="126"/>
    </row>
    <row r="793" spans="14:14" x14ac:dyDescent="0.35">
      <c r="N793" s="126"/>
    </row>
    <row r="794" spans="14:14" x14ac:dyDescent="0.35">
      <c r="N794" s="126"/>
    </row>
    <row r="795" spans="14:14" x14ac:dyDescent="0.35">
      <c r="N795" s="126"/>
    </row>
    <row r="796" spans="14:14" x14ac:dyDescent="0.35">
      <c r="N796" s="126"/>
    </row>
    <row r="797" spans="14:14" x14ac:dyDescent="0.35">
      <c r="N797" s="126"/>
    </row>
    <row r="798" spans="14:14" x14ac:dyDescent="0.35">
      <c r="N798" s="126"/>
    </row>
    <row r="799" spans="14:14" x14ac:dyDescent="0.35">
      <c r="N799" s="126"/>
    </row>
    <row r="800" spans="14:14" x14ac:dyDescent="0.35">
      <c r="N800" s="126"/>
    </row>
    <row r="801" spans="14:14" x14ac:dyDescent="0.35">
      <c r="N801" s="126"/>
    </row>
    <row r="802" spans="14:14" x14ac:dyDescent="0.35">
      <c r="N802" s="126"/>
    </row>
    <row r="803" spans="14:14" x14ac:dyDescent="0.35">
      <c r="N803" s="126"/>
    </row>
    <row r="804" spans="14:14" x14ac:dyDescent="0.35">
      <c r="N804" s="126"/>
    </row>
    <row r="805" spans="14:14" x14ac:dyDescent="0.35">
      <c r="N805" s="126"/>
    </row>
    <row r="806" spans="14:14" x14ac:dyDescent="0.35">
      <c r="N806" s="126"/>
    </row>
    <row r="807" spans="14:14" x14ac:dyDescent="0.35">
      <c r="N807" s="126"/>
    </row>
    <row r="808" spans="14:14" x14ac:dyDescent="0.35">
      <c r="N808" s="126"/>
    </row>
    <row r="809" spans="14:14" x14ac:dyDescent="0.35">
      <c r="N809" s="126"/>
    </row>
    <row r="810" spans="14:14" x14ac:dyDescent="0.35">
      <c r="N810" s="126"/>
    </row>
    <row r="811" spans="14:14" x14ac:dyDescent="0.35">
      <c r="N811" s="126"/>
    </row>
    <row r="812" spans="14:14" x14ac:dyDescent="0.35">
      <c r="N812" s="126"/>
    </row>
    <row r="813" spans="14:14" x14ac:dyDescent="0.35">
      <c r="N813" s="126"/>
    </row>
    <row r="814" spans="14:14" x14ac:dyDescent="0.35">
      <c r="N814" s="126"/>
    </row>
    <row r="815" spans="14:14" x14ac:dyDescent="0.35">
      <c r="N815" s="126"/>
    </row>
    <row r="816" spans="14:14" x14ac:dyDescent="0.35">
      <c r="N816" s="126"/>
    </row>
    <row r="817" spans="14:14" x14ac:dyDescent="0.35">
      <c r="N817" s="126"/>
    </row>
    <row r="818" spans="14:14" x14ac:dyDescent="0.35">
      <c r="N818" s="126"/>
    </row>
    <row r="819" spans="14:14" x14ac:dyDescent="0.35">
      <c r="N819" s="126"/>
    </row>
    <row r="820" spans="14:14" x14ac:dyDescent="0.35">
      <c r="N820" s="126"/>
    </row>
    <row r="821" spans="14:14" x14ac:dyDescent="0.35">
      <c r="N821" s="126"/>
    </row>
    <row r="822" spans="14:14" x14ac:dyDescent="0.35">
      <c r="N822" s="126"/>
    </row>
    <row r="823" spans="14:14" x14ac:dyDescent="0.35">
      <c r="N823" s="126"/>
    </row>
    <row r="824" spans="14:14" x14ac:dyDescent="0.35">
      <c r="N824" s="126"/>
    </row>
    <row r="825" spans="14:14" x14ac:dyDescent="0.35">
      <c r="N825" s="126"/>
    </row>
    <row r="826" spans="14:14" x14ac:dyDescent="0.35">
      <c r="N826" s="126"/>
    </row>
    <row r="827" spans="14:14" x14ac:dyDescent="0.35">
      <c r="N827" s="126"/>
    </row>
    <row r="828" spans="14:14" x14ac:dyDescent="0.35">
      <c r="N828" s="126"/>
    </row>
    <row r="829" spans="14:14" x14ac:dyDescent="0.35">
      <c r="N829" s="126"/>
    </row>
    <row r="830" spans="14:14" x14ac:dyDescent="0.35">
      <c r="N830" s="126"/>
    </row>
    <row r="831" spans="14:14" x14ac:dyDescent="0.35">
      <c r="N831" s="126"/>
    </row>
    <row r="832" spans="14:14" x14ac:dyDescent="0.35">
      <c r="N832" s="126"/>
    </row>
    <row r="833" spans="14:14" x14ac:dyDescent="0.35">
      <c r="N833" s="126"/>
    </row>
    <row r="834" spans="14:14" x14ac:dyDescent="0.35">
      <c r="N834" s="126"/>
    </row>
    <row r="835" spans="14:14" x14ac:dyDescent="0.35">
      <c r="N835" s="126"/>
    </row>
    <row r="836" spans="14:14" x14ac:dyDescent="0.35">
      <c r="N836" s="126"/>
    </row>
    <row r="837" spans="14:14" x14ac:dyDescent="0.35">
      <c r="N837" s="126"/>
    </row>
    <row r="838" spans="14:14" x14ac:dyDescent="0.35">
      <c r="N838" s="126"/>
    </row>
    <row r="839" spans="14:14" x14ac:dyDescent="0.35">
      <c r="N839" s="126"/>
    </row>
    <row r="840" spans="14:14" x14ac:dyDescent="0.35">
      <c r="N840" s="126"/>
    </row>
    <row r="841" spans="14:14" x14ac:dyDescent="0.35">
      <c r="N841" s="126"/>
    </row>
    <row r="842" spans="14:14" x14ac:dyDescent="0.35">
      <c r="N842" s="126"/>
    </row>
    <row r="843" spans="14:14" x14ac:dyDescent="0.35">
      <c r="N843" s="126"/>
    </row>
    <row r="844" spans="14:14" x14ac:dyDescent="0.35">
      <c r="N844" s="126"/>
    </row>
    <row r="845" spans="14:14" x14ac:dyDescent="0.35">
      <c r="N845" s="126"/>
    </row>
    <row r="846" spans="14:14" x14ac:dyDescent="0.35">
      <c r="N846" s="126"/>
    </row>
    <row r="847" spans="14:14" x14ac:dyDescent="0.35">
      <c r="N847" s="126"/>
    </row>
    <row r="848" spans="14:14" x14ac:dyDescent="0.35">
      <c r="N848" s="126"/>
    </row>
    <row r="849" spans="14:14" x14ac:dyDescent="0.35">
      <c r="N849" s="126"/>
    </row>
    <row r="850" spans="14:14" x14ac:dyDescent="0.35">
      <c r="N850" s="126"/>
    </row>
    <row r="851" spans="14:14" x14ac:dyDescent="0.35">
      <c r="N851" s="126"/>
    </row>
    <row r="852" spans="14:14" x14ac:dyDescent="0.35">
      <c r="N852" s="126"/>
    </row>
    <row r="853" spans="14:14" x14ac:dyDescent="0.35">
      <c r="N853" s="126"/>
    </row>
    <row r="854" spans="14:14" x14ac:dyDescent="0.35">
      <c r="N854" s="126"/>
    </row>
    <row r="855" spans="14:14" x14ac:dyDescent="0.35">
      <c r="N855" s="126"/>
    </row>
    <row r="856" spans="14:14" x14ac:dyDescent="0.35">
      <c r="N856" s="126"/>
    </row>
    <row r="857" spans="14:14" x14ac:dyDescent="0.35">
      <c r="N857" s="126"/>
    </row>
    <row r="858" spans="14:14" x14ac:dyDescent="0.35">
      <c r="N858" s="126"/>
    </row>
    <row r="859" spans="14:14" x14ac:dyDescent="0.35">
      <c r="N859" s="126"/>
    </row>
    <row r="860" spans="14:14" x14ac:dyDescent="0.35">
      <c r="N860" s="126"/>
    </row>
    <row r="861" spans="14:14" x14ac:dyDescent="0.35">
      <c r="N861" s="126"/>
    </row>
    <row r="862" spans="14:14" x14ac:dyDescent="0.35">
      <c r="N862" s="126"/>
    </row>
    <row r="863" spans="14:14" x14ac:dyDescent="0.35">
      <c r="N863" s="126"/>
    </row>
    <row r="864" spans="14:14" x14ac:dyDescent="0.35">
      <c r="N864" s="126"/>
    </row>
    <row r="865" spans="14:14" x14ac:dyDescent="0.35">
      <c r="N865" s="126"/>
    </row>
    <row r="866" spans="14:14" x14ac:dyDescent="0.35">
      <c r="N866" s="126"/>
    </row>
    <row r="867" spans="14:14" x14ac:dyDescent="0.35">
      <c r="N867" s="126"/>
    </row>
    <row r="868" spans="14:14" x14ac:dyDescent="0.35">
      <c r="N868" s="126"/>
    </row>
    <row r="869" spans="14:14" x14ac:dyDescent="0.35">
      <c r="N869" s="126"/>
    </row>
    <row r="870" spans="14:14" x14ac:dyDescent="0.35">
      <c r="N870" s="126"/>
    </row>
    <row r="871" spans="14:14" x14ac:dyDescent="0.35">
      <c r="N871" s="126"/>
    </row>
    <row r="872" spans="14:14" x14ac:dyDescent="0.35">
      <c r="N872" s="126"/>
    </row>
    <row r="873" spans="14:14" x14ac:dyDescent="0.35">
      <c r="N873" s="126"/>
    </row>
    <row r="874" spans="14:14" x14ac:dyDescent="0.35">
      <c r="N874" s="126"/>
    </row>
    <row r="875" spans="14:14" x14ac:dyDescent="0.35">
      <c r="N875" s="126"/>
    </row>
    <row r="876" spans="14:14" x14ac:dyDescent="0.35">
      <c r="N876" s="126"/>
    </row>
    <row r="877" spans="14:14" x14ac:dyDescent="0.35">
      <c r="N877" s="126"/>
    </row>
    <row r="878" spans="14:14" x14ac:dyDescent="0.35">
      <c r="N878" s="126"/>
    </row>
    <row r="879" spans="14:14" x14ac:dyDescent="0.35">
      <c r="N879" s="126"/>
    </row>
    <row r="880" spans="14:14" x14ac:dyDescent="0.35">
      <c r="N880" s="126"/>
    </row>
    <row r="881" spans="14:14" x14ac:dyDescent="0.35">
      <c r="N881" s="126"/>
    </row>
    <row r="882" spans="14:14" x14ac:dyDescent="0.35">
      <c r="N882" s="126"/>
    </row>
    <row r="883" spans="14:14" x14ac:dyDescent="0.35">
      <c r="N883" s="126"/>
    </row>
    <row r="884" spans="14:14" x14ac:dyDescent="0.35">
      <c r="N884" s="126"/>
    </row>
    <row r="885" spans="14:14" x14ac:dyDescent="0.35">
      <c r="N885" s="126"/>
    </row>
    <row r="886" spans="14:14" x14ac:dyDescent="0.35">
      <c r="N886" s="126"/>
    </row>
    <row r="887" spans="14:14" x14ac:dyDescent="0.35">
      <c r="N887" s="126"/>
    </row>
    <row r="888" spans="14:14" x14ac:dyDescent="0.35">
      <c r="N888" s="126"/>
    </row>
    <row r="889" spans="14:14" x14ac:dyDescent="0.35">
      <c r="N889" s="126"/>
    </row>
    <row r="890" spans="14:14" x14ac:dyDescent="0.35">
      <c r="N890" s="126"/>
    </row>
    <row r="891" spans="14:14" x14ac:dyDescent="0.35">
      <c r="N891" s="126"/>
    </row>
    <row r="892" spans="14:14" x14ac:dyDescent="0.35">
      <c r="N892" s="126"/>
    </row>
    <row r="893" spans="14:14" x14ac:dyDescent="0.35">
      <c r="N893" s="126"/>
    </row>
    <row r="894" spans="14:14" x14ac:dyDescent="0.35">
      <c r="N894" s="126"/>
    </row>
    <row r="895" spans="14:14" x14ac:dyDescent="0.35">
      <c r="N895" s="126"/>
    </row>
    <row r="896" spans="14:14" x14ac:dyDescent="0.35">
      <c r="N896" s="126"/>
    </row>
    <row r="897" spans="14:14" x14ac:dyDescent="0.35">
      <c r="N897" s="126"/>
    </row>
    <row r="898" spans="14:14" x14ac:dyDescent="0.35">
      <c r="N898" s="126"/>
    </row>
    <row r="899" spans="14:14" x14ac:dyDescent="0.35">
      <c r="N899" s="126"/>
    </row>
    <row r="900" spans="14:14" x14ac:dyDescent="0.35">
      <c r="N900" s="126"/>
    </row>
    <row r="901" spans="14:14" x14ac:dyDescent="0.35">
      <c r="N901" s="126"/>
    </row>
    <row r="902" spans="14:14" x14ac:dyDescent="0.35">
      <c r="N902" s="126"/>
    </row>
    <row r="903" spans="14:14" x14ac:dyDescent="0.35">
      <c r="N903" s="126"/>
    </row>
    <row r="904" spans="14:14" x14ac:dyDescent="0.35">
      <c r="N904" s="126"/>
    </row>
    <row r="905" spans="14:14" x14ac:dyDescent="0.35">
      <c r="N905" s="126"/>
    </row>
    <row r="906" spans="14:14" x14ac:dyDescent="0.35">
      <c r="N906" s="126"/>
    </row>
    <row r="907" spans="14:14" x14ac:dyDescent="0.35">
      <c r="N907" s="126"/>
    </row>
    <row r="908" spans="14:14" x14ac:dyDescent="0.35">
      <c r="N908" s="126"/>
    </row>
    <row r="909" spans="14:14" x14ac:dyDescent="0.35">
      <c r="N909" s="126"/>
    </row>
    <row r="910" spans="14:14" x14ac:dyDescent="0.35">
      <c r="N910" s="126"/>
    </row>
    <row r="911" spans="14:14" x14ac:dyDescent="0.35">
      <c r="N911" s="126"/>
    </row>
    <row r="912" spans="14:14" x14ac:dyDescent="0.35">
      <c r="N912" s="126"/>
    </row>
    <row r="913" spans="14:14" x14ac:dyDescent="0.35">
      <c r="N913" s="126"/>
    </row>
    <row r="914" spans="14:14" x14ac:dyDescent="0.35">
      <c r="N914" s="126"/>
    </row>
    <row r="915" spans="14:14" x14ac:dyDescent="0.35">
      <c r="N915" s="126"/>
    </row>
    <row r="916" spans="14:14" x14ac:dyDescent="0.35">
      <c r="N916" s="126"/>
    </row>
    <row r="917" spans="14:14" x14ac:dyDescent="0.35">
      <c r="N917" s="126"/>
    </row>
    <row r="918" spans="14:14" x14ac:dyDescent="0.35">
      <c r="N918" s="126"/>
    </row>
    <row r="919" spans="14:14" x14ac:dyDescent="0.35">
      <c r="N919" s="126"/>
    </row>
    <row r="920" spans="14:14" x14ac:dyDescent="0.35">
      <c r="N920" s="126"/>
    </row>
    <row r="921" spans="14:14" x14ac:dyDescent="0.35">
      <c r="N921" s="126"/>
    </row>
    <row r="922" spans="14:14" x14ac:dyDescent="0.35">
      <c r="N922" s="126"/>
    </row>
    <row r="923" spans="14:14" x14ac:dyDescent="0.35">
      <c r="N923" s="126"/>
    </row>
    <row r="924" spans="14:14" x14ac:dyDescent="0.35">
      <c r="N924" s="126"/>
    </row>
    <row r="925" spans="14:14" x14ac:dyDescent="0.35">
      <c r="N925" s="126"/>
    </row>
    <row r="926" spans="14:14" x14ac:dyDescent="0.35">
      <c r="N926" s="126"/>
    </row>
    <row r="927" spans="14:14" x14ac:dyDescent="0.35">
      <c r="N927" s="126"/>
    </row>
    <row r="928" spans="14:14" x14ac:dyDescent="0.35">
      <c r="N928" s="126"/>
    </row>
    <row r="929" spans="14:14" x14ac:dyDescent="0.35">
      <c r="N929" s="126"/>
    </row>
    <row r="930" spans="14:14" x14ac:dyDescent="0.35">
      <c r="N930" s="126"/>
    </row>
    <row r="931" spans="14:14" x14ac:dyDescent="0.35">
      <c r="N931" s="126"/>
    </row>
    <row r="932" spans="14:14" x14ac:dyDescent="0.35">
      <c r="N932" s="126"/>
    </row>
    <row r="933" spans="14:14" x14ac:dyDescent="0.35">
      <c r="N933" s="126"/>
    </row>
    <row r="934" spans="14:14" x14ac:dyDescent="0.35">
      <c r="N934" s="126"/>
    </row>
    <row r="935" spans="14:14" x14ac:dyDescent="0.35">
      <c r="N935" s="126"/>
    </row>
    <row r="936" spans="14:14" x14ac:dyDescent="0.35">
      <c r="N936" s="126"/>
    </row>
    <row r="937" spans="14:14" x14ac:dyDescent="0.35">
      <c r="N937" s="126"/>
    </row>
    <row r="938" spans="14:14" x14ac:dyDescent="0.35">
      <c r="N938" s="126"/>
    </row>
    <row r="939" spans="14:14" x14ac:dyDescent="0.35">
      <c r="N939" s="126"/>
    </row>
    <row r="940" spans="14:14" x14ac:dyDescent="0.35">
      <c r="N940" s="126"/>
    </row>
    <row r="941" spans="14:14" x14ac:dyDescent="0.35">
      <c r="N941" s="126"/>
    </row>
    <row r="942" spans="14:14" x14ac:dyDescent="0.35">
      <c r="N942" s="126"/>
    </row>
    <row r="943" spans="14:14" x14ac:dyDescent="0.35">
      <c r="N943" s="126"/>
    </row>
    <row r="944" spans="14:14" x14ac:dyDescent="0.35">
      <c r="N944" s="126"/>
    </row>
    <row r="945" spans="14:14" x14ac:dyDescent="0.35">
      <c r="N945" s="126"/>
    </row>
    <row r="946" spans="14:14" x14ac:dyDescent="0.35">
      <c r="N946" s="126"/>
    </row>
    <row r="947" spans="14:14" x14ac:dyDescent="0.35">
      <c r="N947" s="126"/>
    </row>
    <row r="948" spans="14:14" x14ac:dyDescent="0.35">
      <c r="N948" s="126"/>
    </row>
    <row r="949" spans="14:14" x14ac:dyDescent="0.35">
      <c r="N949" s="126"/>
    </row>
    <row r="950" spans="14:14" x14ac:dyDescent="0.35">
      <c r="N950" s="126"/>
    </row>
    <row r="951" spans="14:14" x14ac:dyDescent="0.35">
      <c r="N951" s="126"/>
    </row>
    <row r="952" spans="14:14" x14ac:dyDescent="0.35">
      <c r="N952" s="126"/>
    </row>
    <row r="953" spans="14:14" x14ac:dyDescent="0.35">
      <c r="N953" s="126"/>
    </row>
    <row r="954" spans="14:14" x14ac:dyDescent="0.35">
      <c r="N954" s="126"/>
    </row>
    <row r="955" spans="14:14" x14ac:dyDescent="0.35">
      <c r="N955" s="126"/>
    </row>
    <row r="956" spans="14:14" x14ac:dyDescent="0.35">
      <c r="N956" s="126"/>
    </row>
    <row r="957" spans="14:14" x14ac:dyDescent="0.35">
      <c r="N957" s="126"/>
    </row>
    <row r="958" spans="14:14" x14ac:dyDescent="0.35">
      <c r="N958" s="126"/>
    </row>
    <row r="959" spans="14:14" x14ac:dyDescent="0.35">
      <c r="N959" s="126"/>
    </row>
    <row r="960" spans="14:14" x14ac:dyDescent="0.35">
      <c r="N960" s="126"/>
    </row>
    <row r="961" spans="14:14" x14ac:dyDescent="0.35">
      <c r="N961" s="126"/>
    </row>
    <row r="962" spans="14:14" x14ac:dyDescent="0.35">
      <c r="N962" s="126"/>
    </row>
    <row r="963" spans="14:14" x14ac:dyDescent="0.35">
      <c r="N963" s="126"/>
    </row>
    <row r="964" spans="14:14" x14ac:dyDescent="0.35">
      <c r="N964" s="126"/>
    </row>
    <row r="965" spans="14:14" x14ac:dyDescent="0.35">
      <c r="N965" s="126"/>
    </row>
    <row r="966" spans="14:14" x14ac:dyDescent="0.35">
      <c r="N966" s="126"/>
    </row>
    <row r="967" spans="14:14" x14ac:dyDescent="0.35">
      <c r="N967" s="126"/>
    </row>
    <row r="968" spans="14:14" x14ac:dyDescent="0.35">
      <c r="N968" s="126"/>
    </row>
    <row r="969" spans="14:14" x14ac:dyDescent="0.35">
      <c r="N969" s="126"/>
    </row>
    <row r="970" spans="14:14" x14ac:dyDescent="0.35">
      <c r="N970" s="126"/>
    </row>
    <row r="971" spans="14:14" x14ac:dyDescent="0.35">
      <c r="N971" s="126"/>
    </row>
    <row r="972" spans="14:14" x14ac:dyDescent="0.35">
      <c r="N972" s="126"/>
    </row>
    <row r="973" spans="14:14" x14ac:dyDescent="0.35">
      <c r="N973" s="126"/>
    </row>
    <row r="974" spans="14:14" x14ac:dyDescent="0.35">
      <c r="N974" s="126"/>
    </row>
    <row r="975" spans="14:14" x14ac:dyDescent="0.35">
      <c r="N975" s="126"/>
    </row>
    <row r="976" spans="14:14" x14ac:dyDescent="0.35">
      <c r="N976" s="126"/>
    </row>
    <row r="977" spans="14:14" x14ac:dyDescent="0.35">
      <c r="N977" s="126"/>
    </row>
    <row r="978" spans="14:14" x14ac:dyDescent="0.35">
      <c r="N978" s="126"/>
    </row>
    <row r="979" spans="14:14" x14ac:dyDescent="0.35">
      <c r="N979" s="126"/>
    </row>
    <row r="980" spans="14:14" x14ac:dyDescent="0.35">
      <c r="N980" s="126"/>
    </row>
    <row r="981" spans="14:14" x14ac:dyDescent="0.35">
      <c r="N981" s="126"/>
    </row>
    <row r="982" spans="14:14" x14ac:dyDescent="0.35">
      <c r="N982" s="126"/>
    </row>
    <row r="983" spans="14:14" x14ac:dyDescent="0.35">
      <c r="N983" s="126"/>
    </row>
    <row r="984" spans="14:14" x14ac:dyDescent="0.35">
      <c r="N984" s="126"/>
    </row>
    <row r="985" spans="14:14" x14ac:dyDescent="0.35">
      <c r="N985" s="126"/>
    </row>
    <row r="986" spans="14:14" x14ac:dyDescent="0.35">
      <c r="N986" s="126"/>
    </row>
    <row r="987" spans="14:14" x14ac:dyDescent="0.35">
      <c r="N987" s="126"/>
    </row>
    <row r="988" spans="14:14" x14ac:dyDescent="0.35">
      <c r="N988" s="126"/>
    </row>
    <row r="989" spans="14:14" x14ac:dyDescent="0.35">
      <c r="N989" s="126"/>
    </row>
    <row r="990" spans="14:14" x14ac:dyDescent="0.35">
      <c r="N990" s="126"/>
    </row>
    <row r="991" spans="14:14" x14ac:dyDescent="0.35">
      <c r="N991" s="126"/>
    </row>
    <row r="992" spans="14:14" x14ac:dyDescent="0.35">
      <c r="N992" s="126"/>
    </row>
    <row r="993" spans="14:14" x14ac:dyDescent="0.35">
      <c r="N993" s="126"/>
    </row>
    <row r="994" spans="14:14" x14ac:dyDescent="0.35">
      <c r="N994" s="126"/>
    </row>
    <row r="995" spans="14:14" x14ac:dyDescent="0.35">
      <c r="N995" s="126"/>
    </row>
    <row r="996" spans="14:14" x14ac:dyDescent="0.35">
      <c r="N996" s="126"/>
    </row>
    <row r="997" spans="14:14" x14ac:dyDescent="0.35">
      <c r="N997" s="126"/>
    </row>
    <row r="998" spans="14:14" x14ac:dyDescent="0.35">
      <c r="N998" s="126"/>
    </row>
    <row r="999" spans="14:14" x14ac:dyDescent="0.35">
      <c r="N999" s="126"/>
    </row>
    <row r="1000" spans="14:14" x14ac:dyDescent="0.35">
      <c r="N1000" s="126"/>
    </row>
    <row r="1001" spans="14:14" x14ac:dyDescent="0.35">
      <c r="N1001" s="126"/>
    </row>
    <row r="1002" spans="14:14" x14ac:dyDescent="0.35">
      <c r="N1002" s="126"/>
    </row>
    <row r="1003" spans="14:14" x14ac:dyDescent="0.35">
      <c r="N1003" s="126"/>
    </row>
    <row r="1004" spans="14:14" x14ac:dyDescent="0.35">
      <c r="N1004" s="126"/>
    </row>
    <row r="1005" spans="14:14" x14ac:dyDescent="0.35">
      <c r="N1005" s="126"/>
    </row>
    <row r="1006" spans="14:14" x14ac:dyDescent="0.35">
      <c r="N1006" s="126"/>
    </row>
    <row r="1007" spans="14:14" x14ac:dyDescent="0.35">
      <c r="N1007" s="126"/>
    </row>
    <row r="1008" spans="14:14" x14ac:dyDescent="0.35">
      <c r="N1008" s="126"/>
    </row>
    <row r="1009" spans="14:14" x14ac:dyDescent="0.35">
      <c r="N1009" s="126"/>
    </row>
    <row r="1010" spans="14:14" x14ac:dyDescent="0.35">
      <c r="N1010" s="126"/>
    </row>
    <row r="1011" spans="14:14" x14ac:dyDescent="0.35">
      <c r="N1011" s="126"/>
    </row>
    <row r="1012" spans="14:14" x14ac:dyDescent="0.35">
      <c r="N1012" s="126"/>
    </row>
    <row r="1013" spans="14:14" x14ac:dyDescent="0.35">
      <c r="N1013" s="126"/>
    </row>
    <row r="1014" spans="14:14" x14ac:dyDescent="0.35">
      <c r="N1014" s="126"/>
    </row>
    <row r="1015" spans="14:14" x14ac:dyDescent="0.35">
      <c r="N1015" s="126"/>
    </row>
    <row r="1016" spans="14:14" x14ac:dyDescent="0.35">
      <c r="N1016" s="126"/>
    </row>
    <row r="1017" spans="14:14" x14ac:dyDescent="0.35">
      <c r="N1017" s="126"/>
    </row>
    <row r="1018" spans="14:14" x14ac:dyDescent="0.35">
      <c r="N1018" s="126"/>
    </row>
    <row r="1019" spans="14:14" x14ac:dyDescent="0.35">
      <c r="N1019" s="126"/>
    </row>
    <row r="1020" spans="14:14" x14ac:dyDescent="0.35">
      <c r="N1020" s="126"/>
    </row>
    <row r="1021" spans="14:14" x14ac:dyDescent="0.35">
      <c r="N1021" s="126"/>
    </row>
    <row r="1022" spans="14:14" x14ac:dyDescent="0.35">
      <c r="N1022" s="126"/>
    </row>
    <row r="1023" spans="14:14" x14ac:dyDescent="0.35">
      <c r="N1023" s="126"/>
    </row>
    <row r="1024" spans="14:14" x14ac:dyDescent="0.35">
      <c r="N1024" s="126"/>
    </row>
    <row r="1025" spans="14:14" x14ac:dyDescent="0.35">
      <c r="N1025" s="126"/>
    </row>
    <row r="1026" spans="14:14" x14ac:dyDescent="0.35">
      <c r="N1026" s="126"/>
    </row>
    <row r="1027" spans="14:14" x14ac:dyDescent="0.35">
      <c r="N1027" s="126"/>
    </row>
    <row r="1028" spans="14:14" x14ac:dyDescent="0.35">
      <c r="N1028" s="126"/>
    </row>
    <row r="1029" spans="14:14" x14ac:dyDescent="0.35">
      <c r="N1029" s="126"/>
    </row>
    <row r="1030" spans="14:14" x14ac:dyDescent="0.35">
      <c r="N1030" s="126"/>
    </row>
    <row r="1031" spans="14:14" x14ac:dyDescent="0.35">
      <c r="N1031" s="126"/>
    </row>
    <row r="1032" spans="14:14" x14ac:dyDescent="0.35">
      <c r="N1032" s="126"/>
    </row>
    <row r="1033" spans="14:14" x14ac:dyDescent="0.35">
      <c r="N1033" s="126"/>
    </row>
    <row r="1034" spans="14:14" x14ac:dyDescent="0.35">
      <c r="N1034" s="126"/>
    </row>
    <row r="1035" spans="14:14" x14ac:dyDescent="0.35">
      <c r="N1035" s="126"/>
    </row>
    <row r="1036" spans="14:14" x14ac:dyDescent="0.35">
      <c r="N1036" s="126"/>
    </row>
    <row r="1037" spans="14:14" x14ac:dyDescent="0.35">
      <c r="N1037" s="126"/>
    </row>
    <row r="1038" spans="14:14" x14ac:dyDescent="0.35">
      <c r="N1038" s="126"/>
    </row>
    <row r="1039" spans="14:14" x14ac:dyDescent="0.35">
      <c r="N1039" s="126"/>
    </row>
    <row r="1040" spans="14:14" x14ac:dyDescent="0.35">
      <c r="N1040" s="126"/>
    </row>
    <row r="1041" spans="14:14" x14ac:dyDescent="0.35">
      <c r="N1041" s="126"/>
    </row>
    <row r="1042" spans="14:14" x14ac:dyDescent="0.35">
      <c r="N1042" s="126"/>
    </row>
    <row r="1043" spans="14:14" x14ac:dyDescent="0.35">
      <c r="N1043" s="126"/>
    </row>
    <row r="1044" spans="14:14" x14ac:dyDescent="0.35">
      <c r="N1044" s="126"/>
    </row>
    <row r="1045" spans="14:14" x14ac:dyDescent="0.35">
      <c r="N1045" s="126"/>
    </row>
    <row r="1046" spans="14:14" x14ac:dyDescent="0.35">
      <c r="N1046" s="126"/>
    </row>
    <row r="1047" spans="14:14" x14ac:dyDescent="0.35">
      <c r="N1047" s="126"/>
    </row>
    <row r="1048" spans="14:14" x14ac:dyDescent="0.35">
      <c r="N1048" s="126"/>
    </row>
    <row r="1049" spans="14:14" x14ac:dyDescent="0.35">
      <c r="N1049" s="126"/>
    </row>
    <row r="1050" spans="14:14" x14ac:dyDescent="0.35">
      <c r="N1050" s="126"/>
    </row>
    <row r="1051" spans="14:14" x14ac:dyDescent="0.35">
      <c r="N1051" s="126"/>
    </row>
    <row r="1052" spans="14:14" x14ac:dyDescent="0.35">
      <c r="N1052" s="126"/>
    </row>
    <row r="1053" spans="14:14" x14ac:dyDescent="0.35">
      <c r="N1053" s="126"/>
    </row>
    <row r="1054" spans="14:14" x14ac:dyDescent="0.35">
      <c r="N1054" s="126"/>
    </row>
    <row r="1055" spans="14:14" x14ac:dyDescent="0.35">
      <c r="N1055" s="126"/>
    </row>
    <row r="1056" spans="14:14" x14ac:dyDescent="0.35">
      <c r="N1056" s="126"/>
    </row>
    <row r="1057" spans="14:14" x14ac:dyDescent="0.35">
      <c r="N1057" s="126"/>
    </row>
    <row r="1058" spans="14:14" x14ac:dyDescent="0.35">
      <c r="N1058" s="126"/>
    </row>
    <row r="1059" spans="14:14" x14ac:dyDescent="0.35">
      <c r="N1059" s="126"/>
    </row>
    <row r="1060" spans="14:14" x14ac:dyDescent="0.35">
      <c r="N1060" s="126"/>
    </row>
    <row r="1061" spans="14:14" x14ac:dyDescent="0.35">
      <c r="N1061" s="126"/>
    </row>
    <row r="1062" spans="14:14" x14ac:dyDescent="0.35">
      <c r="N1062" s="126"/>
    </row>
    <row r="1063" spans="14:14" x14ac:dyDescent="0.35">
      <c r="N1063" s="126"/>
    </row>
    <row r="1064" spans="14:14" x14ac:dyDescent="0.35">
      <c r="N1064" s="126"/>
    </row>
    <row r="1065" spans="14:14" x14ac:dyDescent="0.35">
      <c r="N1065" s="126"/>
    </row>
    <row r="1066" spans="14:14" x14ac:dyDescent="0.35">
      <c r="N1066" s="126"/>
    </row>
    <row r="1067" spans="14:14" x14ac:dyDescent="0.35">
      <c r="N1067" s="126"/>
    </row>
    <row r="1068" spans="14:14" x14ac:dyDescent="0.35">
      <c r="N1068" s="126"/>
    </row>
    <row r="1069" spans="14:14" x14ac:dyDescent="0.35">
      <c r="N1069" s="126"/>
    </row>
    <row r="1070" spans="14:14" x14ac:dyDescent="0.35">
      <c r="N1070" s="126"/>
    </row>
    <row r="1071" spans="14:14" x14ac:dyDescent="0.35">
      <c r="N1071" s="126"/>
    </row>
    <row r="1072" spans="14:14" x14ac:dyDescent="0.35">
      <c r="N1072" s="126"/>
    </row>
    <row r="1073" spans="14:14" x14ac:dyDescent="0.35">
      <c r="N1073" s="126"/>
    </row>
    <row r="1074" spans="14:14" x14ac:dyDescent="0.35">
      <c r="N1074" s="126"/>
    </row>
    <row r="1075" spans="14:14" x14ac:dyDescent="0.35">
      <c r="N1075" s="126"/>
    </row>
    <row r="1076" spans="14:14" x14ac:dyDescent="0.35">
      <c r="N1076" s="126"/>
    </row>
    <row r="1077" spans="14:14" x14ac:dyDescent="0.35">
      <c r="N1077" s="126"/>
    </row>
    <row r="1078" spans="14:14" x14ac:dyDescent="0.35">
      <c r="N1078" s="126"/>
    </row>
    <row r="1079" spans="14:14" x14ac:dyDescent="0.35">
      <c r="N1079" s="126"/>
    </row>
    <row r="1080" spans="14:14" x14ac:dyDescent="0.35">
      <c r="N1080" s="126"/>
    </row>
    <row r="1081" spans="14:14" x14ac:dyDescent="0.35">
      <c r="N1081" s="126"/>
    </row>
    <row r="1082" spans="14:14" x14ac:dyDescent="0.35">
      <c r="N1082" s="126"/>
    </row>
    <row r="1083" spans="14:14" x14ac:dyDescent="0.35">
      <c r="N1083" s="126"/>
    </row>
    <row r="1084" spans="14:14" x14ac:dyDescent="0.35">
      <c r="N1084" s="126"/>
    </row>
    <row r="1085" spans="14:14" x14ac:dyDescent="0.35">
      <c r="N1085" s="126"/>
    </row>
    <row r="1086" spans="14:14" x14ac:dyDescent="0.35">
      <c r="N1086" s="126"/>
    </row>
    <row r="1087" spans="14:14" x14ac:dyDescent="0.35">
      <c r="N1087" s="126"/>
    </row>
    <row r="1088" spans="14:14" x14ac:dyDescent="0.35">
      <c r="N1088" s="126"/>
    </row>
    <row r="1089" spans="14:14" x14ac:dyDescent="0.35">
      <c r="N1089" s="126"/>
    </row>
    <row r="1090" spans="14:14" x14ac:dyDescent="0.35">
      <c r="N1090" s="126"/>
    </row>
    <row r="1091" spans="14:14" x14ac:dyDescent="0.35">
      <c r="N1091" s="126"/>
    </row>
    <row r="1092" spans="14:14" x14ac:dyDescent="0.35">
      <c r="N1092" s="126"/>
    </row>
    <row r="1093" spans="14:14" x14ac:dyDescent="0.35">
      <c r="N1093" s="126"/>
    </row>
    <row r="1094" spans="14:14" x14ac:dyDescent="0.35">
      <c r="N1094" s="126"/>
    </row>
    <row r="1095" spans="14:14" x14ac:dyDescent="0.35">
      <c r="N1095" s="126"/>
    </row>
    <row r="1096" spans="14:14" x14ac:dyDescent="0.35">
      <c r="N1096" s="126"/>
    </row>
    <row r="1097" spans="14:14" x14ac:dyDescent="0.35">
      <c r="N1097" s="126"/>
    </row>
    <row r="1098" spans="14:14" x14ac:dyDescent="0.35">
      <c r="N1098" s="126"/>
    </row>
    <row r="1099" spans="14:14" x14ac:dyDescent="0.35">
      <c r="N1099" s="126"/>
    </row>
    <row r="1100" spans="14:14" x14ac:dyDescent="0.35">
      <c r="N1100" s="126"/>
    </row>
    <row r="1101" spans="14:14" x14ac:dyDescent="0.35">
      <c r="N1101" s="126"/>
    </row>
    <row r="1102" spans="14:14" x14ac:dyDescent="0.35">
      <c r="N1102" s="126"/>
    </row>
    <row r="1103" spans="14:14" x14ac:dyDescent="0.35">
      <c r="N1103" s="126"/>
    </row>
    <row r="1104" spans="14:14" x14ac:dyDescent="0.35">
      <c r="N1104" s="126"/>
    </row>
    <row r="1105" spans="14:14" x14ac:dyDescent="0.35">
      <c r="N1105" s="126"/>
    </row>
    <row r="1106" spans="14:14" x14ac:dyDescent="0.35">
      <c r="N1106" s="126"/>
    </row>
    <row r="1107" spans="14:14" x14ac:dyDescent="0.35">
      <c r="N1107" s="126"/>
    </row>
    <row r="1108" spans="14:14" x14ac:dyDescent="0.35">
      <c r="N1108" s="126"/>
    </row>
    <row r="1109" spans="14:14" x14ac:dyDescent="0.35">
      <c r="N1109" s="126"/>
    </row>
    <row r="1110" spans="14:14" x14ac:dyDescent="0.35">
      <c r="N1110" s="126"/>
    </row>
    <row r="1111" spans="14:14" x14ac:dyDescent="0.35">
      <c r="N1111" s="126"/>
    </row>
    <row r="1112" spans="14:14" x14ac:dyDescent="0.35">
      <c r="N1112" s="126"/>
    </row>
    <row r="1113" spans="14:14" x14ac:dyDescent="0.35">
      <c r="N1113" s="126"/>
    </row>
    <row r="1114" spans="14:14" x14ac:dyDescent="0.35">
      <c r="N1114" s="126"/>
    </row>
    <row r="1115" spans="14:14" x14ac:dyDescent="0.35">
      <c r="N1115" s="126"/>
    </row>
    <row r="1116" spans="14:14" x14ac:dyDescent="0.35">
      <c r="N1116" s="126"/>
    </row>
    <row r="1117" spans="14:14" x14ac:dyDescent="0.35">
      <c r="N1117" s="126"/>
    </row>
    <row r="1118" spans="14:14" x14ac:dyDescent="0.35">
      <c r="N1118" s="126"/>
    </row>
    <row r="1119" spans="14:14" x14ac:dyDescent="0.35">
      <c r="N1119" s="126"/>
    </row>
    <row r="1120" spans="14:14" x14ac:dyDescent="0.35">
      <c r="N1120" s="126"/>
    </row>
    <row r="1121" spans="14:14" x14ac:dyDescent="0.35">
      <c r="N1121" s="126"/>
    </row>
    <row r="1122" spans="14:14" x14ac:dyDescent="0.35">
      <c r="N1122" s="126"/>
    </row>
    <row r="1123" spans="14:14" x14ac:dyDescent="0.35">
      <c r="N1123" s="126"/>
    </row>
    <row r="1124" spans="14:14" x14ac:dyDescent="0.35">
      <c r="N1124" s="126"/>
    </row>
    <row r="1125" spans="14:14" x14ac:dyDescent="0.35">
      <c r="N1125" s="126"/>
    </row>
    <row r="1126" spans="14:14" x14ac:dyDescent="0.35">
      <c r="N1126" s="126"/>
    </row>
    <row r="1127" spans="14:14" x14ac:dyDescent="0.35">
      <c r="N1127" s="126"/>
    </row>
    <row r="1128" spans="14:14" x14ac:dyDescent="0.35">
      <c r="N1128" s="126"/>
    </row>
    <row r="1129" spans="14:14" x14ac:dyDescent="0.35">
      <c r="N1129" s="126"/>
    </row>
    <row r="1130" spans="14:14" x14ac:dyDescent="0.35">
      <c r="N1130" s="126"/>
    </row>
    <row r="1131" spans="14:14" x14ac:dyDescent="0.35">
      <c r="N1131" s="126"/>
    </row>
    <row r="1132" spans="14:14" x14ac:dyDescent="0.35">
      <c r="N1132" s="126"/>
    </row>
    <row r="1133" spans="14:14" x14ac:dyDescent="0.35">
      <c r="N1133" s="126"/>
    </row>
    <row r="1134" spans="14:14" x14ac:dyDescent="0.35">
      <c r="N1134" s="126"/>
    </row>
    <row r="1135" spans="14:14" x14ac:dyDescent="0.35">
      <c r="N1135" s="126"/>
    </row>
    <row r="1136" spans="14:14" x14ac:dyDescent="0.35">
      <c r="N1136" s="126"/>
    </row>
    <row r="1137" spans="14:14" x14ac:dyDescent="0.35">
      <c r="N1137" s="126"/>
    </row>
    <row r="1138" spans="14:14" x14ac:dyDescent="0.35">
      <c r="N1138" s="126"/>
    </row>
    <row r="1139" spans="14:14" x14ac:dyDescent="0.35">
      <c r="N1139" s="126"/>
    </row>
    <row r="1140" spans="14:14" x14ac:dyDescent="0.35">
      <c r="N1140" s="126"/>
    </row>
    <row r="1141" spans="14:14" x14ac:dyDescent="0.35">
      <c r="N1141" s="126"/>
    </row>
    <row r="1142" spans="14:14" x14ac:dyDescent="0.35">
      <c r="N1142" s="126"/>
    </row>
    <row r="1143" spans="14:14" x14ac:dyDescent="0.35">
      <c r="N1143" s="126"/>
    </row>
    <row r="1144" spans="14:14" x14ac:dyDescent="0.35">
      <c r="N1144" s="126"/>
    </row>
    <row r="1145" spans="14:14" x14ac:dyDescent="0.35">
      <c r="N1145" s="126"/>
    </row>
    <row r="1146" spans="14:14" x14ac:dyDescent="0.35">
      <c r="N1146" s="126"/>
    </row>
    <row r="1147" spans="14:14" x14ac:dyDescent="0.35">
      <c r="N1147" s="126"/>
    </row>
    <row r="1148" spans="14:14" x14ac:dyDescent="0.35">
      <c r="N1148" s="126"/>
    </row>
    <row r="1149" spans="14:14" x14ac:dyDescent="0.35">
      <c r="N1149" s="126"/>
    </row>
    <row r="1150" spans="14:14" x14ac:dyDescent="0.35">
      <c r="N1150" s="126"/>
    </row>
    <row r="1151" spans="14:14" x14ac:dyDescent="0.35">
      <c r="N1151" s="126"/>
    </row>
    <row r="1152" spans="14:14" x14ac:dyDescent="0.35">
      <c r="N1152" s="126"/>
    </row>
    <row r="1153" spans="14:14" x14ac:dyDescent="0.35">
      <c r="N1153" s="126"/>
    </row>
    <row r="1154" spans="14:14" x14ac:dyDescent="0.35">
      <c r="N1154" s="126"/>
    </row>
    <row r="1155" spans="14:14" x14ac:dyDescent="0.35">
      <c r="N1155" s="126"/>
    </row>
    <row r="1156" spans="14:14" x14ac:dyDescent="0.35">
      <c r="N1156" s="126"/>
    </row>
    <row r="1157" spans="14:14" x14ac:dyDescent="0.35">
      <c r="N1157" s="126"/>
    </row>
    <row r="1158" spans="14:14" x14ac:dyDescent="0.35">
      <c r="N1158" s="126"/>
    </row>
    <row r="1159" spans="14:14" x14ac:dyDescent="0.35">
      <c r="N1159" s="126"/>
    </row>
    <row r="1160" spans="14:14" x14ac:dyDescent="0.35">
      <c r="N1160" s="126"/>
    </row>
    <row r="1161" spans="14:14" x14ac:dyDescent="0.35">
      <c r="N1161" s="126"/>
    </row>
    <row r="1162" spans="14:14" x14ac:dyDescent="0.35">
      <c r="N1162" s="126"/>
    </row>
    <row r="1163" spans="14:14" x14ac:dyDescent="0.35">
      <c r="N1163" s="126"/>
    </row>
    <row r="1164" spans="14:14" x14ac:dyDescent="0.35">
      <c r="N1164" s="126"/>
    </row>
    <row r="1165" spans="14:14" x14ac:dyDescent="0.35">
      <c r="N1165" s="126"/>
    </row>
    <row r="1166" spans="14:14" x14ac:dyDescent="0.35">
      <c r="N1166" s="126"/>
    </row>
    <row r="1167" spans="14:14" x14ac:dyDescent="0.35">
      <c r="N1167" s="126"/>
    </row>
    <row r="1168" spans="14:14" x14ac:dyDescent="0.35">
      <c r="N1168" s="126"/>
    </row>
    <row r="1169" spans="14:14" x14ac:dyDescent="0.35">
      <c r="N1169" s="126"/>
    </row>
    <row r="1170" spans="14:14" x14ac:dyDescent="0.35">
      <c r="N1170" s="126"/>
    </row>
    <row r="1171" spans="14:14" x14ac:dyDescent="0.35">
      <c r="N1171" s="126"/>
    </row>
    <row r="1172" spans="14:14" x14ac:dyDescent="0.35">
      <c r="N1172" s="126"/>
    </row>
    <row r="1173" spans="14:14" x14ac:dyDescent="0.35">
      <c r="N1173" s="126"/>
    </row>
    <row r="1174" spans="14:14" x14ac:dyDescent="0.35">
      <c r="N1174" s="126"/>
    </row>
    <row r="1175" spans="14:14" x14ac:dyDescent="0.35">
      <c r="N1175" s="126"/>
    </row>
    <row r="1176" spans="14:14" x14ac:dyDescent="0.35">
      <c r="N1176" s="126"/>
    </row>
    <row r="1177" spans="14:14" x14ac:dyDescent="0.35">
      <c r="N1177" s="126"/>
    </row>
    <row r="1178" spans="14:14" x14ac:dyDescent="0.35">
      <c r="N1178" s="126"/>
    </row>
    <row r="1179" spans="14:14" x14ac:dyDescent="0.35">
      <c r="N1179" s="126"/>
    </row>
    <row r="1180" spans="14:14" x14ac:dyDescent="0.35">
      <c r="N1180" s="126"/>
    </row>
    <row r="1181" spans="14:14" x14ac:dyDescent="0.35">
      <c r="N1181" s="126"/>
    </row>
    <row r="1182" spans="14:14" x14ac:dyDescent="0.35">
      <c r="N1182" s="126"/>
    </row>
    <row r="1183" spans="14:14" x14ac:dyDescent="0.35">
      <c r="N1183" s="126"/>
    </row>
    <row r="1184" spans="14:14" x14ac:dyDescent="0.35">
      <c r="N1184" s="126"/>
    </row>
    <row r="1185" spans="14:14" x14ac:dyDescent="0.35">
      <c r="N1185" s="126"/>
    </row>
    <row r="1186" spans="14:14" x14ac:dyDescent="0.35">
      <c r="N1186" s="126"/>
    </row>
    <row r="1187" spans="14:14" x14ac:dyDescent="0.35">
      <c r="N1187" s="126"/>
    </row>
    <row r="1188" spans="14:14" x14ac:dyDescent="0.35">
      <c r="N1188" s="126"/>
    </row>
    <row r="1189" spans="14:14" x14ac:dyDescent="0.35">
      <c r="N1189" s="126"/>
    </row>
    <row r="1190" spans="14:14" x14ac:dyDescent="0.35">
      <c r="N1190" s="126"/>
    </row>
    <row r="1191" spans="14:14" x14ac:dyDescent="0.35">
      <c r="N1191" s="126"/>
    </row>
    <row r="1192" spans="14:14" x14ac:dyDescent="0.35">
      <c r="N1192" s="126"/>
    </row>
    <row r="1193" spans="14:14" x14ac:dyDescent="0.35">
      <c r="N1193" s="126"/>
    </row>
    <row r="1194" spans="14:14" x14ac:dyDescent="0.35">
      <c r="N1194" s="126"/>
    </row>
    <row r="1195" spans="14:14" x14ac:dyDescent="0.35">
      <c r="N1195" s="126"/>
    </row>
    <row r="1196" spans="14:14" x14ac:dyDescent="0.35">
      <c r="N1196" s="126"/>
    </row>
    <row r="1197" spans="14:14" x14ac:dyDescent="0.35">
      <c r="N1197" s="126"/>
    </row>
    <row r="1198" spans="14:14" x14ac:dyDescent="0.35">
      <c r="N1198" s="126"/>
    </row>
    <row r="1199" spans="14:14" x14ac:dyDescent="0.35">
      <c r="N1199" s="126"/>
    </row>
    <row r="1200" spans="14:14" x14ac:dyDescent="0.35">
      <c r="N1200" s="126"/>
    </row>
    <row r="1201" spans="14:14" x14ac:dyDescent="0.35">
      <c r="N1201" s="126"/>
    </row>
    <row r="1202" spans="14:14" x14ac:dyDescent="0.35">
      <c r="N1202" s="126"/>
    </row>
    <row r="1203" spans="14:14" x14ac:dyDescent="0.35">
      <c r="N1203" s="126"/>
    </row>
    <row r="1204" spans="14:14" x14ac:dyDescent="0.35">
      <c r="N1204" s="126"/>
    </row>
    <row r="1205" spans="14:14" x14ac:dyDescent="0.35">
      <c r="N1205" s="126"/>
    </row>
    <row r="1206" spans="14:14" x14ac:dyDescent="0.35">
      <c r="N1206" s="126"/>
    </row>
    <row r="1207" spans="14:14" x14ac:dyDescent="0.35">
      <c r="N1207" s="126"/>
    </row>
    <row r="1208" spans="14:14" x14ac:dyDescent="0.35">
      <c r="N1208" s="126"/>
    </row>
    <row r="1209" spans="14:14" x14ac:dyDescent="0.35">
      <c r="N1209" s="126"/>
    </row>
    <row r="1210" spans="14:14" x14ac:dyDescent="0.35">
      <c r="N1210" s="126"/>
    </row>
    <row r="1211" spans="14:14" x14ac:dyDescent="0.35">
      <c r="N1211" s="126"/>
    </row>
    <row r="1212" spans="14:14" x14ac:dyDescent="0.35">
      <c r="N1212" s="126"/>
    </row>
    <row r="1213" spans="14:14" x14ac:dyDescent="0.35">
      <c r="N1213" s="126"/>
    </row>
    <row r="1214" spans="14:14" x14ac:dyDescent="0.35">
      <c r="N1214" s="126"/>
    </row>
    <row r="1215" spans="14:14" x14ac:dyDescent="0.35">
      <c r="N1215" s="126"/>
    </row>
    <row r="1216" spans="14:14" x14ac:dyDescent="0.35">
      <c r="N1216" s="126"/>
    </row>
    <row r="1217" spans="14:14" x14ac:dyDescent="0.35">
      <c r="N1217" s="126"/>
    </row>
    <row r="1218" spans="14:14" x14ac:dyDescent="0.35">
      <c r="N1218" s="126"/>
    </row>
    <row r="1219" spans="14:14" x14ac:dyDescent="0.35">
      <c r="N1219" s="126"/>
    </row>
    <row r="1220" spans="14:14" x14ac:dyDescent="0.35">
      <c r="N1220" s="126"/>
    </row>
    <row r="1221" spans="14:14" x14ac:dyDescent="0.35">
      <c r="N1221" s="126"/>
    </row>
    <row r="1222" spans="14:14" x14ac:dyDescent="0.35">
      <c r="N1222" s="126"/>
    </row>
    <row r="1223" spans="14:14" x14ac:dyDescent="0.35">
      <c r="N1223" s="126"/>
    </row>
    <row r="1224" spans="14:14" x14ac:dyDescent="0.35">
      <c r="N1224" s="126"/>
    </row>
    <row r="1225" spans="14:14" x14ac:dyDescent="0.35">
      <c r="N1225" s="126"/>
    </row>
    <row r="1226" spans="14:14" x14ac:dyDescent="0.35">
      <c r="N1226" s="126"/>
    </row>
    <row r="1227" spans="14:14" x14ac:dyDescent="0.35">
      <c r="N1227" s="126"/>
    </row>
    <row r="1228" spans="14:14" x14ac:dyDescent="0.35">
      <c r="N1228" s="126"/>
    </row>
    <row r="1229" spans="14:14" x14ac:dyDescent="0.35">
      <c r="N1229" s="126"/>
    </row>
    <row r="1230" spans="14:14" x14ac:dyDescent="0.35">
      <c r="N1230" s="126"/>
    </row>
    <row r="1231" spans="14:14" x14ac:dyDescent="0.35">
      <c r="N1231" s="126"/>
    </row>
    <row r="1232" spans="14:14" x14ac:dyDescent="0.35">
      <c r="N1232" s="126"/>
    </row>
    <row r="1233" spans="14:14" x14ac:dyDescent="0.35">
      <c r="N1233" s="126"/>
    </row>
    <row r="1234" spans="14:14" x14ac:dyDescent="0.35">
      <c r="N1234" s="126"/>
    </row>
    <row r="1235" spans="14:14" x14ac:dyDescent="0.35">
      <c r="N1235" s="126"/>
    </row>
    <row r="1236" spans="14:14" x14ac:dyDescent="0.35">
      <c r="N1236" s="126"/>
    </row>
    <row r="1237" spans="14:14" x14ac:dyDescent="0.35">
      <c r="N1237" s="126"/>
    </row>
    <row r="1238" spans="14:14" x14ac:dyDescent="0.35">
      <c r="N1238" s="126"/>
    </row>
    <row r="1239" spans="14:14" x14ac:dyDescent="0.35">
      <c r="N1239" s="126"/>
    </row>
    <row r="1240" spans="14:14" x14ac:dyDescent="0.35">
      <c r="N1240" s="126"/>
    </row>
    <row r="1241" spans="14:14" x14ac:dyDescent="0.35">
      <c r="N1241" s="126"/>
    </row>
    <row r="1242" spans="14:14" x14ac:dyDescent="0.35">
      <c r="N1242" s="126"/>
    </row>
    <row r="1243" spans="14:14" x14ac:dyDescent="0.35">
      <c r="N1243" s="126"/>
    </row>
    <row r="1244" spans="14:14" x14ac:dyDescent="0.35">
      <c r="N1244" s="126"/>
    </row>
    <row r="1245" spans="14:14" x14ac:dyDescent="0.35">
      <c r="N1245" s="126"/>
    </row>
    <row r="1246" spans="14:14" x14ac:dyDescent="0.35">
      <c r="N1246" s="126"/>
    </row>
    <row r="1247" spans="14:14" x14ac:dyDescent="0.35">
      <c r="N1247" s="126"/>
    </row>
    <row r="1248" spans="14:14" x14ac:dyDescent="0.35">
      <c r="N1248" s="126"/>
    </row>
    <row r="1249" spans="14:14" x14ac:dyDescent="0.35">
      <c r="N1249" s="126"/>
    </row>
    <row r="1250" spans="14:14" x14ac:dyDescent="0.35">
      <c r="N1250" s="126"/>
    </row>
    <row r="1251" spans="14:14" x14ac:dyDescent="0.35">
      <c r="N1251" s="126"/>
    </row>
    <row r="1252" spans="14:14" x14ac:dyDescent="0.35">
      <c r="N1252" s="126"/>
    </row>
    <row r="1253" spans="14:14" x14ac:dyDescent="0.35">
      <c r="N1253" s="126"/>
    </row>
    <row r="1254" spans="14:14" x14ac:dyDescent="0.35">
      <c r="N1254" s="126"/>
    </row>
    <row r="1255" spans="14:14" x14ac:dyDescent="0.35">
      <c r="N1255" s="126"/>
    </row>
    <row r="1256" spans="14:14" x14ac:dyDescent="0.35">
      <c r="N1256" s="126"/>
    </row>
    <row r="1257" spans="14:14" x14ac:dyDescent="0.35">
      <c r="N1257" s="126"/>
    </row>
    <row r="1258" spans="14:14" x14ac:dyDescent="0.35">
      <c r="N1258" s="126"/>
    </row>
    <row r="1259" spans="14:14" x14ac:dyDescent="0.35">
      <c r="N1259" s="126"/>
    </row>
    <row r="1260" spans="14:14" x14ac:dyDescent="0.35">
      <c r="N1260" s="126"/>
    </row>
    <row r="1261" spans="14:14" x14ac:dyDescent="0.35">
      <c r="N1261" s="126"/>
    </row>
    <row r="1262" spans="14:14" x14ac:dyDescent="0.35">
      <c r="N1262" s="126"/>
    </row>
    <row r="1263" spans="14:14" x14ac:dyDescent="0.35">
      <c r="N1263" s="126"/>
    </row>
    <row r="1264" spans="14:14" x14ac:dyDescent="0.35">
      <c r="N1264" s="126"/>
    </row>
    <row r="1265" spans="14:14" x14ac:dyDescent="0.35">
      <c r="N1265" s="126"/>
    </row>
    <row r="1266" spans="14:14" x14ac:dyDescent="0.35">
      <c r="N1266" s="126"/>
    </row>
    <row r="1267" spans="14:14" x14ac:dyDescent="0.35">
      <c r="N1267" s="126"/>
    </row>
    <row r="1268" spans="14:14" x14ac:dyDescent="0.35">
      <c r="N1268" s="126"/>
    </row>
    <row r="1269" spans="14:14" x14ac:dyDescent="0.35">
      <c r="N1269" s="126"/>
    </row>
    <row r="1270" spans="14:14" x14ac:dyDescent="0.35">
      <c r="N1270" s="126"/>
    </row>
    <row r="1271" spans="14:14" x14ac:dyDescent="0.35">
      <c r="N1271" s="126"/>
    </row>
    <row r="1272" spans="14:14" x14ac:dyDescent="0.35">
      <c r="N1272" s="126"/>
    </row>
    <row r="1273" spans="14:14" x14ac:dyDescent="0.35">
      <c r="N1273" s="126"/>
    </row>
    <row r="1274" spans="14:14" x14ac:dyDescent="0.35">
      <c r="N1274" s="126"/>
    </row>
    <row r="1275" spans="14:14" x14ac:dyDescent="0.35">
      <c r="N1275" s="126"/>
    </row>
    <row r="1276" spans="14:14" x14ac:dyDescent="0.35">
      <c r="N1276" s="126"/>
    </row>
    <row r="1277" spans="14:14" x14ac:dyDescent="0.35">
      <c r="N1277" s="126"/>
    </row>
    <row r="1278" spans="14:14" x14ac:dyDescent="0.35">
      <c r="N1278" s="126"/>
    </row>
    <row r="1279" spans="14:14" x14ac:dyDescent="0.35">
      <c r="N1279" s="126"/>
    </row>
    <row r="1280" spans="14:14" x14ac:dyDescent="0.35">
      <c r="N1280" s="126"/>
    </row>
    <row r="1281" spans="14:14" x14ac:dyDescent="0.35">
      <c r="N1281" s="126"/>
    </row>
    <row r="1282" spans="14:14" x14ac:dyDescent="0.35">
      <c r="N1282" s="126"/>
    </row>
    <row r="1283" spans="14:14" x14ac:dyDescent="0.35">
      <c r="N1283" s="126"/>
    </row>
    <row r="1284" spans="14:14" x14ac:dyDescent="0.35">
      <c r="N1284" s="126"/>
    </row>
    <row r="1285" spans="14:14" x14ac:dyDescent="0.35">
      <c r="N1285" s="126"/>
    </row>
    <row r="1286" spans="14:14" x14ac:dyDescent="0.35">
      <c r="N1286" s="126"/>
    </row>
    <row r="1287" spans="14:14" x14ac:dyDescent="0.35">
      <c r="N1287" s="126"/>
    </row>
    <row r="1288" spans="14:14" x14ac:dyDescent="0.35">
      <c r="N1288" s="126"/>
    </row>
    <row r="1289" spans="14:14" x14ac:dyDescent="0.35">
      <c r="N1289" s="126"/>
    </row>
    <row r="1290" spans="14:14" x14ac:dyDescent="0.35">
      <c r="N1290" s="126"/>
    </row>
    <row r="1291" spans="14:14" x14ac:dyDescent="0.35">
      <c r="N1291" s="126"/>
    </row>
    <row r="1292" spans="14:14" x14ac:dyDescent="0.35">
      <c r="N1292" s="126"/>
    </row>
    <row r="1293" spans="14:14" x14ac:dyDescent="0.35">
      <c r="N1293" s="126"/>
    </row>
    <row r="1294" spans="14:14" x14ac:dyDescent="0.35">
      <c r="N1294" s="126"/>
    </row>
    <row r="1295" spans="14:14" x14ac:dyDescent="0.35">
      <c r="N1295" s="126"/>
    </row>
    <row r="1296" spans="14:14" x14ac:dyDescent="0.35">
      <c r="N1296" s="126"/>
    </row>
    <row r="1297" spans="14:14" x14ac:dyDescent="0.35">
      <c r="N1297" s="126"/>
    </row>
    <row r="1298" spans="14:14" x14ac:dyDescent="0.35">
      <c r="N1298" s="126"/>
    </row>
    <row r="1299" spans="14:14" x14ac:dyDescent="0.35">
      <c r="N1299" s="126"/>
    </row>
    <row r="1300" spans="14:14" x14ac:dyDescent="0.35">
      <c r="N1300" s="126"/>
    </row>
    <row r="1301" spans="14:14" x14ac:dyDescent="0.35">
      <c r="N1301" s="126"/>
    </row>
    <row r="1302" spans="14:14" x14ac:dyDescent="0.35">
      <c r="N1302" s="126"/>
    </row>
    <row r="1303" spans="14:14" x14ac:dyDescent="0.35">
      <c r="N1303" s="126"/>
    </row>
    <row r="1304" spans="14:14" x14ac:dyDescent="0.35">
      <c r="N1304" s="126"/>
    </row>
    <row r="1305" spans="14:14" x14ac:dyDescent="0.35">
      <c r="N1305" s="126"/>
    </row>
    <row r="1306" spans="14:14" x14ac:dyDescent="0.35">
      <c r="N1306" s="126"/>
    </row>
    <row r="1307" spans="14:14" x14ac:dyDescent="0.35">
      <c r="N1307" s="126"/>
    </row>
    <row r="1308" spans="14:14" x14ac:dyDescent="0.35">
      <c r="N1308" s="126"/>
    </row>
    <row r="1309" spans="14:14" x14ac:dyDescent="0.35">
      <c r="N1309" s="126"/>
    </row>
    <row r="1310" spans="14:14" x14ac:dyDescent="0.35">
      <c r="N1310" s="126"/>
    </row>
    <row r="1311" spans="14:14" x14ac:dyDescent="0.35">
      <c r="N1311" s="126"/>
    </row>
    <row r="1312" spans="14:14" x14ac:dyDescent="0.35">
      <c r="N1312" s="126"/>
    </row>
    <row r="1313" spans="14:14" x14ac:dyDescent="0.35">
      <c r="N1313" s="126"/>
    </row>
    <row r="1314" spans="14:14" x14ac:dyDescent="0.35">
      <c r="N1314" s="126"/>
    </row>
    <row r="1315" spans="14:14" x14ac:dyDescent="0.35">
      <c r="N1315" s="126"/>
    </row>
    <row r="1316" spans="14:14" x14ac:dyDescent="0.35">
      <c r="N1316" s="126"/>
    </row>
    <row r="1317" spans="14:14" x14ac:dyDescent="0.35">
      <c r="N1317" s="126"/>
    </row>
    <row r="1318" spans="14:14" x14ac:dyDescent="0.35">
      <c r="N1318" s="126"/>
    </row>
    <row r="1319" spans="14:14" x14ac:dyDescent="0.35">
      <c r="N1319" s="126"/>
    </row>
    <row r="1320" spans="14:14" x14ac:dyDescent="0.35">
      <c r="N1320" s="126"/>
    </row>
    <row r="1321" spans="14:14" x14ac:dyDescent="0.35">
      <c r="N1321" s="126"/>
    </row>
    <row r="1322" spans="14:14" x14ac:dyDescent="0.35">
      <c r="N1322" s="126"/>
    </row>
    <row r="1323" spans="14:14" x14ac:dyDescent="0.35">
      <c r="N1323" s="126"/>
    </row>
    <row r="1324" spans="14:14" x14ac:dyDescent="0.35">
      <c r="N1324" s="126"/>
    </row>
    <row r="1325" spans="14:14" x14ac:dyDescent="0.35">
      <c r="N1325" s="126"/>
    </row>
    <row r="1326" spans="14:14" x14ac:dyDescent="0.35">
      <c r="N1326" s="126"/>
    </row>
    <row r="1327" spans="14:14" x14ac:dyDescent="0.35">
      <c r="N1327" s="126"/>
    </row>
    <row r="1328" spans="14:14" x14ac:dyDescent="0.35">
      <c r="N1328" s="126"/>
    </row>
    <row r="1329" spans="14:14" x14ac:dyDescent="0.35">
      <c r="N1329" s="126"/>
    </row>
    <row r="1330" spans="14:14" x14ac:dyDescent="0.35">
      <c r="N1330" s="126"/>
    </row>
    <row r="1331" spans="14:14" x14ac:dyDescent="0.35">
      <c r="N1331" s="126"/>
    </row>
    <row r="1332" spans="14:14" x14ac:dyDescent="0.35">
      <c r="N1332" s="126"/>
    </row>
    <row r="1333" spans="14:14" x14ac:dyDescent="0.35">
      <c r="N1333" s="126"/>
    </row>
    <row r="1334" spans="14:14" x14ac:dyDescent="0.35">
      <c r="N1334" s="126"/>
    </row>
    <row r="1335" spans="14:14" x14ac:dyDescent="0.35">
      <c r="N1335" s="126"/>
    </row>
    <row r="1336" spans="14:14" x14ac:dyDescent="0.35">
      <c r="N1336" s="126"/>
    </row>
    <row r="1337" spans="14:14" x14ac:dyDescent="0.35">
      <c r="N1337" s="126"/>
    </row>
    <row r="1338" spans="14:14" x14ac:dyDescent="0.35">
      <c r="N1338" s="126"/>
    </row>
    <row r="1339" spans="14:14" x14ac:dyDescent="0.35">
      <c r="N1339" s="126"/>
    </row>
    <row r="1340" spans="14:14" x14ac:dyDescent="0.35">
      <c r="N1340" s="126"/>
    </row>
    <row r="1341" spans="14:14" x14ac:dyDescent="0.35">
      <c r="N1341" s="126"/>
    </row>
    <row r="1342" spans="14:14" x14ac:dyDescent="0.35">
      <c r="N1342" s="126"/>
    </row>
    <row r="1343" spans="14:14" x14ac:dyDescent="0.35">
      <c r="N1343" s="126"/>
    </row>
    <row r="1344" spans="14:14" x14ac:dyDescent="0.35">
      <c r="N1344" s="126"/>
    </row>
    <row r="1345" spans="14:14" x14ac:dyDescent="0.35">
      <c r="N1345" s="126"/>
    </row>
    <row r="1346" spans="14:14" x14ac:dyDescent="0.35">
      <c r="N1346" s="126"/>
    </row>
    <row r="1347" spans="14:14" x14ac:dyDescent="0.35">
      <c r="N1347" s="126"/>
    </row>
    <row r="1348" spans="14:14" x14ac:dyDescent="0.35">
      <c r="N1348" s="126"/>
    </row>
    <row r="1349" spans="14:14" x14ac:dyDescent="0.35">
      <c r="N1349" s="126"/>
    </row>
    <row r="1350" spans="14:14" x14ac:dyDescent="0.35">
      <c r="N1350" s="126"/>
    </row>
    <row r="1351" spans="14:14" x14ac:dyDescent="0.35">
      <c r="N1351" s="126"/>
    </row>
    <row r="1352" spans="14:14" x14ac:dyDescent="0.35">
      <c r="N1352" s="126"/>
    </row>
    <row r="1353" spans="14:14" x14ac:dyDescent="0.35">
      <c r="N1353" s="126"/>
    </row>
    <row r="1354" spans="14:14" x14ac:dyDescent="0.35">
      <c r="N1354" s="126"/>
    </row>
    <row r="1355" spans="14:14" x14ac:dyDescent="0.35">
      <c r="N1355" s="126"/>
    </row>
    <row r="1356" spans="14:14" x14ac:dyDescent="0.35">
      <c r="N1356" s="126"/>
    </row>
    <row r="1357" spans="14:14" x14ac:dyDescent="0.35">
      <c r="N1357" s="126"/>
    </row>
    <row r="1358" spans="14:14" x14ac:dyDescent="0.35">
      <c r="N1358" s="126"/>
    </row>
    <row r="1359" spans="14:14" x14ac:dyDescent="0.35">
      <c r="N1359" s="126"/>
    </row>
    <row r="1360" spans="14:14" x14ac:dyDescent="0.35">
      <c r="N1360" s="126"/>
    </row>
    <row r="1361" spans="14:14" x14ac:dyDescent="0.35">
      <c r="N1361" s="126"/>
    </row>
    <row r="1362" spans="14:14" x14ac:dyDescent="0.35">
      <c r="N1362" s="126"/>
    </row>
    <row r="1363" spans="14:14" x14ac:dyDescent="0.35">
      <c r="N1363" s="126"/>
    </row>
    <row r="1364" spans="14:14" x14ac:dyDescent="0.35">
      <c r="N1364" s="126"/>
    </row>
    <row r="1365" spans="14:14" x14ac:dyDescent="0.35">
      <c r="N1365" s="126"/>
    </row>
    <row r="1366" spans="14:14" x14ac:dyDescent="0.35">
      <c r="N1366" s="126"/>
    </row>
    <row r="1367" spans="14:14" x14ac:dyDescent="0.35">
      <c r="N1367" s="126"/>
    </row>
    <row r="1368" spans="14:14" x14ac:dyDescent="0.35">
      <c r="N1368" s="126"/>
    </row>
    <row r="1369" spans="14:14" x14ac:dyDescent="0.35">
      <c r="N1369" s="126"/>
    </row>
    <row r="1370" spans="14:14" x14ac:dyDescent="0.35">
      <c r="N1370" s="126"/>
    </row>
    <row r="1371" spans="14:14" x14ac:dyDescent="0.35">
      <c r="N1371" s="126"/>
    </row>
    <row r="1372" spans="14:14" x14ac:dyDescent="0.35">
      <c r="N1372" s="126"/>
    </row>
    <row r="1373" spans="14:14" x14ac:dyDescent="0.35">
      <c r="N1373" s="126"/>
    </row>
    <row r="1374" spans="14:14" x14ac:dyDescent="0.35">
      <c r="N1374" s="126"/>
    </row>
    <row r="1375" spans="14:14" x14ac:dyDescent="0.35">
      <c r="N1375" s="126"/>
    </row>
    <row r="1376" spans="14:14" x14ac:dyDescent="0.35">
      <c r="N1376" s="126"/>
    </row>
    <row r="1377" spans="14:14" x14ac:dyDescent="0.35">
      <c r="N1377" s="126"/>
    </row>
    <row r="1378" spans="14:14" x14ac:dyDescent="0.35">
      <c r="N1378" s="126"/>
    </row>
    <row r="1379" spans="14:14" x14ac:dyDescent="0.35">
      <c r="N1379" s="126"/>
    </row>
    <row r="1380" spans="14:14" x14ac:dyDescent="0.35">
      <c r="N1380" s="126"/>
    </row>
    <row r="1381" spans="14:14" x14ac:dyDescent="0.35">
      <c r="N1381" s="126"/>
    </row>
    <row r="1382" spans="14:14" x14ac:dyDescent="0.35">
      <c r="N1382" s="126"/>
    </row>
    <row r="1383" spans="14:14" x14ac:dyDescent="0.35">
      <c r="N1383" s="126"/>
    </row>
    <row r="1384" spans="14:14" x14ac:dyDescent="0.35">
      <c r="N1384" s="126"/>
    </row>
    <row r="1385" spans="14:14" x14ac:dyDescent="0.35">
      <c r="N1385" s="126"/>
    </row>
    <row r="1386" spans="14:14" x14ac:dyDescent="0.35">
      <c r="N1386" s="126"/>
    </row>
    <row r="1387" spans="14:14" x14ac:dyDescent="0.35">
      <c r="N1387" s="126"/>
    </row>
    <row r="1388" spans="14:14" x14ac:dyDescent="0.35">
      <c r="N1388" s="126"/>
    </row>
    <row r="1389" spans="14:14" x14ac:dyDescent="0.35">
      <c r="N1389" s="126"/>
    </row>
    <row r="1390" spans="14:14" x14ac:dyDescent="0.35">
      <c r="N1390" s="126"/>
    </row>
    <row r="1391" spans="14:14" x14ac:dyDescent="0.35">
      <c r="N1391" s="126"/>
    </row>
    <row r="1392" spans="14:14" x14ac:dyDescent="0.35">
      <c r="N1392" s="126"/>
    </row>
    <row r="1393" spans="14:14" x14ac:dyDescent="0.35">
      <c r="N1393" s="126"/>
    </row>
    <row r="1394" spans="14:14" x14ac:dyDescent="0.35">
      <c r="N1394" s="126"/>
    </row>
    <row r="1395" spans="14:14" x14ac:dyDescent="0.35">
      <c r="N1395" s="126"/>
    </row>
    <row r="1396" spans="14:14" x14ac:dyDescent="0.35">
      <c r="N1396" s="126"/>
    </row>
    <row r="1397" spans="14:14" x14ac:dyDescent="0.35">
      <c r="N1397" s="126"/>
    </row>
    <row r="1398" spans="14:14" x14ac:dyDescent="0.35">
      <c r="N1398" s="126"/>
    </row>
    <row r="1399" spans="14:14" x14ac:dyDescent="0.35">
      <c r="N1399" s="126"/>
    </row>
    <row r="1400" spans="14:14" x14ac:dyDescent="0.35">
      <c r="N1400" s="126"/>
    </row>
    <row r="1401" spans="14:14" x14ac:dyDescent="0.35">
      <c r="N1401" s="126"/>
    </row>
    <row r="1402" spans="14:14" x14ac:dyDescent="0.35">
      <c r="N1402" s="126"/>
    </row>
    <row r="1403" spans="14:14" x14ac:dyDescent="0.35">
      <c r="N1403" s="126"/>
    </row>
    <row r="1404" spans="14:14" x14ac:dyDescent="0.35">
      <c r="N1404" s="126"/>
    </row>
    <row r="1405" spans="14:14" x14ac:dyDescent="0.35">
      <c r="N1405" s="126"/>
    </row>
    <row r="1406" spans="14:14" x14ac:dyDescent="0.35">
      <c r="N1406" s="126"/>
    </row>
    <row r="1407" spans="14:14" x14ac:dyDescent="0.35">
      <c r="N1407" s="126"/>
    </row>
    <row r="1408" spans="14:14" x14ac:dyDescent="0.35">
      <c r="N1408" s="126"/>
    </row>
    <row r="1409" spans="14:14" x14ac:dyDescent="0.35">
      <c r="N1409" s="126"/>
    </row>
    <row r="1410" spans="14:14" x14ac:dyDescent="0.35">
      <c r="N1410" s="126"/>
    </row>
    <row r="1411" spans="14:14" x14ac:dyDescent="0.35">
      <c r="N1411" s="126"/>
    </row>
    <row r="1412" spans="14:14" x14ac:dyDescent="0.35">
      <c r="N1412" s="126"/>
    </row>
    <row r="1413" spans="14:14" x14ac:dyDescent="0.35">
      <c r="N1413" s="126"/>
    </row>
    <row r="1414" spans="14:14" x14ac:dyDescent="0.35">
      <c r="N1414" s="126"/>
    </row>
    <row r="1415" spans="14:14" x14ac:dyDescent="0.35">
      <c r="N1415" s="126"/>
    </row>
    <row r="1416" spans="14:14" x14ac:dyDescent="0.35">
      <c r="N1416" s="126"/>
    </row>
    <row r="1417" spans="14:14" x14ac:dyDescent="0.35">
      <c r="N1417" s="126"/>
    </row>
    <row r="1418" spans="14:14" x14ac:dyDescent="0.35">
      <c r="N1418" s="126"/>
    </row>
    <row r="1419" spans="14:14" x14ac:dyDescent="0.35">
      <c r="N1419" s="126"/>
    </row>
    <row r="1420" spans="14:14" x14ac:dyDescent="0.35">
      <c r="N1420" s="126"/>
    </row>
    <row r="1421" spans="14:14" x14ac:dyDescent="0.35">
      <c r="N1421" s="126"/>
    </row>
    <row r="1422" spans="14:14" x14ac:dyDescent="0.35">
      <c r="N1422" s="126"/>
    </row>
    <row r="1423" spans="14:14" x14ac:dyDescent="0.35">
      <c r="N1423" s="126"/>
    </row>
    <row r="1424" spans="14:14" x14ac:dyDescent="0.35">
      <c r="N1424" s="126"/>
    </row>
    <row r="1425" spans="14:14" x14ac:dyDescent="0.35">
      <c r="N1425" s="126"/>
    </row>
    <row r="1426" spans="14:14" x14ac:dyDescent="0.35">
      <c r="N1426" s="126"/>
    </row>
    <row r="1427" spans="14:14" x14ac:dyDescent="0.35">
      <c r="N1427" s="126"/>
    </row>
    <row r="1428" spans="14:14" x14ac:dyDescent="0.35">
      <c r="N1428" s="126"/>
    </row>
    <row r="1429" spans="14:14" x14ac:dyDescent="0.35">
      <c r="N1429" s="126"/>
    </row>
    <row r="1430" spans="14:14" x14ac:dyDescent="0.35">
      <c r="N1430" s="126"/>
    </row>
    <row r="1431" spans="14:14" x14ac:dyDescent="0.35">
      <c r="N1431" s="126"/>
    </row>
    <row r="1432" spans="14:14" x14ac:dyDescent="0.35">
      <c r="N1432" s="126"/>
    </row>
    <row r="1433" spans="14:14" x14ac:dyDescent="0.35">
      <c r="N1433" s="126"/>
    </row>
    <row r="1434" spans="14:14" x14ac:dyDescent="0.35">
      <c r="N1434" s="126"/>
    </row>
    <row r="1435" spans="14:14" x14ac:dyDescent="0.35">
      <c r="N1435" s="126"/>
    </row>
    <row r="1436" spans="14:14" x14ac:dyDescent="0.35">
      <c r="N1436" s="126"/>
    </row>
    <row r="1437" spans="14:14" x14ac:dyDescent="0.35">
      <c r="N1437" s="126"/>
    </row>
    <row r="1438" spans="14:14" x14ac:dyDescent="0.35">
      <c r="N1438" s="126"/>
    </row>
    <row r="1439" spans="14:14" x14ac:dyDescent="0.35">
      <c r="N1439" s="126"/>
    </row>
    <row r="1440" spans="14:14" x14ac:dyDescent="0.35">
      <c r="N1440" s="126"/>
    </row>
    <row r="1441" spans="14:14" x14ac:dyDescent="0.35">
      <c r="N1441" s="126"/>
    </row>
    <row r="1442" spans="14:14" x14ac:dyDescent="0.35">
      <c r="N1442" s="126"/>
    </row>
    <row r="1443" spans="14:14" x14ac:dyDescent="0.35">
      <c r="N1443" s="126"/>
    </row>
    <row r="1444" spans="14:14" x14ac:dyDescent="0.35">
      <c r="N1444" s="126"/>
    </row>
    <row r="1445" spans="14:14" x14ac:dyDescent="0.35">
      <c r="N1445" s="126"/>
    </row>
    <row r="1446" spans="14:14" x14ac:dyDescent="0.35">
      <c r="N1446" s="126"/>
    </row>
    <row r="1447" spans="14:14" x14ac:dyDescent="0.35">
      <c r="N1447" s="126"/>
    </row>
    <row r="1448" spans="14:14" x14ac:dyDescent="0.35">
      <c r="N1448" s="126"/>
    </row>
    <row r="1449" spans="14:14" x14ac:dyDescent="0.35">
      <c r="N1449" s="126"/>
    </row>
    <row r="1450" spans="14:14" x14ac:dyDescent="0.35">
      <c r="N1450" s="126"/>
    </row>
    <row r="1451" spans="14:14" x14ac:dyDescent="0.35">
      <c r="N1451" s="126"/>
    </row>
    <row r="1452" spans="14:14" x14ac:dyDescent="0.35">
      <c r="N1452" s="126"/>
    </row>
    <row r="1453" spans="14:14" x14ac:dyDescent="0.35">
      <c r="N1453" s="126"/>
    </row>
    <row r="1454" spans="14:14" x14ac:dyDescent="0.35">
      <c r="N1454" s="126"/>
    </row>
    <row r="1455" spans="14:14" x14ac:dyDescent="0.35">
      <c r="N1455" s="126"/>
    </row>
    <row r="1456" spans="14:14" x14ac:dyDescent="0.35">
      <c r="N1456" s="126"/>
    </row>
    <row r="1457" spans="14:14" x14ac:dyDescent="0.35">
      <c r="N1457" s="126"/>
    </row>
    <row r="1458" spans="14:14" x14ac:dyDescent="0.35">
      <c r="N1458" s="126"/>
    </row>
    <row r="1459" spans="14:14" x14ac:dyDescent="0.35">
      <c r="N1459" s="126"/>
    </row>
    <row r="1460" spans="14:14" x14ac:dyDescent="0.35">
      <c r="N1460" s="126"/>
    </row>
    <row r="1461" spans="14:14" x14ac:dyDescent="0.35">
      <c r="N1461" s="126"/>
    </row>
    <row r="1462" spans="14:14" x14ac:dyDescent="0.35">
      <c r="N1462" s="126"/>
    </row>
    <row r="1463" spans="14:14" x14ac:dyDescent="0.35">
      <c r="N1463" s="126"/>
    </row>
    <row r="1464" spans="14:14" x14ac:dyDescent="0.35">
      <c r="N1464" s="126"/>
    </row>
    <row r="1465" spans="14:14" x14ac:dyDescent="0.35">
      <c r="N1465" s="126"/>
    </row>
    <row r="1466" spans="14:14" x14ac:dyDescent="0.35">
      <c r="N1466" s="126"/>
    </row>
    <row r="1467" spans="14:14" x14ac:dyDescent="0.35">
      <c r="N1467" s="126"/>
    </row>
    <row r="1468" spans="14:14" x14ac:dyDescent="0.35">
      <c r="N1468" s="126"/>
    </row>
    <row r="1469" spans="14:14" x14ac:dyDescent="0.35">
      <c r="N1469" s="126"/>
    </row>
    <row r="1470" spans="14:14" x14ac:dyDescent="0.35">
      <c r="N1470" s="126"/>
    </row>
    <row r="1471" spans="14:14" x14ac:dyDescent="0.35">
      <c r="N1471" s="126"/>
    </row>
    <row r="1472" spans="14:14" x14ac:dyDescent="0.35">
      <c r="N1472" s="126"/>
    </row>
    <row r="1473" spans="14:14" x14ac:dyDescent="0.35">
      <c r="N1473" s="126"/>
    </row>
    <row r="1474" spans="14:14" x14ac:dyDescent="0.35">
      <c r="N1474" s="126"/>
    </row>
    <row r="1475" spans="14:14" x14ac:dyDescent="0.35">
      <c r="N1475" s="126"/>
    </row>
    <row r="1476" spans="14:14" x14ac:dyDescent="0.35">
      <c r="N1476" s="126"/>
    </row>
    <row r="1477" spans="14:14" x14ac:dyDescent="0.35">
      <c r="N1477" s="126"/>
    </row>
    <row r="1478" spans="14:14" x14ac:dyDescent="0.35">
      <c r="N1478" s="126"/>
    </row>
    <row r="1479" spans="14:14" x14ac:dyDescent="0.35">
      <c r="N1479" s="126"/>
    </row>
    <row r="1480" spans="14:14" x14ac:dyDescent="0.35">
      <c r="N1480" s="126"/>
    </row>
    <row r="1481" spans="14:14" x14ac:dyDescent="0.35">
      <c r="N1481" s="126"/>
    </row>
    <row r="1482" spans="14:14" x14ac:dyDescent="0.35">
      <c r="N1482" s="126"/>
    </row>
    <row r="1483" spans="14:14" x14ac:dyDescent="0.35">
      <c r="N1483" s="126"/>
    </row>
    <row r="1484" spans="14:14" x14ac:dyDescent="0.35">
      <c r="N1484" s="126"/>
    </row>
    <row r="1485" spans="14:14" x14ac:dyDescent="0.35">
      <c r="N1485" s="126"/>
    </row>
    <row r="1486" spans="14:14" x14ac:dyDescent="0.35">
      <c r="N1486" s="126"/>
    </row>
    <row r="1487" spans="14:14" x14ac:dyDescent="0.35">
      <c r="N1487" s="126"/>
    </row>
    <row r="1488" spans="14:14" x14ac:dyDescent="0.35">
      <c r="N1488" s="126"/>
    </row>
    <row r="1489" spans="14:14" x14ac:dyDescent="0.35">
      <c r="N1489" s="126"/>
    </row>
    <row r="1490" spans="14:14" x14ac:dyDescent="0.35">
      <c r="N1490" s="126"/>
    </row>
    <row r="1491" spans="14:14" x14ac:dyDescent="0.35">
      <c r="N1491" s="126"/>
    </row>
    <row r="1492" spans="14:14" x14ac:dyDescent="0.35">
      <c r="N1492" s="126"/>
    </row>
    <row r="1493" spans="14:14" x14ac:dyDescent="0.35">
      <c r="N1493" s="126"/>
    </row>
    <row r="1494" spans="14:14" x14ac:dyDescent="0.35">
      <c r="N1494" s="126"/>
    </row>
    <row r="1495" spans="14:14" x14ac:dyDescent="0.35">
      <c r="N1495" s="126"/>
    </row>
    <row r="1496" spans="14:14" x14ac:dyDescent="0.35">
      <c r="N1496" s="126"/>
    </row>
    <row r="1497" spans="14:14" x14ac:dyDescent="0.35">
      <c r="N1497" s="126"/>
    </row>
    <row r="1498" spans="14:14" x14ac:dyDescent="0.35">
      <c r="N1498" s="126"/>
    </row>
    <row r="1499" spans="14:14" x14ac:dyDescent="0.35">
      <c r="N1499" s="126"/>
    </row>
    <row r="1500" spans="14:14" x14ac:dyDescent="0.35">
      <c r="N1500" s="126"/>
    </row>
    <row r="1501" spans="14:14" x14ac:dyDescent="0.35">
      <c r="N1501" s="126"/>
    </row>
    <row r="1502" spans="14:14" x14ac:dyDescent="0.35">
      <c r="N1502" s="126"/>
    </row>
    <row r="1503" spans="14:14" x14ac:dyDescent="0.35">
      <c r="N1503" s="126"/>
    </row>
    <row r="1504" spans="14:14" x14ac:dyDescent="0.35">
      <c r="N1504" s="126"/>
    </row>
    <row r="1505" spans="14:14" x14ac:dyDescent="0.35">
      <c r="N1505" s="126"/>
    </row>
    <row r="1506" spans="14:14" x14ac:dyDescent="0.35">
      <c r="N1506" s="126"/>
    </row>
    <row r="1507" spans="14:14" x14ac:dyDescent="0.35">
      <c r="N1507" s="126"/>
    </row>
    <row r="1508" spans="14:14" x14ac:dyDescent="0.35">
      <c r="N1508" s="126"/>
    </row>
    <row r="1509" spans="14:14" x14ac:dyDescent="0.35">
      <c r="N1509" s="126"/>
    </row>
    <row r="1510" spans="14:14" x14ac:dyDescent="0.35">
      <c r="N1510" s="126"/>
    </row>
    <row r="1511" spans="14:14" x14ac:dyDescent="0.35">
      <c r="N1511" s="126"/>
    </row>
    <row r="1512" spans="14:14" x14ac:dyDescent="0.35">
      <c r="N1512" s="126"/>
    </row>
    <row r="1513" spans="14:14" x14ac:dyDescent="0.35">
      <c r="N1513" s="126"/>
    </row>
    <row r="1514" spans="14:14" x14ac:dyDescent="0.35">
      <c r="N1514" s="126"/>
    </row>
    <row r="1515" spans="14:14" x14ac:dyDescent="0.35">
      <c r="N1515" s="126"/>
    </row>
    <row r="1516" spans="14:14" x14ac:dyDescent="0.35">
      <c r="N1516" s="126"/>
    </row>
    <row r="1517" spans="14:14" x14ac:dyDescent="0.35">
      <c r="N1517" s="126"/>
    </row>
    <row r="1518" spans="14:14" x14ac:dyDescent="0.35">
      <c r="N1518" s="126"/>
    </row>
    <row r="1519" spans="14:14" x14ac:dyDescent="0.35">
      <c r="N1519" s="126"/>
    </row>
    <row r="1520" spans="14:14" x14ac:dyDescent="0.35">
      <c r="N1520" s="126"/>
    </row>
    <row r="1521" spans="14:14" x14ac:dyDescent="0.35">
      <c r="N1521" s="126"/>
    </row>
    <row r="1522" spans="14:14" x14ac:dyDescent="0.35">
      <c r="N1522" s="126"/>
    </row>
    <row r="1523" spans="14:14" x14ac:dyDescent="0.35">
      <c r="N1523" s="126"/>
    </row>
    <row r="1524" spans="14:14" x14ac:dyDescent="0.35">
      <c r="N1524" s="126"/>
    </row>
    <row r="1525" spans="14:14" x14ac:dyDescent="0.35">
      <c r="N1525" s="126"/>
    </row>
    <row r="1526" spans="14:14" x14ac:dyDescent="0.35">
      <c r="N1526" s="126"/>
    </row>
    <row r="1527" spans="14:14" x14ac:dyDescent="0.35">
      <c r="N1527" s="126"/>
    </row>
    <row r="1528" spans="14:14" x14ac:dyDescent="0.35">
      <c r="N1528" s="126"/>
    </row>
    <row r="1529" spans="14:14" x14ac:dyDescent="0.35">
      <c r="N1529" s="126"/>
    </row>
    <row r="1530" spans="14:14" x14ac:dyDescent="0.35">
      <c r="N1530" s="126"/>
    </row>
    <row r="1531" spans="14:14" x14ac:dyDescent="0.35">
      <c r="N1531" s="126"/>
    </row>
    <row r="1532" spans="14:14" x14ac:dyDescent="0.35">
      <c r="N1532" s="126"/>
    </row>
    <row r="1533" spans="14:14" x14ac:dyDescent="0.35">
      <c r="N1533" s="126"/>
    </row>
    <row r="1534" spans="14:14" x14ac:dyDescent="0.35">
      <c r="N1534" s="126"/>
    </row>
    <row r="1535" spans="14:14" x14ac:dyDescent="0.35">
      <c r="N1535" s="126"/>
    </row>
    <row r="1536" spans="14:14" x14ac:dyDescent="0.35">
      <c r="N1536" s="126"/>
    </row>
    <row r="1537" spans="14:14" x14ac:dyDescent="0.35">
      <c r="N1537" s="126"/>
    </row>
    <row r="1538" spans="14:14" x14ac:dyDescent="0.35">
      <c r="N1538" s="126"/>
    </row>
    <row r="1539" spans="14:14" x14ac:dyDescent="0.35">
      <c r="N1539" s="126"/>
    </row>
    <row r="1540" spans="14:14" x14ac:dyDescent="0.35">
      <c r="N1540" s="126"/>
    </row>
    <row r="1541" spans="14:14" x14ac:dyDescent="0.35">
      <c r="N1541" s="126"/>
    </row>
    <row r="1542" spans="14:14" x14ac:dyDescent="0.35">
      <c r="N1542" s="126"/>
    </row>
    <row r="1543" spans="14:14" x14ac:dyDescent="0.35">
      <c r="N1543" s="126"/>
    </row>
    <row r="1544" spans="14:14" x14ac:dyDescent="0.35">
      <c r="N1544" s="126"/>
    </row>
    <row r="1545" spans="14:14" x14ac:dyDescent="0.35">
      <c r="N1545" s="126"/>
    </row>
    <row r="1546" spans="14:14" x14ac:dyDescent="0.35">
      <c r="N1546" s="126"/>
    </row>
    <row r="1547" spans="14:14" x14ac:dyDescent="0.35">
      <c r="N1547" s="126"/>
    </row>
    <row r="1548" spans="14:14" x14ac:dyDescent="0.35">
      <c r="N1548" s="126"/>
    </row>
    <row r="1549" spans="14:14" x14ac:dyDescent="0.35">
      <c r="N1549" s="126"/>
    </row>
    <row r="1550" spans="14:14" x14ac:dyDescent="0.35">
      <c r="N1550" s="126"/>
    </row>
    <row r="1551" spans="14:14" x14ac:dyDescent="0.35">
      <c r="N1551" s="126"/>
    </row>
    <row r="1552" spans="14:14" x14ac:dyDescent="0.35">
      <c r="N1552" s="126"/>
    </row>
    <row r="1553" spans="14:14" x14ac:dyDescent="0.35">
      <c r="N1553" s="126"/>
    </row>
    <row r="1554" spans="14:14" x14ac:dyDescent="0.35">
      <c r="N1554" s="126"/>
    </row>
    <row r="1555" spans="14:14" x14ac:dyDescent="0.35">
      <c r="N1555" s="126"/>
    </row>
    <row r="1556" spans="14:14" x14ac:dyDescent="0.35">
      <c r="N1556" s="126"/>
    </row>
    <row r="1557" spans="14:14" x14ac:dyDescent="0.35">
      <c r="N1557" s="126"/>
    </row>
    <row r="1558" spans="14:14" x14ac:dyDescent="0.35">
      <c r="N1558" s="126"/>
    </row>
    <row r="1559" spans="14:14" x14ac:dyDescent="0.35">
      <c r="N1559" s="126"/>
    </row>
    <row r="1560" spans="14:14" x14ac:dyDescent="0.35">
      <c r="N1560" s="126"/>
    </row>
    <row r="1561" spans="14:14" x14ac:dyDescent="0.35">
      <c r="N1561" s="126"/>
    </row>
    <row r="1562" spans="14:14" x14ac:dyDescent="0.35">
      <c r="N1562" s="126"/>
    </row>
    <row r="1563" spans="14:14" x14ac:dyDescent="0.35">
      <c r="N1563" s="126"/>
    </row>
    <row r="1564" spans="14:14" x14ac:dyDescent="0.35">
      <c r="N1564" s="126"/>
    </row>
    <row r="1565" spans="14:14" x14ac:dyDescent="0.35">
      <c r="N1565" s="126"/>
    </row>
    <row r="1566" spans="14:14" x14ac:dyDescent="0.35">
      <c r="N1566" s="126"/>
    </row>
    <row r="1567" spans="14:14" x14ac:dyDescent="0.35">
      <c r="N1567" s="126"/>
    </row>
    <row r="1568" spans="14:14" x14ac:dyDescent="0.35">
      <c r="N1568" s="126"/>
    </row>
    <row r="1569" spans="14:14" x14ac:dyDescent="0.35">
      <c r="N1569" s="126"/>
    </row>
    <row r="1570" spans="14:14" x14ac:dyDescent="0.35">
      <c r="N1570" s="126"/>
    </row>
    <row r="1571" spans="14:14" x14ac:dyDescent="0.35">
      <c r="N1571" s="126"/>
    </row>
    <row r="1572" spans="14:14" x14ac:dyDescent="0.35">
      <c r="N1572" s="126"/>
    </row>
    <row r="1573" spans="14:14" x14ac:dyDescent="0.35">
      <c r="N1573" s="126"/>
    </row>
    <row r="1574" spans="14:14" x14ac:dyDescent="0.35">
      <c r="N1574" s="126"/>
    </row>
    <row r="1575" spans="14:14" x14ac:dyDescent="0.35">
      <c r="N1575" s="126"/>
    </row>
    <row r="1576" spans="14:14" x14ac:dyDescent="0.35">
      <c r="N1576" s="126"/>
    </row>
    <row r="1577" spans="14:14" x14ac:dyDescent="0.35">
      <c r="N1577" s="126"/>
    </row>
    <row r="1578" spans="14:14" x14ac:dyDescent="0.35">
      <c r="N1578" s="126"/>
    </row>
    <row r="1579" spans="14:14" x14ac:dyDescent="0.35">
      <c r="N1579" s="126"/>
    </row>
    <row r="1580" spans="14:14" x14ac:dyDescent="0.35">
      <c r="N1580" s="126"/>
    </row>
    <row r="1581" spans="14:14" x14ac:dyDescent="0.35">
      <c r="N1581" s="126"/>
    </row>
    <row r="1582" spans="14:14" x14ac:dyDescent="0.35">
      <c r="N1582" s="126"/>
    </row>
    <row r="1583" spans="14:14" x14ac:dyDescent="0.35">
      <c r="N1583" s="126"/>
    </row>
    <row r="1584" spans="14:14" x14ac:dyDescent="0.35">
      <c r="N1584" s="126"/>
    </row>
    <row r="1585" spans="14:14" x14ac:dyDescent="0.35">
      <c r="N1585" s="126"/>
    </row>
    <row r="1586" spans="14:14" x14ac:dyDescent="0.35">
      <c r="N1586" s="126"/>
    </row>
    <row r="1587" spans="14:14" x14ac:dyDescent="0.35">
      <c r="N1587" s="126"/>
    </row>
    <row r="1588" spans="14:14" x14ac:dyDescent="0.35">
      <c r="N1588" s="126"/>
    </row>
    <row r="1589" spans="14:14" x14ac:dyDescent="0.35">
      <c r="N1589" s="126"/>
    </row>
    <row r="1590" spans="14:14" x14ac:dyDescent="0.35">
      <c r="N1590" s="126"/>
    </row>
    <row r="1591" spans="14:14" x14ac:dyDescent="0.35">
      <c r="N1591" s="126"/>
    </row>
    <row r="1592" spans="14:14" x14ac:dyDescent="0.35">
      <c r="N1592" s="126"/>
    </row>
    <row r="1593" spans="14:14" x14ac:dyDescent="0.35">
      <c r="N1593" s="126"/>
    </row>
    <row r="1594" spans="14:14" x14ac:dyDescent="0.35">
      <c r="N1594" s="126"/>
    </row>
    <row r="1595" spans="14:14" x14ac:dyDescent="0.35">
      <c r="N1595" s="126"/>
    </row>
    <row r="1596" spans="14:14" x14ac:dyDescent="0.35">
      <c r="N1596" s="126"/>
    </row>
    <row r="1597" spans="14:14" x14ac:dyDescent="0.35">
      <c r="N1597" s="126"/>
    </row>
    <row r="1598" spans="14:14" x14ac:dyDescent="0.35">
      <c r="N1598" s="126"/>
    </row>
    <row r="1599" spans="14:14" x14ac:dyDescent="0.35">
      <c r="N1599" s="126"/>
    </row>
    <row r="1600" spans="14:14" x14ac:dyDescent="0.35">
      <c r="N1600" s="126"/>
    </row>
    <row r="1601" spans="14:14" x14ac:dyDescent="0.35">
      <c r="N1601" s="126"/>
    </row>
    <row r="1602" spans="14:14" x14ac:dyDescent="0.35">
      <c r="N1602" s="126"/>
    </row>
    <row r="1603" spans="14:14" x14ac:dyDescent="0.35">
      <c r="N1603" s="126"/>
    </row>
    <row r="1604" spans="14:14" x14ac:dyDescent="0.35">
      <c r="N1604" s="126"/>
    </row>
    <row r="1605" spans="14:14" x14ac:dyDescent="0.35">
      <c r="N1605" s="126"/>
    </row>
    <row r="1606" spans="14:14" x14ac:dyDescent="0.35">
      <c r="N1606" s="126"/>
    </row>
    <row r="1607" spans="14:14" x14ac:dyDescent="0.35">
      <c r="N1607" s="126"/>
    </row>
    <row r="1608" spans="14:14" x14ac:dyDescent="0.35">
      <c r="N1608" s="126"/>
    </row>
    <row r="1609" spans="14:14" x14ac:dyDescent="0.35">
      <c r="N1609" s="126"/>
    </row>
    <row r="1610" spans="14:14" x14ac:dyDescent="0.35">
      <c r="N1610" s="126"/>
    </row>
    <row r="1611" spans="14:14" x14ac:dyDescent="0.35">
      <c r="N1611" s="126"/>
    </row>
    <row r="1612" spans="14:14" x14ac:dyDescent="0.35">
      <c r="N1612" s="126"/>
    </row>
    <row r="1613" spans="14:14" x14ac:dyDescent="0.35">
      <c r="N1613" s="126"/>
    </row>
    <row r="1614" spans="14:14" x14ac:dyDescent="0.35">
      <c r="N1614" s="126"/>
    </row>
    <row r="1615" spans="14:14" x14ac:dyDescent="0.35">
      <c r="N1615" s="126"/>
    </row>
    <row r="1616" spans="14:14" x14ac:dyDescent="0.35">
      <c r="N1616" s="126"/>
    </row>
    <row r="1617" spans="14:14" x14ac:dyDescent="0.35">
      <c r="N1617" s="126"/>
    </row>
    <row r="1618" spans="14:14" x14ac:dyDescent="0.35">
      <c r="N1618" s="126"/>
    </row>
    <row r="1619" spans="14:14" x14ac:dyDescent="0.35">
      <c r="N1619" s="126"/>
    </row>
    <row r="1620" spans="14:14" x14ac:dyDescent="0.35">
      <c r="N1620" s="126"/>
    </row>
    <row r="1621" spans="14:14" x14ac:dyDescent="0.35">
      <c r="N1621" s="126"/>
    </row>
    <row r="1622" spans="14:14" x14ac:dyDescent="0.35">
      <c r="N1622" s="126"/>
    </row>
    <row r="1623" spans="14:14" x14ac:dyDescent="0.35">
      <c r="N1623" s="126"/>
    </row>
    <row r="1624" spans="14:14" x14ac:dyDescent="0.35">
      <c r="N1624" s="126"/>
    </row>
    <row r="1625" spans="14:14" x14ac:dyDescent="0.35">
      <c r="N1625" s="126"/>
    </row>
    <row r="1626" spans="14:14" x14ac:dyDescent="0.35">
      <c r="N1626" s="126"/>
    </row>
    <row r="1627" spans="14:14" x14ac:dyDescent="0.35">
      <c r="N1627" s="126"/>
    </row>
    <row r="1628" spans="14:14" x14ac:dyDescent="0.35">
      <c r="N1628" s="126"/>
    </row>
    <row r="1629" spans="14:14" x14ac:dyDescent="0.35">
      <c r="N1629" s="126"/>
    </row>
    <row r="1630" spans="14:14" x14ac:dyDescent="0.35">
      <c r="N1630" s="126"/>
    </row>
    <row r="1631" spans="14:14" x14ac:dyDescent="0.35">
      <c r="N1631" s="126"/>
    </row>
    <row r="1632" spans="14:14" x14ac:dyDescent="0.35">
      <c r="N1632" s="126"/>
    </row>
    <row r="1633" spans="14:14" x14ac:dyDescent="0.35">
      <c r="N1633" s="126"/>
    </row>
    <row r="1634" spans="14:14" x14ac:dyDescent="0.35">
      <c r="N1634" s="126"/>
    </row>
    <row r="1635" spans="14:14" x14ac:dyDescent="0.35">
      <c r="N1635" s="126"/>
    </row>
    <row r="1636" spans="14:14" x14ac:dyDescent="0.35">
      <c r="N1636" s="126"/>
    </row>
    <row r="1637" spans="14:14" x14ac:dyDescent="0.35">
      <c r="N1637" s="126"/>
    </row>
    <row r="1638" spans="14:14" x14ac:dyDescent="0.35">
      <c r="N1638" s="126"/>
    </row>
    <row r="1639" spans="14:14" x14ac:dyDescent="0.35">
      <c r="N1639" s="126"/>
    </row>
    <row r="1640" spans="14:14" x14ac:dyDescent="0.35">
      <c r="N1640" s="126"/>
    </row>
    <row r="1641" spans="14:14" x14ac:dyDescent="0.35">
      <c r="N1641" s="126"/>
    </row>
    <row r="1642" spans="14:14" x14ac:dyDescent="0.35">
      <c r="N1642" s="126"/>
    </row>
    <row r="1643" spans="14:14" x14ac:dyDescent="0.35">
      <c r="N1643" s="126"/>
    </row>
    <row r="1644" spans="14:14" x14ac:dyDescent="0.35">
      <c r="N1644" s="126"/>
    </row>
    <row r="1645" spans="14:14" x14ac:dyDescent="0.35">
      <c r="N1645" s="126"/>
    </row>
    <row r="1646" spans="14:14" x14ac:dyDescent="0.35">
      <c r="N1646" s="126"/>
    </row>
    <row r="1647" spans="14:14" x14ac:dyDescent="0.35">
      <c r="N1647" s="126"/>
    </row>
    <row r="1648" spans="14:14" x14ac:dyDescent="0.35">
      <c r="N1648" s="126"/>
    </row>
    <row r="1649" spans="14:14" x14ac:dyDescent="0.35">
      <c r="N1649" s="126"/>
    </row>
    <row r="1650" spans="14:14" x14ac:dyDescent="0.35">
      <c r="N1650" s="126"/>
    </row>
    <row r="1651" spans="14:14" x14ac:dyDescent="0.35">
      <c r="N1651" s="126"/>
    </row>
    <row r="1652" spans="14:14" x14ac:dyDescent="0.35">
      <c r="N1652" s="126"/>
    </row>
    <row r="1653" spans="14:14" x14ac:dyDescent="0.35">
      <c r="N1653" s="126"/>
    </row>
    <row r="1654" spans="14:14" x14ac:dyDescent="0.35">
      <c r="N1654" s="126"/>
    </row>
    <row r="1655" spans="14:14" x14ac:dyDescent="0.35">
      <c r="N1655" s="126"/>
    </row>
    <row r="1656" spans="14:14" x14ac:dyDescent="0.35">
      <c r="N1656" s="126"/>
    </row>
    <row r="1657" spans="14:14" x14ac:dyDescent="0.35">
      <c r="N1657" s="126"/>
    </row>
    <row r="1658" spans="14:14" x14ac:dyDescent="0.35">
      <c r="N1658" s="126"/>
    </row>
    <row r="1659" spans="14:14" x14ac:dyDescent="0.35">
      <c r="N1659" s="126"/>
    </row>
    <row r="1660" spans="14:14" x14ac:dyDescent="0.35">
      <c r="N1660" s="126"/>
    </row>
    <row r="1661" spans="14:14" x14ac:dyDescent="0.35">
      <c r="N1661" s="126"/>
    </row>
    <row r="1662" spans="14:14" x14ac:dyDescent="0.35">
      <c r="N1662" s="126"/>
    </row>
    <row r="1663" spans="14:14" x14ac:dyDescent="0.35">
      <c r="N1663" s="126"/>
    </row>
    <row r="1664" spans="14:14" x14ac:dyDescent="0.35">
      <c r="N1664" s="126"/>
    </row>
    <row r="1665" spans="14:14" x14ac:dyDescent="0.35">
      <c r="N1665" s="126"/>
    </row>
    <row r="1666" spans="14:14" x14ac:dyDescent="0.35">
      <c r="N1666" s="126"/>
    </row>
    <row r="1667" spans="14:14" x14ac:dyDescent="0.35">
      <c r="N1667" s="126"/>
    </row>
    <row r="1668" spans="14:14" x14ac:dyDescent="0.35">
      <c r="N1668" s="126"/>
    </row>
    <row r="1669" spans="14:14" x14ac:dyDescent="0.35">
      <c r="N1669" s="126"/>
    </row>
    <row r="1670" spans="14:14" x14ac:dyDescent="0.35">
      <c r="N1670" s="126"/>
    </row>
    <row r="1671" spans="14:14" x14ac:dyDescent="0.35">
      <c r="N1671" s="126"/>
    </row>
    <row r="1672" spans="14:14" x14ac:dyDescent="0.35">
      <c r="N1672" s="126"/>
    </row>
    <row r="1673" spans="14:14" x14ac:dyDescent="0.35">
      <c r="N1673" s="126"/>
    </row>
    <row r="1674" spans="14:14" x14ac:dyDescent="0.35">
      <c r="N1674" s="126"/>
    </row>
    <row r="1675" spans="14:14" x14ac:dyDescent="0.35">
      <c r="N1675" s="126"/>
    </row>
    <row r="1676" spans="14:14" x14ac:dyDescent="0.35">
      <c r="N1676" s="126"/>
    </row>
    <row r="1677" spans="14:14" x14ac:dyDescent="0.35">
      <c r="N1677" s="126"/>
    </row>
    <row r="1678" spans="14:14" x14ac:dyDescent="0.35">
      <c r="N1678" s="126"/>
    </row>
    <row r="1679" spans="14:14" x14ac:dyDescent="0.35">
      <c r="N1679" s="126"/>
    </row>
    <row r="1680" spans="14:14" x14ac:dyDescent="0.35">
      <c r="N1680" s="126"/>
    </row>
    <row r="1681" spans="14:14" x14ac:dyDescent="0.35">
      <c r="N1681" s="126"/>
    </row>
    <row r="1682" spans="14:14" x14ac:dyDescent="0.35">
      <c r="N1682" s="126"/>
    </row>
    <row r="1683" spans="14:14" x14ac:dyDescent="0.35">
      <c r="N1683" s="126"/>
    </row>
    <row r="1684" spans="14:14" x14ac:dyDescent="0.35">
      <c r="N1684" s="126"/>
    </row>
    <row r="1685" spans="14:14" x14ac:dyDescent="0.35">
      <c r="N1685" s="126"/>
    </row>
    <row r="1686" spans="14:14" x14ac:dyDescent="0.35">
      <c r="N1686" s="126"/>
    </row>
    <row r="1687" spans="14:14" x14ac:dyDescent="0.35">
      <c r="N1687" s="126"/>
    </row>
    <row r="1688" spans="14:14" x14ac:dyDescent="0.35">
      <c r="N1688" s="126"/>
    </row>
    <row r="1689" spans="14:14" x14ac:dyDescent="0.35">
      <c r="N1689" s="126"/>
    </row>
    <row r="1690" spans="14:14" x14ac:dyDescent="0.35">
      <c r="N1690" s="126"/>
    </row>
    <row r="1691" spans="14:14" x14ac:dyDescent="0.35">
      <c r="N1691" s="126"/>
    </row>
    <row r="1692" spans="14:14" x14ac:dyDescent="0.35">
      <c r="N1692" s="126"/>
    </row>
    <row r="1693" spans="14:14" x14ac:dyDescent="0.35">
      <c r="N1693" s="126"/>
    </row>
    <row r="1694" spans="14:14" x14ac:dyDescent="0.35">
      <c r="N1694" s="126"/>
    </row>
    <row r="1695" spans="14:14" x14ac:dyDescent="0.35">
      <c r="N1695" s="126"/>
    </row>
    <row r="1696" spans="14:14" x14ac:dyDescent="0.35">
      <c r="N1696" s="126"/>
    </row>
    <row r="1697" spans="14:14" x14ac:dyDescent="0.35">
      <c r="N1697" s="126"/>
    </row>
    <row r="1698" spans="14:14" x14ac:dyDescent="0.35">
      <c r="N1698" s="126"/>
    </row>
    <row r="1699" spans="14:14" x14ac:dyDescent="0.35">
      <c r="N1699" s="126"/>
    </row>
    <row r="1700" spans="14:14" x14ac:dyDescent="0.35">
      <c r="N1700" s="126"/>
    </row>
    <row r="1701" spans="14:14" x14ac:dyDescent="0.35">
      <c r="N1701" s="126"/>
    </row>
    <row r="1702" spans="14:14" x14ac:dyDescent="0.35">
      <c r="N1702" s="126"/>
    </row>
    <row r="1703" spans="14:14" x14ac:dyDescent="0.35">
      <c r="N1703" s="126"/>
    </row>
    <row r="1704" spans="14:14" x14ac:dyDescent="0.35">
      <c r="N1704" s="126"/>
    </row>
    <row r="1705" spans="14:14" x14ac:dyDescent="0.35">
      <c r="N1705" s="126"/>
    </row>
    <row r="1706" spans="14:14" x14ac:dyDescent="0.35">
      <c r="N1706" s="126"/>
    </row>
    <row r="1707" spans="14:14" x14ac:dyDescent="0.35">
      <c r="N1707" s="126"/>
    </row>
    <row r="1708" spans="14:14" x14ac:dyDescent="0.35">
      <c r="N1708" s="126"/>
    </row>
    <row r="1709" spans="14:14" x14ac:dyDescent="0.35">
      <c r="N1709" s="126"/>
    </row>
    <row r="1710" spans="14:14" x14ac:dyDescent="0.35">
      <c r="N1710" s="126"/>
    </row>
    <row r="1711" spans="14:14" x14ac:dyDescent="0.35">
      <c r="N1711" s="126"/>
    </row>
    <row r="1712" spans="14:14" x14ac:dyDescent="0.35">
      <c r="N1712" s="126"/>
    </row>
    <row r="1713" spans="14:14" x14ac:dyDescent="0.35">
      <c r="N1713" s="126"/>
    </row>
    <row r="1714" spans="14:14" x14ac:dyDescent="0.35">
      <c r="N1714" s="126"/>
    </row>
    <row r="1715" spans="14:14" x14ac:dyDescent="0.35">
      <c r="N1715" s="126"/>
    </row>
    <row r="1716" spans="14:14" x14ac:dyDescent="0.35">
      <c r="N1716" s="126"/>
    </row>
    <row r="1717" spans="14:14" x14ac:dyDescent="0.35">
      <c r="N1717" s="126"/>
    </row>
    <row r="1718" spans="14:14" x14ac:dyDescent="0.35">
      <c r="N1718" s="126"/>
    </row>
    <row r="1719" spans="14:14" x14ac:dyDescent="0.35">
      <c r="N1719" s="126"/>
    </row>
    <row r="1720" spans="14:14" x14ac:dyDescent="0.35">
      <c r="N1720" s="126"/>
    </row>
    <row r="1721" spans="14:14" x14ac:dyDescent="0.35">
      <c r="N1721" s="126"/>
    </row>
    <row r="1722" spans="14:14" x14ac:dyDescent="0.35">
      <c r="N1722" s="126"/>
    </row>
    <row r="1723" spans="14:14" x14ac:dyDescent="0.35">
      <c r="N1723" s="126"/>
    </row>
    <row r="1724" spans="14:14" x14ac:dyDescent="0.35">
      <c r="N1724" s="126"/>
    </row>
    <row r="1725" spans="14:14" x14ac:dyDescent="0.35">
      <c r="N1725" s="126"/>
    </row>
    <row r="1726" spans="14:14" x14ac:dyDescent="0.35">
      <c r="N1726" s="126"/>
    </row>
    <row r="1727" spans="14:14" x14ac:dyDescent="0.35">
      <c r="N1727" s="126"/>
    </row>
    <row r="1728" spans="14:14" x14ac:dyDescent="0.35">
      <c r="N1728" s="126"/>
    </row>
    <row r="1729" spans="14:14" x14ac:dyDescent="0.35">
      <c r="N1729" s="126"/>
    </row>
    <row r="1730" spans="14:14" x14ac:dyDescent="0.35">
      <c r="N1730" s="126"/>
    </row>
    <row r="1731" spans="14:14" x14ac:dyDescent="0.35">
      <c r="N1731" s="126"/>
    </row>
    <row r="1732" spans="14:14" x14ac:dyDescent="0.35">
      <c r="N1732" s="126"/>
    </row>
    <row r="1733" spans="14:14" x14ac:dyDescent="0.35">
      <c r="N1733" s="126"/>
    </row>
    <row r="1734" spans="14:14" x14ac:dyDescent="0.35">
      <c r="N1734" s="126"/>
    </row>
    <row r="1735" spans="14:14" x14ac:dyDescent="0.35">
      <c r="N1735" s="126"/>
    </row>
    <row r="1736" spans="14:14" x14ac:dyDescent="0.35">
      <c r="N1736" s="126"/>
    </row>
    <row r="1737" spans="14:14" x14ac:dyDescent="0.35">
      <c r="N1737" s="126"/>
    </row>
    <row r="1738" spans="14:14" x14ac:dyDescent="0.35">
      <c r="N1738" s="126"/>
    </row>
    <row r="1739" spans="14:14" x14ac:dyDescent="0.35">
      <c r="N1739" s="126"/>
    </row>
    <row r="1740" spans="14:14" x14ac:dyDescent="0.35">
      <c r="N1740" s="126"/>
    </row>
    <row r="1741" spans="14:14" x14ac:dyDescent="0.35">
      <c r="N1741" s="126"/>
    </row>
    <row r="1742" spans="14:14" x14ac:dyDescent="0.35">
      <c r="N1742" s="126"/>
    </row>
    <row r="1743" spans="14:14" x14ac:dyDescent="0.35">
      <c r="N1743" s="126"/>
    </row>
    <row r="1744" spans="14:14" x14ac:dyDescent="0.35">
      <c r="N1744" s="126"/>
    </row>
    <row r="1745" spans="14:14" x14ac:dyDescent="0.35">
      <c r="N1745" s="126"/>
    </row>
    <row r="1746" spans="14:14" x14ac:dyDescent="0.35">
      <c r="N1746" s="126"/>
    </row>
    <row r="1747" spans="14:14" x14ac:dyDescent="0.35">
      <c r="N1747" s="126"/>
    </row>
    <row r="1748" spans="14:14" x14ac:dyDescent="0.35">
      <c r="N1748" s="126"/>
    </row>
    <row r="1749" spans="14:14" x14ac:dyDescent="0.35">
      <c r="N1749" s="126"/>
    </row>
    <row r="1750" spans="14:14" x14ac:dyDescent="0.35">
      <c r="N1750" s="126"/>
    </row>
    <row r="1751" spans="14:14" x14ac:dyDescent="0.35">
      <c r="N1751" s="126"/>
    </row>
    <row r="1752" spans="14:14" x14ac:dyDescent="0.35">
      <c r="N1752" s="126"/>
    </row>
    <row r="1753" spans="14:14" x14ac:dyDescent="0.35">
      <c r="N1753" s="126"/>
    </row>
    <row r="1754" spans="14:14" x14ac:dyDescent="0.35">
      <c r="N1754" s="126"/>
    </row>
    <row r="1755" spans="14:14" x14ac:dyDescent="0.35">
      <c r="N1755" s="126"/>
    </row>
    <row r="1756" spans="14:14" x14ac:dyDescent="0.35">
      <c r="N1756" s="126"/>
    </row>
    <row r="1757" spans="14:14" x14ac:dyDescent="0.35">
      <c r="N1757" s="126"/>
    </row>
    <row r="1758" spans="14:14" x14ac:dyDescent="0.35">
      <c r="N1758" s="126"/>
    </row>
    <row r="1759" spans="14:14" x14ac:dyDescent="0.35">
      <c r="N1759" s="126"/>
    </row>
    <row r="1760" spans="14:14" x14ac:dyDescent="0.35">
      <c r="N1760" s="126"/>
    </row>
    <row r="1761" spans="14:14" x14ac:dyDescent="0.35">
      <c r="N1761" s="126"/>
    </row>
    <row r="1762" spans="14:14" x14ac:dyDescent="0.35">
      <c r="N1762" s="126"/>
    </row>
    <row r="1763" spans="14:14" x14ac:dyDescent="0.35">
      <c r="N1763" s="126"/>
    </row>
    <row r="1764" spans="14:14" x14ac:dyDescent="0.35">
      <c r="N1764" s="126"/>
    </row>
    <row r="1765" spans="14:14" x14ac:dyDescent="0.35">
      <c r="N1765" s="126"/>
    </row>
    <row r="1766" spans="14:14" x14ac:dyDescent="0.35">
      <c r="N1766" s="126"/>
    </row>
    <row r="1767" spans="14:14" x14ac:dyDescent="0.35">
      <c r="N1767" s="126"/>
    </row>
    <row r="1768" spans="14:14" x14ac:dyDescent="0.35">
      <c r="N1768" s="126"/>
    </row>
    <row r="1769" spans="14:14" x14ac:dyDescent="0.35">
      <c r="N1769" s="126"/>
    </row>
    <row r="1770" spans="14:14" x14ac:dyDescent="0.35">
      <c r="N1770" s="126"/>
    </row>
    <row r="1771" spans="14:14" x14ac:dyDescent="0.35">
      <c r="N1771" s="126"/>
    </row>
    <row r="1772" spans="14:14" x14ac:dyDescent="0.35">
      <c r="N1772" s="126"/>
    </row>
    <row r="1773" spans="14:14" x14ac:dyDescent="0.35">
      <c r="N1773" s="126"/>
    </row>
    <row r="1774" spans="14:14" x14ac:dyDescent="0.35">
      <c r="N1774" s="126"/>
    </row>
    <row r="1775" spans="14:14" x14ac:dyDescent="0.35">
      <c r="N1775" s="126"/>
    </row>
    <row r="1776" spans="14:14" x14ac:dyDescent="0.35">
      <c r="N1776" s="126"/>
    </row>
    <row r="1777" spans="14:14" x14ac:dyDescent="0.35">
      <c r="N1777" s="126"/>
    </row>
    <row r="1778" spans="14:14" x14ac:dyDescent="0.35">
      <c r="N1778" s="126"/>
    </row>
    <row r="1779" spans="14:14" x14ac:dyDescent="0.35">
      <c r="N1779" s="126"/>
    </row>
    <row r="1780" spans="14:14" x14ac:dyDescent="0.35">
      <c r="N1780" s="126"/>
    </row>
    <row r="1781" spans="14:14" x14ac:dyDescent="0.35">
      <c r="N1781" s="126"/>
    </row>
    <row r="1782" spans="14:14" x14ac:dyDescent="0.35">
      <c r="N1782" s="126"/>
    </row>
    <row r="1783" spans="14:14" x14ac:dyDescent="0.35">
      <c r="N1783" s="126"/>
    </row>
    <row r="1784" spans="14:14" x14ac:dyDescent="0.35">
      <c r="N1784" s="126"/>
    </row>
    <row r="1785" spans="14:14" x14ac:dyDescent="0.35">
      <c r="N1785" s="126"/>
    </row>
    <row r="1786" spans="14:14" x14ac:dyDescent="0.35">
      <c r="N1786" s="126"/>
    </row>
    <row r="1787" spans="14:14" x14ac:dyDescent="0.35">
      <c r="N1787" s="126"/>
    </row>
    <row r="1788" spans="14:14" x14ac:dyDescent="0.35">
      <c r="N1788" s="126"/>
    </row>
    <row r="1789" spans="14:14" x14ac:dyDescent="0.35">
      <c r="N1789" s="126"/>
    </row>
    <row r="1790" spans="14:14" x14ac:dyDescent="0.35">
      <c r="N1790" s="126"/>
    </row>
    <row r="1791" spans="14:14" x14ac:dyDescent="0.35">
      <c r="N1791" s="126"/>
    </row>
    <row r="1792" spans="14:14" x14ac:dyDescent="0.35">
      <c r="N1792" s="126"/>
    </row>
    <row r="1793" spans="14:14" x14ac:dyDescent="0.35">
      <c r="N1793" s="126"/>
    </row>
    <row r="1794" spans="14:14" x14ac:dyDescent="0.35">
      <c r="N1794" s="126"/>
    </row>
    <row r="1795" spans="14:14" x14ac:dyDescent="0.35">
      <c r="N1795" s="126"/>
    </row>
    <row r="1796" spans="14:14" x14ac:dyDescent="0.35">
      <c r="N1796" s="126"/>
    </row>
    <row r="1797" spans="14:14" x14ac:dyDescent="0.35">
      <c r="N1797" s="126"/>
    </row>
    <row r="1798" spans="14:14" x14ac:dyDescent="0.35">
      <c r="N1798" s="126"/>
    </row>
    <row r="1799" spans="14:14" x14ac:dyDescent="0.35">
      <c r="N1799" s="126"/>
    </row>
    <row r="1800" spans="14:14" x14ac:dyDescent="0.35">
      <c r="N1800" s="126"/>
    </row>
    <row r="1801" spans="14:14" x14ac:dyDescent="0.35">
      <c r="N1801" s="126"/>
    </row>
    <row r="1802" spans="14:14" x14ac:dyDescent="0.35">
      <c r="N1802" s="126"/>
    </row>
    <row r="1803" spans="14:14" x14ac:dyDescent="0.35">
      <c r="N1803" s="126"/>
    </row>
    <row r="1804" spans="14:14" x14ac:dyDescent="0.35">
      <c r="N1804" s="126"/>
    </row>
    <row r="1805" spans="14:14" x14ac:dyDescent="0.35">
      <c r="N1805" s="126"/>
    </row>
    <row r="1806" spans="14:14" x14ac:dyDescent="0.35">
      <c r="N1806" s="126"/>
    </row>
    <row r="1807" spans="14:14" x14ac:dyDescent="0.35">
      <c r="N1807" s="126"/>
    </row>
    <row r="1808" spans="14:14" x14ac:dyDescent="0.35">
      <c r="N1808" s="126"/>
    </row>
    <row r="1809" spans="14:14" x14ac:dyDescent="0.35">
      <c r="N1809" s="126"/>
    </row>
    <row r="1810" spans="14:14" x14ac:dyDescent="0.35">
      <c r="N1810" s="126"/>
    </row>
    <row r="1811" spans="14:14" x14ac:dyDescent="0.35">
      <c r="N1811" s="126"/>
    </row>
    <row r="1812" spans="14:14" x14ac:dyDescent="0.35">
      <c r="N1812" s="126"/>
    </row>
    <row r="1813" spans="14:14" x14ac:dyDescent="0.35">
      <c r="N1813" s="126"/>
    </row>
    <row r="1814" spans="14:14" x14ac:dyDescent="0.35">
      <c r="N1814" s="126"/>
    </row>
    <row r="1815" spans="14:14" x14ac:dyDescent="0.35">
      <c r="N1815" s="126"/>
    </row>
    <row r="1816" spans="14:14" x14ac:dyDescent="0.35">
      <c r="N1816" s="126"/>
    </row>
    <row r="1817" spans="14:14" x14ac:dyDescent="0.35">
      <c r="N1817" s="126"/>
    </row>
    <row r="1818" spans="14:14" x14ac:dyDescent="0.35">
      <c r="N1818" s="126"/>
    </row>
    <row r="1819" spans="14:14" x14ac:dyDescent="0.35">
      <c r="N1819" s="126"/>
    </row>
    <row r="1820" spans="14:14" x14ac:dyDescent="0.35">
      <c r="N1820" s="126"/>
    </row>
    <row r="1821" spans="14:14" x14ac:dyDescent="0.35">
      <c r="N1821" s="126"/>
    </row>
    <row r="1822" spans="14:14" x14ac:dyDescent="0.35">
      <c r="N1822" s="126"/>
    </row>
    <row r="1823" spans="14:14" x14ac:dyDescent="0.35">
      <c r="N1823" s="126"/>
    </row>
    <row r="1824" spans="14:14" x14ac:dyDescent="0.35">
      <c r="N1824" s="126"/>
    </row>
    <row r="1825" spans="14:14" x14ac:dyDescent="0.35">
      <c r="N1825" s="126"/>
    </row>
    <row r="1826" spans="14:14" x14ac:dyDescent="0.35">
      <c r="N1826" s="126"/>
    </row>
    <row r="1827" spans="14:14" x14ac:dyDescent="0.35">
      <c r="N1827" s="126"/>
    </row>
    <row r="1828" spans="14:14" x14ac:dyDescent="0.35">
      <c r="N1828" s="126"/>
    </row>
    <row r="1829" spans="14:14" x14ac:dyDescent="0.35">
      <c r="N1829" s="126"/>
    </row>
    <row r="1830" spans="14:14" x14ac:dyDescent="0.35">
      <c r="N1830" s="126"/>
    </row>
    <row r="1831" spans="14:14" x14ac:dyDescent="0.35">
      <c r="N1831" s="126"/>
    </row>
    <row r="1832" spans="14:14" x14ac:dyDescent="0.35">
      <c r="N1832" s="126"/>
    </row>
    <row r="1833" spans="14:14" x14ac:dyDescent="0.35">
      <c r="N1833" s="126"/>
    </row>
    <row r="1834" spans="14:14" x14ac:dyDescent="0.35">
      <c r="N1834" s="126"/>
    </row>
    <row r="1835" spans="14:14" x14ac:dyDescent="0.35">
      <c r="N1835" s="126"/>
    </row>
    <row r="1836" spans="14:14" x14ac:dyDescent="0.35">
      <c r="N1836" s="126"/>
    </row>
    <row r="1837" spans="14:14" x14ac:dyDescent="0.35">
      <c r="N1837" s="126"/>
    </row>
    <row r="1838" spans="14:14" x14ac:dyDescent="0.35">
      <c r="N1838" s="126"/>
    </row>
    <row r="1839" spans="14:14" x14ac:dyDescent="0.35">
      <c r="N1839" s="126"/>
    </row>
    <row r="1840" spans="14:14" x14ac:dyDescent="0.35">
      <c r="N1840" s="126"/>
    </row>
    <row r="1841" spans="14:14" x14ac:dyDescent="0.35">
      <c r="N1841" s="126"/>
    </row>
    <row r="1842" spans="14:14" x14ac:dyDescent="0.35">
      <c r="N1842" s="126"/>
    </row>
    <row r="1843" spans="14:14" x14ac:dyDescent="0.35">
      <c r="N1843" s="126"/>
    </row>
    <row r="1844" spans="14:14" x14ac:dyDescent="0.35">
      <c r="N1844" s="126"/>
    </row>
    <row r="1845" spans="14:14" x14ac:dyDescent="0.35">
      <c r="N1845" s="126"/>
    </row>
    <row r="1846" spans="14:14" x14ac:dyDescent="0.35">
      <c r="N1846" s="126"/>
    </row>
    <row r="1847" spans="14:14" x14ac:dyDescent="0.35">
      <c r="N1847" s="126"/>
    </row>
    <row r="1848" spans="14:14" x14ac:dyDescent="0.35">
      <c r="N1848" s="126"/>
    </row>
    <row r="1849" spans="14:14" x14ac:dyDescent="0.35">
      <c r="N1849" s="126"/>
    </row>
    <row r="1850" spans="14:14" x14ac:dyDescent="0.35">
      <c r="N1850" s="126"/>
    </row>
    <row r="1851" spans="14:14" x14ac:dyDescent="0.35">
      <c r="N1851" s="126"/>
    </row>
    <row r="1852" spans="14:14" x14ac:dyDescent="0.35">
      <c r="N1852" s="126"/>
    </row>
    <row r="1853" spans="14:14" x14ac:dyDescent="0.35">
      <c r="N1853" s="126"/>
    </row>
    <row r="1854" spans="14:14" x14ac:dyDescent="0.35">
      <c r="N1854" s="126"/>
    </row>
    <row r="1855" spans="14:14" x14ac:dyDescent="0.35">
      <c r="N1855" s="126"/>
    </row>
    <row r="1856" spans="14:14" x14ac:dyDescent="0.35">
      <c r="N1856" s="126"/>
    </row>
    <row r="1857" spans="14:14" x14ac:dyDescent="0.35">
      <c r="N1857" s="126"/>
    </row>
    <row r="1858" spans="14:14" x14ac:dyDescent="0.35">
      <c r="N1858" s="126"/>
    </row>
    <row r="1859" spans="14:14" x14ac:dyDescent="0.35">
      <c r="N1859" s="126"/>
    </row>
    <row r="1860" spans="14:14" x14ac:dyDescent="0.35">
      <c r="N1860" s="126"/>
    </row>
    <row r="1861" spans="14:14" x14ac:dyDescent="0.35">
      <c r="N1861" s="126"/>
    </row>
    <row r="1862" spans="14:14" x14ac:dyDescent="0.35">
      <c r="N1862" s="126"/>
    </row>
    <row r="1863" spans="14:14" x14ac:dyDescent="0.35">
      <c r="N1863" s="126"/>
    </row>
    <row r="1864" spans="14:14" x14ac:dyDescent="0.35">
      <c r="N1864" s="126"/>
    </row>
    <row r="1865" spans="14:14" x14ac:dyDescent="0.35">
      <c r="N1865" s="126"/>
    </row>
    <row r="1866" spans="14:14" x14ac:dyDescent="0.35">
      <c r="N1866" s="126"/>
    </row>
    <row r="1867" spans="14:14" x14ac:dyDescent="0.35">
      <c r="N1867" s="126"/>
    </row>
    <row r="1868" spans="14:14" x14ac:dyDescent="0.35">
      <c r="N1868" s="126"/>
    </row>
    <row r="1869" spans="14:14" x14ac:dyDescent="0.35">
      <c r="N1869" s="126"/>
    </row>
    <row r="1870" spans="14:14" x14ac:dyDescent="0.35">
      <c r="N1870" s="126"/>
    </row>
    <row r="1871" spans="14:14" x14ac:dyDescent="0.35">
      <c r="N1871" s="126"/>
    </row>
    <row r="1872" spans="14:14" x14ac:dyDescent="0.35">
      <c r="N1872" s="126"/>
    </row>
    <row r="1873" spans="14:14" x14ac:dyDescent="0.35">
      <c r="N1873" s="126"/>
    </row>
    <row r="1874" spans="14:14" x14ac:dyDescent="0.35">
      <c r="N1874" s="126"/>
    </row>
    <row r="1875" spans="14:14" x14ac:dyDescent="0.35">
      <c r="N1875" s="126"/>
    </row>
    <row r="1876" spans="14:14" x14ac:dyDescent="0.35">
      <c r="N1876" s="126"/>
    </row>
    <row r="1877" spans="14:14" x14ac:dyDescent="0.35">
      <c r="N1877" s="126"/>
    </row>
    <row r="1878" spans="14:14" x14ac:dyDescent="0.35">
      <c r="N1878" s="126"/>
    </row>
    <row r="1879" spans="14:14" x14ac:dyDescent="0.35">
      <c r="N1879" s="126"/>
    </row>
    <row r="1880" spans="14:14" x14ac:dyDescent="0.35">
      <c r="N1880" s="126"/>
    </row>
    <row r="1881" spans="14:14" x14ac:dyDescent="0.35">
      <c r="N1881" s="126"/>
    </row>
    <row r="1882" spans="14:14" x14ac:dyDescent="0.35">
      <c r="N1882" s="126"/>
    </row>
    <row r="1883" spans="14:14" x14ac:dyDescent="0.35">
      <c r="N1883" s="126"/>
    </row>
    <row r="1884" spans="14:14" x14ac:dyDescent="0.35">
      <c r="N1884" s="126"/>
    </row>
    <row r="1885" spans="14:14" x14ac:dyDescent="0.35">
      <c r="N1885" s="126"/>
    </row>
    <row r="1886" spans="14:14" x14ac:dyDescent="0.35">
      <c r="N1886" s="126"/>
    </row>
    <row r="1887" spans="14:14" x14ac:dyDescent="0.35">
      <c r="N1887" s="126"/>
    </row>
    <row r="1888" spans="14:14" x14ac:dyDescent="0.35">
      <c r="N1888" s="126"/>
    </row>
    <row r="1889" spans="14:14" x14ac:dyDescent="0.35">
      <c r="N1889" s="126"/>
    </row>
    <row r="1890" spans="14:14" x14ac:dyDescent="0.35">
      <c r="N1890" s="126"/>
    </row>
    <row r="1891" spans="14:14" x14ac:dyDescent="0.35">
      <c r="N1891" s="126"/>
    </row>
    <row r="1892" spans="14:14" x14ac:dyDescent="0.35">
      <c r="N1892" s="126"/>
    </row>
    <row r="1893" spans="14:14" x14ac:dyDescent="0.35">
      <c r="N1893" s="126"/>
    </row>
    <row r="1894" spans="14:14" x14ac:dyDescent="0.35">
      <c r="N1894" s="126"/>
    </row>
    <row r="1895" spans="14:14" x14ac:dyDescent="0.35">
      <c r="N1895" s="126"/>
    </row>
    <row r="1896" spans="14:14" x14ac:dyDescent="0.35">
      <c r="N1896" s="126"/>
    </row>
    <row r="1897" spans="14:14" x14ac:dyDescent="0.35">
      <c r="N1897" s="126"/>
    </row>
    <row r="1898" spans="14:14" x14ac:dyDescent="0.35">
      <c r="N1898" s="126"/>
    </row>
    <row r="1899" spans="14:14" x14ac:dyDescent="0.35">
      <c r="N1899" s="126"/>
    </row>
    <row r="1900" spans="14:14" x14ac:dyDescent="0.35">
      <c r="N1900" s="126"/>
    </row>
    <row r="1901" spans="14:14" x14ac:dyDescent="0.35">
      <c r="N1901" s="126"/>
    </row>
    <row r="1902" spans="14:14" x14ac:dyDescent="0.35">
      <c r="N1902" s="126"/>
    </row>
    <row r="1903" spans="14:14" x14ac:dyDescent="0.35">
      <c r="N1903" s="126"/>
    </row>
    <row r="1904" spans="14:14" x14ac:dyDescent="0.35">
      <c r="N1904" s="126"/>
    </row>
    <row r="1905" spans="14:14" x14ac:dyDescent="0.35">
      <c r="N1905" s="126"/>
    </row>
    <row r="1906" spans="14:14" x14ac:dyDescent="0.35">
      <c r="N1906" s="126"/>
    </row>
    <row r="1907" spans="14:14" x14ac:dyDescent="0.35">
      <c r="N1907" s="126"/>
    </row>
    <row r="1908" spans="14:14" x14ac:dyDescent="0.35">
      <c r="N1908" s="126"/>
    </row>
    <row r="1909" spans="14:14" x14ac:dyDescent="0.35">
      <c r="N1909" s="126"/>
    </row>
    <row r="1910" spans="14:14" x14ac:dyDescent="0.35">
      <c r="N1910" s="126"/>
    </row>
    <row r="1911" spans="14:14" x14ac:dyDescent="0.35">
      <c r="N1911" s="126"/>
    </row>
    <row r="1912" spans="14:14" x14ac:dyDescent="0.35">
      <c r="N1912" s="126"/>
    </row>
    <row r="1913" spans="14:14" x14ac:dyDescent="0.35">
      <c r="N1913" s="126"/>
    </row>
    <row r="1914" spans="14:14" x14ac:dyDescent="0.35">
      <c r="N1914" s="126"/>
    </row>
    <row r="1915" spans="14:14" x14ac:dyDescent="0.35">
      <c r="N1915" s="126"/>
    </row>
    <row r="1916" spans="14:14" x14ac:dyDescent="0.35">
      <c r="N1916" s="126"/>
    </row>
    <row r="1917" spans="14:14" x14ac:dyDescent="0.35">
      <c r="N1917" s="126"/>
    </row>
    <row r="1918" spans="14:14" x14ac:dyDescent="0.35">
      <c r="N1918" s="126"/>
    </row>
    <row r="1919" spans="14:14" x14ac:dyDescent="0.35">
      <c r="N1919" s="126"/>
    </row>
    <row r="1920" spans="14:14" x14ac:dyDescent="0.35">
      <c r="N1920" s="126"/>
    </row>
    <row r="1921" spans="14:14" x14ac:dyDescent="0.35">
      <c r="N1921" s="126"/>
    </row>
    <row r="1922" spans="14:14" x14ac:dyDescent="0.35">
      <c r="N1922" s="126"/>
    </row>
    <row r="1923" spans="14:14" x14ac:dyDescent="0.35">
      <c r="N1923" s="126"/>
    </row>
    <row r="1924" spans="14:14" x14ac:dyDescent="0.35">
      <c r="N1924" s="126"/>
    </row>
    <row r="1925" spans="14:14" x14ac:dyDescent="0.35">
      <c r="N1925" s="126"/>
    </row>
    <row r="1926" spans="14:14" x14ac:dyDescent="0.35">
      <c r="N1926" s="126"/>
    </row>
    <row r="1927" spans="14:14" x14ac:dyDescent="0.35">
      <c r="N1927" s="126"/>
    </row>
    <row r="1928" spans="14:14" x14ac:dyDescent="0.35">
      <c r="N1928" s="126"/>
    </row>
    <row r="1929" spans="14:14" x14ac:dyDescent="0.35">
      <c r="N1929" s="126"/>
    </row>
    <row r="1930" spans="14:14" x14ac:dyDescent="0.35">
      <c r="N1930" s="126"/>
    </row>
    <row r="1931" spans="14:14" x14ac:dyDescent="0.35">
      <c r="N1931" s="126"/>
    </row>
    <row r="1932" spans="14:14" x14ac:dyDescent="0.35">
      <c r="N1932" s="126"/>
    </row>
    <row r="1933" spans="14:14" x14ac:dyDescent="0.35">
      <c r="N1933" s="126"/>
    </row>
    <row r="1934" spans="14:14" x14ac:dyDescent="0.35">
      <c r="N1934" s="126"/>
    </row>
    <row r="1935" spans="14:14" x14ac:dyDescent="0.35">
      <c r="N1935" s="126"/>
    </row>
    <row r="1936" spans="14:14" x14ac:dyDescent="0.35">
      <c r="N1936" s="126"/>
    </row>
    <row r="1937" spans="14:14" x14ac:dyDescent="0.35">
      <c r="N1937" s="126"/>
    </row>
    <row r="1938" spans="14:14" x14ac:dyDescent="0.35">
      <c r="N1938" s="126"/>
    </row>
    <row r="1939" spans="14:14" x14ac:dyDescent="0.35">
      <c r="N1939" s="126"/>
    </row>
    <row r="1940" spans="14:14" x14ac:dyDescent="0.35">
      <c r="N1940" s="126"/>
    </row>
    <row r="1941" spans="14:14" x14ac:dyDescent="0.35">
      <c r="N1941" s="126"/>
    </row>
    <row r="1942" spans="14:14" x14ac:dyDescent="0.35">
      <c r="N1942" s="126"/>
    </row>
    <row r="1943" spans="14:14" x14ac:dyDescent="0.35">
      <c r="N1943" s="126"/>
    </row>
    <row r="1944" spans="14:14" x14ac:dyDescent="0.35">
      <c r="N1944" s="126"/>
    </row>
    <row r="1945" spans="14:14" x14ac:dyDescent="0.35">
      <c r="N1945" s="126"/>
    </row>
    <row r="1946" spans="14:14" x14ac:dyDescent="0.35">
      <c r="N1946" s="126"/>
    </row>
    <row r="1947" spans="14:14" x14ac:dyDescent="0.35">
      <c r="N1947" s="126"/>
    </row>
    <row r="1948" spans="14:14" x14ac:dyDescent="0.35">
      <c r="N1948" s="126"/>
    </row>
    <row r="1949" spans="14:14" x14ac:dyDescent="0.35">
      <c r="N1949" s="126"/>
    </row>
    <row r="1950" spans="14:14" x14ac:dyDescent="0.35">
      <c r="N1950" s="126"/>
    </row>
    <row r="1951" spans="14:14" x14ac:dyDescent="0.35">
      <c r="N1951" s="126"/>
    </row>
    <row r="1952" spans="14:14" x14ac:dyDescent="0.35">
      <c r="N1952" s="126"/>
    </row>
    <row r="1953" spans="14:14" x14ac:dyDescent="0.35">
      <c r="N1953" s="126"/>
    </row>
    <row r="1954" spans="14:14" x14ac:dyDescent="0.35">
      <c r="N1954" s="126"/>
    </row>
    <row r="1955" spans="14:14" x14ac:dyDescent="0.35">
      <c r="N1955" s="126"/>
    </row>
    <row r="1956" spans="14:14" x14ac:dyDescent="0.35">
      <c r="N1956" s="126"/>
    </row>
    <row r="1957" spans="14:14" x14ac:dyDescent="0.35">
      <c r="N1957" s="126"/>
    </row>
    <row r="1958" spans="14:14" x14ac:dyDescent="0.35">
      <c r="N1958" s="126"/>
    </row>
    <row r="1959" spans="14:14" x14ac:dyDescent="0.35">
      <c r="N1959" s="126"/>
    </row>
    <row r="1960" spans="14:14" x14ac:dyDescent="0.35">
      <c r="N1960" s="126"/>
    </row>
    <row r="1961" spans="14:14" x14ac:dyDescent="0.35">
      <c r="N1961" s="126"/>
    </row>
    <row r="1962" spans="14:14" x14ac:dyDescent="0.35">
      <c r="N1962" s="126"/>
    </row>
    <row r="1963" spans="14:14" x14ac:dyDescent="0.35">
      <c r="N1963" s="126"/>
    </row>
    <row r="1964" spans="14:14" x14ac:dyDescent="0.35">
      <c r="N1964" s="126"/>
    </row>
    <row r="1965" spans="14:14" x14ac:dyDescent="0.35">
      <c r="N1965" s="126"/>
    </row>
    <row r="1966" spans="14:14" x14ac:dyDescent="0.35">
      <c r="N1966" s="126"/>
    </row>
    <row r="1967" spans="14:14" x14ac:dyDescent="0.35">
      <c r="N1967" s="126"/>
    </row>
    <row r="1968" spans="14:14" x14ac:dyDescent="0.35">
      <c r="N1968" s="126"/>
    </row>
    <row r="1969" spans="14:14" x14ac:dyDescent="0.35">
      <c r="N1969" s="126"/>
    </row>
    <row r="1970" spans="14:14" x14ac:dyDescent="0.35">
      <c r="N1970" s="126"/>
    </row>
    <row r="1971" spans="14:14" x14ac:dyDescent="0.35">
      <c r="N1971" s="126"/>
    </row>
    <row r="1972" spans="14:14" x14ac:dyDescent="0.35">
      <c r="N1972" s="126"/>
    </row>
    <row r="1973" spans="14:14" x14ac:dyDescent="0.35">
      <c r="N1973" s="126"/>
    </row>
    <row r="1974" spans="14:14" x14ac:dyDescent="0.35">
      <c r="N1974" s="126"/>
    </row>
    <row r="1975" spans="14:14" x14ac:dyDescent="0.35">
      <c r="N1975" s="126"/>
    </row>
    <row r="1976" spans="14:14" x14ac:dyDescent="0.35">
      <c r="N1976" s="126"/>
    </row>
    <row r="1977" spans="14:14" x14ac:dyDescent="0.35">
      <c r="N1977" s="126"/>
    </row>
    <row r="1978" spans="14:14" x14ac:dyDescent="0.35">
      <c r="N1978" s="126"/>
    </row>
    <row r="1979" spans="14:14" x14ac:dyDescent="0.35">
      <c r="N1979" s="126"/>
    </row>
    <row r="1980" spans="14:14" x14ac:dyDescent="0.35">
      <c r="N1980" s="126"/>
    </row>
    <row r="1981" spans="14:14" x14ac:dyDescent="0.35">
      <c r="N1981" s="126"/>
    </row>
    <row r="1982" spans="14:14" x14ac:dyDescent="0.35">
      <c r="N1982" s="126"/>
    </row>
    <row r="1983" spans="14:14" x14ac:dyDescent="0.35">
      <c r="N1983" s="126"/>
    </row>
    <row r="1984" spans="14:14" x14ac:dyDescent="0.35">
      <c r="N1984" s="126"/>
    </row>
    <row r="1985" spans="14:14" x14ac:dyDescent="0.35">
      <c r="N1985" s="126"/>
    </row>
    <row r="1986" spans="14:14" x14ac:dyDescent="0.35">
      <c r="N1986" s="126"/>
    </row>
    <row r="1987" spans="14:14" x14ac:dyDescent="0.35">
      <c r="N1987" s="126"/>
    </row>
    <row r="1988" spans="14:14" x14ac:dyDescent="0.35">
      <c r="N1988" s="126"/>
    </row>
    <row r="1989" spans="14:14" x14ac:dyDescent="0.35">
      <c r="N1989" s="126"/>
    </row>
    <row r="1990" spans="14:14" x14ac:dyDescent="0.35">
      <c r="N1990" s="126"/>
    </row>
    <row r="1991" spans="14:14" x14ac:dyDescent="0.35">
      <c r="N1991" s="126"/>
    </row>
    <row r="1992" spans="14:14" x14ac:dyDescent="0.35">
      <c r="N1992" s="126"/>
    </row>
    <row r="1993" spans="14:14" x14ac:dyDescent="0.35">
      <c r="N1993" s="126"/>
    </row>
    <row r="1994" spans="14:14" x14ac:dyDescent="0.35">
      <c r="N1994" s="126"/>
    </row>
    <row r="1995" spans="14:14" x14ac:dyDescent="0.35">
      <c r="N1995" s="126"/>
    </row>
    <row r="1996" spans="14:14" x14ac:dyDescent="0.35">
      <c r="N1996" s="126"/>
    </row>
    <row r="1997" spans="14:14" x14ac:dyDescent="0.35">
      <c r="N1997" s="126"/>
    </row>
    <row r="1998" spans="14:14" x14ac:dyDescent="0.35">
      <c r="N1998" s="126"/>
    </row>
    <row r="1999" spans="14:14" x14ac:dyDescent="0.35">
      <c r="N1999" s="126"/>
    </row>
    <row r="2000" spans="14:14" x14ac:dyDescent="0.35">
      <c r="N2000" s="126"/>
    </row>
    <row r="2001" spans="14:14" x14ac:dyDescent="0.35">
      <c r="N2001" s="126"/>
    </row>
    <row r="2002" spans="14:14" x14ac:dyDescent="0.35">
      <c r="N2002" s="126"/>
    </row>
    <row r="2003" spans="14:14" x14ac:dyDescent="0.35">
      <c r="N2003" s="126"/>
    </row>
    <row r="2004" spans="14:14" x14ac:dyDescent="0.35">
      <c r="N2004" s="126"/>
    </row>
    <row r="2005" spans="14:14" x14ac:dyDescent="0.35">
      <c r="N2005" s="126"/>
    </row>
    <row r="2006" spans="14:14" x14ac:dyDescent="0.35">
      <c r="N2006" s="126"/>
    </row>
    <row r="2007" spans="14:14" x14ac:dyDescent="0.35">
      <c r="N2007" s="126"/>
    </row>
    <row r="2008" spans="14:14" x14ac:dyDescent="0.35">
      <c r="N2008" s="126"/>
    </row>
    <row r="2009" spans="14:14" x14ac:dyDescent="0.35">
      <c r="N2009" s="126"/>
    </row>
    <row r="2010" spans="14:14" x14ac:dyDescent="0.35">
      <c r="N2010" s="126"/>
    </row>
    <row r="2011" spans="14:14" x14ac:dyDescent="0.35">
      <c r="N2011" s="126"/>
    </row>
    <row r="2012" spans="14:14" x14ac:dyDescent="0.35">
      <c r="N2012" s="126"/>
    </row>
    <row r="2013" spans="14:14" x14ac:dyDescent="0.35">
      <c r="N2013" s="126"/>
    </row>
    <row r="2014" spans="14:14" x14ac:dyDescent="0.35">
      <c r="N2014" s="126"/>
    </row>
    <row r="2015" spans="14:14" x14ac:dyDescent="0.35">
      <c r="N2015" s="126"/>
    </row>
    <row r="2016" spans="14:14" x14ac:dyDescent="0.35">
      <c r="N2016" s="126"/>
    </row>
    <row r="2017" spans="14:14" x14ac:dyDescent="0.35">
      <c r="N2017" s="126"/>
    </row>
    <row r="2018" spans="14:14" x14ac:dyDescent="0.35">
      <c r="N2018" s="126"/>
    </row>
    <row r="2019" spans="14:14" x14ac:dyDescent="0.35">
      <c r="N2019" s="126"/>
    </row>
    <row r="2020" spans="14:14" x14ac:dyDescent="0.35">
      <c r="N2020" s="126"/>
    </row>
    <row r="2021" spans="14:14" x14ac:dyDescent="0.35">
      <c r="N2021" s="126"/>
    </row>
    <row r="2022" spans="14:14" x14ac:dyDescent="0.35">
      <c r="N2022" s="126"/>
    </row>
    <row r="2023" spans="14:14" x14ac:dyDescent="0.35">
      <c r="N2023" s="126"/>
    </row>
    <row r="2024" spans="14:14" x14ac:dyDescent="0.35">
      <c r="N2024" s="126"/>
    </row>
    <row r="2025" spans="14:14" x14ac:dyDescent="0.35">
      <c r="N2025" s="126"/>
    </row>
    <row r="2026" spans="14:14" x14ac:dyDescent="0.35">
      <c r="N2026" s="126"/>
    </row>
    <row r="2027" spans="14:14" x14ac:dyDescent="0.35">
      <c r="N2027" s="126"/>
    </row>
    <row r="2028" spans="14:14" x14ac:dyDescent="0.35">
      <c r="N2028" s="126"/>
    </row>
    <row r="2029" spans="14:14" x14ac:dyDescent="0.35">
      <c r="N2029" s="126"/>
    </row>
    <row r="2030" spans="14:14" x14ac:dyDescent="0.35">
      <c r="N2030" s="126"/>
    </row>
    <row r="2031" spans="14:14" x14ac:dyDescent="0.35">
      <c r="N2031" s="126"/>
    </row>
    <row r="2032" spans="14:14" x14ac:dyDescent="0.35">
      <c r="N2032" s="126"/>
    </row>
    <row r="2033" spans="14:14" x14ac:dyDescent="0.35">
      <c r="N2033" s="126"/>
    </row>
    <row r="2034" spans="14:14" x14ac:dyDescent="0.35">
      <c r="N2034" s="126"/>
    </row>
    <row r="2035" spans="14:14" x14ac:dyDescent="0.35">
      <c r="N2035" s="126"/>
    </row>
    <row r="2036" spans="14:14" x14ac:dyDescent="0.35">
      <c r="N2036" s="126"/>
    </row>
    <row r="2037" spans="14:14" x14ac:dyDescent="0.35">
      <c r="N2037" s="126"/>
    </row>
    <row r="2038" spans="14:14" x14ac:dyDescent="0.35">
      <c r="N2038" s="126"/>
    </row>
    <row r="2039" spans="14:14" x14ac:dyDescent="0.35">
      <c r="N2039" s="126"/>
    </row>
    <row r="2040" spans="14:14" x14ac:dyDescent="0.35">
      <c r="N2040" s="126"/>
    </row>
    <row r="2041" spans="14:14" x14ac:dyDescent="0.35">
      <c r="N2041" s="126"/>
    </row>
    <row r="2042" spans="14:14" x14ac:dyDescent="0.35">
      <c r="N2042" s="126"/>
    </row>
    <row r="2043" spans="14:14" x14ac:dyDescent="0.35">
      <c r="N2043" s="126"/>
    </row>
    <row r="2044" spans="14:14" x14ac:dyDescent="0.35">
      <c r="N2044" s="126"/>
    </row>
    <row r="2045" spans="14:14" x14ac:dyDescent="0.35">
      <c r="N2045" s="126"/>
    </row>
    <row r="2046" spans="14:14" x14ac:dyDescent="0.35">
      <c r="N2046" s="126"/>
    </row>
    <row r="2047" spans="14:14" x14ac:dyDescent="0.35">
      <c r="N2047" s="126"/>
    </row>
    <row r="2048" spans="14:14" x14ac:dyDescent="0.35">
      <c r="N2048" s="126"/>
    </row>
    <row r="2049" spans="14:14" x14ac:dyDescent="0.35">
      <c r="N2049" s="126"/>
    </row>
    <row r="2050" spans="14:14" x14ac:dyDescent="0.35">
      <c r="N2050" s="126"/>
    </row>
    <row r="2051" spans="14:14" x14ac:dyDescent="0.35">
      <c r="N2051" s="126"/>
    </row>
    <row r="2052" spans="14:14" x14ac:dyDescent="0.35">
      <c r="N2052" s="126"/>
    </row>
    <row r="2053" spans="14:14" x14ac:dyDescent="0.35">
      <c r="N2053" s="126"/>
    </row>
    <row r="2054" spans="14:14" x14ac:dyDescent="0.35">
      <c r="N2054" s="126"/>
    </row>
    <row r="2055" spans="14:14" x14ac:dyDescent="0.35">
      <c r="N2055" s="126"/>
    </row>
    <row r="2056" spans="14:14" x14ac:dyDescent="0.35">
      <c r="N2056" s="126"/>
    </row>
    <row r="2057" spans="14:14" x14ac:dyDescent="0.35">
      <c r="N2057" s="126"/>
    </row>
    <row r="2058" spans="14:14" x14ac:dyDescent="0.35">
      <c r="N2058" s="126"/>
    </row>
    <row r="2059" spans="14:14" x14ac:dyDescent="0.35">
      <c r="N2059" s="126"/>
    </row>
    <row r="2060" spans="14:14" x14ac:dyDescent="0.35">
      <c r="N2060" s="126"/>
    </row>
    <row r="2061" spans="14:14" x14ac:dyDescent="0.35">
      <c r="N2061" s="126"/>
    </row>
    <row r="2062" spans="14:14" x14ac:dyDescent="0.35">
      <c r="N2062" s="126"/>
    </row>
    <row r="2063" spans="14:14" x14ac:dyDescent="0.35">
      <c r="N2063" s="126"/>
    </row>
    <row r="2064" spans="14:14" x14ac:dyDescent="0.35">
      <c r="N2064" s="126"/>
    </row>
    <row r="2065" spans="14:14" x14ac:dyDescent="0.35">
      <c r="N2065" s="126"/>
    </row>
    <row r="2066" spans="14:14" x14ac:dyDescent="0.35">
      <c r="N2066" s="126"/>
    </row>
    <row r="2067" spans="14:14" x14ac:dyDescent="0.35">
      <c r="N2067" s="126"/>
    </row>
    <row r="2068" spans="14:14" x14ac:dyDescent="0.35">
      <c r="N2068" s="126"/>
    </row>
    <row r="2069" spans="14:14" x14ac:dyDescent="0.35">
      <c r="N2069" s="126"/>
    </row>
    <row r="2070" spans="14:14" x14ac:dyDescent="0.35">
      <c r="N2070" s="126"/>
    </row>
    <row r="2071" spans="14:14" x14ac:dyDescent="0.35">
      <c r="N2071" s="126"/>
    </row>
    <row r="2072" spans="14:14" x14ac:dyDescent="0.35">
      <c r="N2072" s="126"/>
    </row>
    <row r="2073" spans="14:14" x14ac:dyDescent="0.35">
      <c r="N2073" s="126"/>
    </row>
    <row r="2074" spans="14:14" x14ac:dyDescent="0.35">
      <c r="N2074" s="126"/>
    </row>
    <row r="2075" spans="14:14" x14ac:dyDescent="0.35">
      <c r="N2075" s="126"/>
    </row>
    <row r="2076" spans="14:14" x14ac:dyDescent="0.35">
      <c r="N2076" s="126"/>
    </row>
    <row r="2077" spans="14:14" x14ac:dyDescent="0.35">
      <c r="N2077" s="126"/>
    </row>
    <row r="2078" spans="14:14" x14ac:dyDescent="0.35">
      <c r="N2078" s="126"/>
    </row>
    <row r="2079" spans="14:14" x14ac:dyDescent="0.35">
      <c r="N2079" s="126"/>
    </row>
    <row r="2080" spans="14:14" x14ac:dyDescent="0.35">
      <c r="N2080" s="126"/>
    </row>
    <row r="2081" spans="14:14" x14ac:dyDescent="0.35">
      <c r="N2081" s="126"/>
    </row>
    <row r="2082" spans="14:14" x14ac:dyDescent="0.35">
      <c r="N2082" s="126"/>
    </row>
    <row r="2083" spans="14:14" x14ac:dyDescent="0.35">
      <c r="N2083" s="126"/>
    </row>
    <row r="2084" spans="14:14" x14ac:dyDescent="0.35">
      <c r="N2084" s="126"/>
    </row>
    <row r="2085" spans="14:14" x14ac:dyDescent="0.35">
      <c r="N2085" s="126"/>
    </row>
    <row r="2086" spans="14:14" x14ac:dyDescent="0.35">
      <c r="N2086" s="126"/>
    </row>
    <row r="2087" spans="14:14" x14ac:dyDescent="0.35">
      <c r="N2087" s="126"/>
    </row>
    <row r="2088" spans="14:14" x14ac:dyDescent="0.35">
      <c r="N2088" s="126"/>
    </row>
    <row r="2089" spans="14:14" x14ac:dyDescent="0.35">
      <c r="N2089" s="126"/>
    </row>
    <row r="2090" spans="14:14" x14ac:dyDescent="0.35">
      <c r="N2090" s="126"/>
    </row>
    <row r="2091" spans="14:14" x14ac:dyDescent="0.35">
      <c r="N2091" s="126"/>
    </row>
    <row r="2092" spans="14:14" x14ac:dyDescent="0.35">
      <c r="N2092" s="126"/>
    </row>
    <row r="2093" spans="14:14" x14ac:dyDescent="0.35">
      <c r="N2093" s="126"/>
    </row>
    <row r="2094" spans="14:14" x14ac:dyDescent="0.35">
      <c r="N2094" s="126"/>
    </row>
    <row r="2095" spans="14:14" x14ac:dyDescent="0.35">
      <c r="N2095" s="126"/>
    </row>
    <row r="2096" spans="14:14" x14ac:dyDescent="0.35">
      <c r="N2096" s="126"/>
    </row>
    <row r="2097" spans="14:14" x14ac:dyDescent="0.35">
      <c r="N2097" s="126"/>
    </row>
    <row r="2098" spans="14:14" x14ac:dyDescent="0.35">
      <c r="N2098" s="126"/>
    </row>
    <row r="2099" spans="14:14" x14ac:dyDescent="0.35">
      <c r="N2099" s="126"/>
    </row>
    <row r="2100" spans="14:14" x14ac:dyDescent="0.35">
      <c r="N2100" s="126"/>
    </row>
    <row r="2101" spans="14:14" x14ac:dyDescent="0.35">
      <c r="N2101" s="126"/>
    </row>
    <row r="2102" spans="14:14" x14ac:dyDescent="0.35">
      <c r="N2102" s="126"/>
    </row>
    <row r="2103" spans="14:14" x14ac:dyDescent="0.35">
      <c r="N2103" s="126"/>
    </row>
    <row r="2104" spans="14:14" x14ac:dyDescent="0.35">
      <c r="N2104" s="126"/>
    </row>
    <row r="2105" spans="14:14" x14ac:dyDescent="0.35">
      <c r="N2105" s="126"/>
    </row>
    <row r="2106" spans="14:14" x14ac:dyDescent="0.35">
      <c r="N2106" s="126"/>
    </row>
    <row r="2107" spans="14:14" x14ac:dyDescent="0.35">
      <c r="N2107" s="126"/>
    </row>
    <row r="2108" spans="14:14" x14ac:dyDescent="0.35">
      <c r="N2108" s="126"/>
    </row>
    <row r="2109" spans="14:14" x14ac:dyDescent="0.35">
      <c r="N2109" s="126"/>
    </row>
    <row r="2110" spans="14:14" x14ac:dyDescent="0.35">
      <c r="N2110" s="126"/>
    </row>
    <row r="2111" spans="14:14" x14ac:dyDescent="0.35">
      <c r="N2111" s="126"/>
    </row>
    <row r="2112" spans="14:14" x14ac:dyDescent="0.35">
      <c r="N2112" s="126"/>
    </row>
    <row r="2113" spans="14:14" x14ac:dyDescent="0.35">
      <c r="N2113" s="126"/>
    </row>
    <row r="2114" spans="14:14" x14ac:dyDescent="0.35">
      <c r="N2114" s="126"/>
    </row>
    <row r="2115" spans="14:14" x14ac:dyDescent="0.35">
      <c r="N2115" s="126"/>
    </row>
    <row r="2116" spans="14:14" x14ac:dyDescent="0.35">
      <c r="N2116" s="126"/>
    </row>
    <row r="2117" spans="14:14" x14ac:dyDescent="0.35">
      <c r="N2117" s="126"/>
    </row>
    <row r="2118" spans="14:14" x14ac:dyDescent="0.35">
      <c r="N2118" s="126"/>
    </row>
    <row r="2119" spans="14:14" x14ac:dyDescent="0.35">
      <c r="N2119" s="126"/>
    </row>
    <row r="2120" spans="14:14" x14ac:dyDescent="0.35">
      <c r="N2120" s="126"/>
    </row>
    <row r="2121" spans="14:14" x14ac:dyDescent="0.35">
      <c r="N2121" s="126"/>
    </row>
    <row r="2122" spans="14:14" x14ac:dyDescent="0.35">
      <c r="N2122" s="126"/>
    </row>
    <row r="2123" spans="14:14" x14ac:dyDescent="0.35">
      <c r="N2123" s="126"/>
    </row>
    <row r="2124" spans="14:14" x14ac:dyDescent="0.35">
      <c r="N2124" s="126"/>
    </row>
    <row r="2125" spans="14:14" x14ac:dyDescent="0.35">
      <c r="N2125" s="126"/>
    </row>
    <row r="2126" spans="14:14" x14ac:dyDescent="0.35">
      <c r="N2126" s="126"/>
    </row>
    <row r="2127" spans="14:14" x14ac:dyDescent="0.35">
      <c r="N2127" s="126"/>
    </row>
    <row r="2128" spans="14:14" x14ac:dyDescent="0.35">
      <c r="N2128" s="126"/>
    </row>
    <row r="2129" spans="14:14" x14ac:dyDescent="0.35">
      <c r="N2129" s="126"/>
    </row>
    <row r="2130" spans="14:14" x14ac:dyDescent="0.35">
      <c r="N2130" s="126"/>
    </row>
    <row r="2131" spans="14:14" x14ac:dyDescent="0.35">
      <c r="N2131" s="126"/>
    </row>
    <row r="2132" spans="14:14" x14ac:dyDescent="0.35">
      <c r="N2132" s="126"/>
    </row>
    <row r="2133" spans="14:14" x14ac:dyDescent="0.35">
      <c r="N2133" s="126"/>
    </row>
    <row r="2134" spans="14:14" x14ac:dyDescent="0.35">
      <c r="N2134" s="126"/>
    </row>
    <row r="2135" spans="14:14" x14ac:dyDescent="0.35">
      <c r="N2135" s="126"/>
    </row>
    <row r="2136" spans="14:14" x14ac:dyDescent="0.35">
      <c r="N2136" s="126"/>
    </row>
    <row r="2137" spans="14:14" x14ac:dyDescent="0.35">
      <c r="N2137" s="126"/>
    </row>
    <row r="2138" spans="14:14" x14ac:dyDescent="0.35">
      <c r="N2138" s="126"/>
    </row>
    <row r="2139" spans="14:14" x14ac:dyDescent="0.35">
      <c r="N2139" s="126"/>
    </row>
    <row r="2140" spans="14:14" x14ac:dyDescent="0.35">
      <c r="N2140" s="126"/>
    </row>
    <row r="2141" spans="14:14" x14ac:dyDescent="0.35">
      <c r="N2141" s="126"/>
    </row>
    <row r="2142" spans="14:14" x14ac:dyDescent="0.35">
      <c r="N2142" s="126"/>
    </row>
    <row r="2143" spans="14:14" x14ac:dyDescent="0.35">
      <c r="N2143" s="126"/>
    </row>
    <row r="2144" spans="14:14" x14ac:dyDescent="0.35">
      <c r="N2144" s="126"/>
    </row>
    <row r="2145" spans="14:14" x14ac:dyDescent="0.35">
      <c r="N2145" s="126"/>
    </row>
    <row r="2146" spans="14:14" x14ac:dyDescent="0.35">
      <c r="N2146" s="126"/>
    </row>
    <row r="2147" spans="14:14" x14ac:dyDescent="0.35">
      <c r="N2147" s="126"/>
    </row>
    <row r="2148" spans="14:14" x14ac:dyDescent="0.35">
      <c r="N2148" s="126"/>
    </row>
    <row r="2149" spans="14:14" x14ac:dyDescent="0.35">
      <c r="N2149" s="126"/>
    </row>
    <row r="2150" spans="14:14" x14ac:dyDescent="0.35">
      <c r="N2150" s="126"/>
    </row>
    <row r="2151" spans="14:14" x14ac:dyDescent="0.35">
      <c r="N2151" s="126"/>
    </row>
    <row r="2152" spans="14:14" x14ac:dyDescent="0.35">
      <c r="N2152" s="126"/>
    </row>
    <row r="2153" spans="14:14" x14ac:dyDescent="0.35">
      <c r="N2153" s="126"/>
    </row>
    <row r="2154" spans="14:14" x14ac:dyDescent="0.35">
      <c r="N2154" s="126"/>
    </row>
    <row r="2155" spans="14:14" x14ac:dyDescent="0.35">
      <c r="N2155" s="126"/>
    </row>
    <row r="2156" spans="14:14" x14ac:dyDescent="0.35">
      <c r="N2156" s="126"/>
    </row>
    <row r="2157" spans="14:14" x14ac:dyDescent="0.35">
      <c r="N2157" s="126"/>
    </row>
    <row r="2158" spans="14:14" x14ac:dyDescent="0.35">
      <c r="N2158" s="126"/>
    </row>
    <row r="2159" spans="14:14" x14ac:dyDescent="0.35">
      <c r="N2159" s="126"/>
    </row>
    <row r="2160" spans="14:14" x14ac:dyDescent="0.35">
      <c r="N2160" s="126"/>
    </row>
    <row r="2161" spans="14:14" x14ac:dyDescent="0.35">
      <c r="N2161" s="126"/>
    </row>
    <row r="2162" spans="14:14" x14ac:dyDescent="0.35">
      <c r="N2162" s="126"/>
    </row>
    <row r="2163" spans="14:14" x14ac:dyDescent="0.35">
      <c r="N2163" s="126"/>
    </row>
    <row r="2164" spans="14:14" x14ac:dyDescent="0.35">
      <c r="N2164" s="126"/>
    </row>
    <row r="2165" spans="14:14" x14ac:dyDescent="0.35">
      <c r="N2165" s="126"/>
    </row>
    <row r="2166" spans="14:14" x14ac:dyDescent="0.35">
      <c r="N2166" s="126"/>
    </row>
    <row r="2167" spans="14:14" x14ac:dyDescent="0.35">
      <c r="N2167" s="126"/>
    </row>
    <row r="2168" spans="14:14" x14ac:dyDescent="0.35">
      <c r="N2168" s="126"/>
    </row>
    <row r="2169" spans="14:14" x14ac:dyDescent="0.35">
      <c r="N2169" s="126"/>
    </row>
    <row r="2170" spans="14:14" x14ac:dyDescent="0.35">
      <c r="N2170" s="126"/>
    </row>
    <row r="2171" spans="14:14" x14ac:dyDescent="0.35">
      <c r="N2171" s="126"/>
    </row>
    <row r="2172" spans="14:14" x14ac:dyDescent="0.35">
      <c r="N2172" s="126"/>
    </row>
    <row r="2173" spans="14:14" x14ac:dyDescent="0.35">
      <c r="N2173" s="126"/>
    </row>
    <row r="2174" spans="14:14" x14ac:dyDescent="0.35">
      <c r="N2174" s="126"/>
    </row>
    <row r="2175" spans="14:14" x14ac:dyDescent="0.35">
      <c r="N2175" s="126"/>
    </row>
    <row r="2176" spans="14:14" x14ac:dyDescent="0.35">
      <c r="N2176" s="126"/>
    </row>
    <row r="2177" spans="14:14" x14ac:dyDescent="0.35">
      <c r="N2177" s="126"/>
    </row>
    <row r="2178" spans="14:14" x14ac:dyDescent="0.35">
      <c r="N2178" s="126"/>
    </row>
    <row r="2179" spans="14:14" x14ac:dyDescent="0.35">
      <c r="N2179" s="126"/>
    </row>
    <row r="2180" spans="14:14" x14ac:dyDescent="0.35">
      <c r="N2180" s="126"/>
    </row>
    <row r="2181" spans="14:14" x14ac:dyDescent="0.35">
      <c r="N2181" s="126"/>
    </row>
    <row r="2182" spans="14:14" x14ac:dyDescent="0.35">
      <c r="N2182" s="126"/>
    </row>
    <row r="2183" spans="14:14" x14ac:dyDescent="0.35">
      <c r="N2183" s="126"/>
    </row>
    <row r="2184" spans="14:14" x14ac:dyDescent="0.35">
      <c r="N2184" s="126"/>
    </row>
    <row r="2185" spans="14:14" x14ac:dyDescent="0.35">
      <c r="N2185" s="126"/>
    </row>
    <row r="2186" spans="14:14" x14ac:dyDescent="0.35">
      <c r="N2186" s="126"/>
    </row>
    <row r="2187" spans="14:14" x14ac:dyDescent="0.35">
      <c r="N2187" s="126"/>
    </row>
    <row r="2188" spans="14:14" x14ac:dyDescent="0.35">
      <c r="N2188" s="126"/>
    </row>
    <row r="2189" spans="14:14" x14ac:dyDescent="0.35">
      <c r="N2189" s="126"/>
    </row>
    <row r="2190" spans="14:14" x14ac:dyDescent="0.35">
      <c r="N2190" s="126"/>
    </row>
    <row r="2191" spans="14:14" x14ac:dyDescent="0.35">
      <c r="N2191" s="126"/>
    </row>
    <row r="2192" spans="14:14" x14ac:dyDescent="0.35">
      <c r="N2192" s="126"/>
    </row>
    <row r="2193" spans="14:14" x14ac:dyDescent="0.35">
      <c r="N2193" s="126"/>
    </row>
    <row r="2194" spans="14:14" x14ac:dyDescent="0.35">
      <c r="N2194" s="126"/>
    </row>
    <row r="2195" spans="14:14" x14ac:dyDescent="0.35">
      <c r="N2195" s="126"/>
    </row>
    <row r="2196" spans="14:14" x14ac:dyDescent="0.35">
      <c r="N2196" s="126"/>
    </row>
    <row r="2197" spans="14:14" x14ac:dyDescent="0.35">
      <c r="N2197" s="126"/>
    </row>
    <row r="2198" spans="14:14" x14ac:dyDescent="0.35">
      <c r="N2198" s="126"/>
    </row>
    <row r="2199" spans="14:14" x14ac:dyDescent="0.35">
      <c r="N2199" s="126"/>
    </row>
    <row r="2200" spans="14:14" x14ac:dyDescent="0.35">
      <c r="N2200" s="126"/>
    </row>
    <row r="2201" spans="14:14" x14ac:dyDescent="0.35">
      <c r="N2201" s="126"/>
    </row>
    <row r="2202" spans="14:14" x14ac:dyDescent="0.35">
      <c r="N2202" s="126"/>
    </row>
    <row r="2203" spans="14:14" x14ac:dyDescent="0.35">
      <c r="N2203" s="126"/>
    </row>
    <row r="2204" spans="14:14" x14ac:dyDescent="0.35">
      <c r="N2204" s="126"/>
    </row>
    <row r="2205" spans="14:14" x14ac:dyDescent="0.35">
      <c r="N2205" s="126"/>
    </row>
    <row r="2206" spans="14:14" x14ac:dyDescent="0.35">
      <c r="N2206" s="126"/>
    </row>
    <row r="2207" spans="14:14" x14ac:dyDescent="0.35">
      <c r="N2207" s="126"/>
    </row>
    <row r="2208" spans="14:14" x14ac:dyDescent="0.35">
      <c r="N2208" s="126"/>
    </row>
    <row r="2209" spans="14:14" x14ac:dyDescent="0.35">
      <c r="N2209" s="126"/>
    </row>
    <row r="2210" spans="14:14" x14ac:dyDescent="0.35">
      <c r="N2210" s="126"/>
    </row>
    <row r="2211" spans="14:14" x14ac:dyDescent="0.35">
      <c r="N2211" s="126"/>
    </row>
    <row r="2212" spans="14:14" x14ac:dyDescent="0.35">
      <c r="N2212" s="126"/>
    </row>
    <row r="2213" spans="14:14" x14ac:dyDescent="0.35">
      <c r="N2213" s="126"/>
    </row>
    <row r="2214" spans="14:14" x14ac:dyDescent="0.35">
      <c r="N2214" s="126"/>
    </row>
    <row r="2215" spans="14:14" x14ac:dyDescent="0.35">
      <c r="N2215" s="126"/>
    </row>
    <row r="2216" spans="14:14" x14ac:dyDescent="0.35">
      <c r="N2216" s="126"/>
    </row>
    <row r="2217" spans="14:14" x14ac:dyDescent="0.35">
      <c r="N2217" s="126"/>
    </row>
    <row r="2218" spans="14:14" x14ac:dyDescent="0.35">
      <c r="N2218" s="126"/>
    </row>
    <row r="2219" spans="14:14" x14ac:dyDescent="0.35">
      <c r="N2219" s="126"/>
    </row>
    <row r="2220" spans="14:14" x14ac:dyDescent="0.35">
      <c r="N2220" s="126"/>
    </row>
    <row r="2221" spans="14:14" x14ac:dyDescent="0.35">
      <c r="N2221" s="126"/>
    </row>
    <row r="2222" spans="14:14" x14ac:dyDescent="0.35">
      <c r="N2222" s="126"/>
    </row>
    <row r="2223" spans="14:14" x14ac:dyDescent="0.35">
      <c r="N2223" s="126"/>
    </row>
    <row r="2224" spans="14:14" x14ac:dyDescent="0.35">
      <c r="N2224" s="126"/>
    </row>
    <row r="2225" spans="14:14" x14ac:dyDescent="0.35">
      <c r="N2225" s="126"/>
    </row>
    <row r="2226" spans="14:14" x14ac:dyDescent="0.35">
      <c r="N2226" s="126"/>
    </row>
    <row r="2227" spans="14:14" x14ac:dyDescent="0.35">
      <c r="N2227" s="126"/>
    </row>
    <row r="2228" spans="14:14" x14ac:dyDescent="0.35">
      <c r="N2228" s="126"/>
    </row>
    <row r="2229" spans="14:14" x14ac:dyDescent="0.35">
      <c r="N2229" s="126"/>
    </row>
    <row r="2230" spans="14:14" x14ac:dyDescent="0.35">
      <c r="N2230" s="126"/>
    </row>
    <row r="2231" spans="14:14" x14ac:dyDescent="0.35">
      <c r="N2231" s="126"/>
    </row>
    <row r="2232" spans="14:14" x14ac:dyDescent="0.35">
      <c r="N2232" s="126"/>
    </row>
    <row r="2233" spans="14:14" x14ac:dyDescent="0.35">
      <c r="N2233" s="126"/>
    </row>
    <row r="2234" spans="14:14" x14ac:dyDescent="0.35">
      <c r="N2234" s="126"/>
    </row>
    <row r="2235" spans="14:14" x14ac:dyDescent="0.35">
      <c r="N2235" s="126"/>
    </row>
    <row r="2236" spans="14:14" x14ac:dyDescent="0.35">
      <c r="N2236" s="126"/>
    </row>
    <row r="2237" spans="14:14" x14ac:dyDescent="0.35">
      <c r="N2237" s="126"/>
    </row>
    <row r="2238" spans="14:14" x14ac:dyDescent="0.35">
      <c r="N2238" s="126"/>
    </row>
    <row r="2239" spans="14:14" x14ac:dyDescent="0.35">
      <c r="N2239" s="126"/>
    </row>
    <row r="2240" spans="14:14" x14ac:dyDescent="0.35">
      <c r="N2240" s="126"/>
    </row>
    <row r="2241" spans="14:14" x14ac:dyDescent="0.35">
      <c r="N2241" s="126"/>
    </row>
    <row r="2242" spans="14:14" x14ac:dyDescent="0.35">
      <c r="N2242" s="126"/>
    </row>
    <row r="2243" spans="14:14" x14ac:dyDescent="0.35">
      <c r="N2243" s="126"/>
    </row>
    <row r="2244" spans="14:14" x14ac:dyDescent="0.35">
      <c r="N2244" s="126"/>
    </row>
    <row r="2245" spans="14:14" x14ac:dyDescent="0.35">
      <c r="N2245" s="126"/>
    </row>
    <row r="2246" spans="14:14" x14ac:dyDescent="0.35">
      <c r="N2246" s="126"/>
    </row>
    <row r="2247" spans="14:14" x14ac:dyDescent="0.35">
      <c r="N2247" s="126"/>
    </row>
    <row r="2248" spans="14:14" x14ac:dyDescent="0.35">
      <c r="N2248" s="126"/>
    </row>
    <row r="2249" spans="14:14" x14ac:dyDescent="0.35">
      <c r="N2249" s="126"/>
    </row>
    <row r="2250" spans="14:14" x14ac:dyDescent="0.35">
      <c r="N2250" s="126"/>
    </row>
    <row r="2251" spans="14:14" x14ac:dyDescent="0.35">
      <c r="N2251" s="126"/>
    </row>
    <row r="2252" spans="14:14" x14ac:dyDescent="0.35">
      <c r="N2252" s="126"/>
    </row>
    <row r="2253" spans="14:14" x14ac:dyDescent="0.35">
      <c r="N2253" s="126"/>
    </row>
    <row r="2254" spans="14:14" x14ac:dyDescent="0.35">
      <c r="N2254" s="126"/>
    </row>
    <row r="2255" spans="14:14" x14ac:dyDescent="0.35">
      <c r="N2255" s="126"/>
    </row>
    <row r="2256" spans="14:14" x14ac:dyDescent="0.35">
      <c r="N2256" s="126"/>
    </row>
    <row r="2257" spans="14:14" x14ac:dyDescent="0.35">
      <c r="N2257" s="126"/>
    </row>
    <row r="2258" spans="14:14" x14ac:dyDescent="0.35">
      <c r="N2258" s="126"/>
    </row>
    <row r="2259" spans="14:14" x14ac:dyDescent="0.35">
      <c r="N2259" s="126"/>
    </row>
    <row r="2260" spans="14:14" x14ac:dyDescent="0.35">
      <c r="N2260" s="126"/>
    </row>
    <row r="2261" spans="14:14" x14ac:dyDescent="0.35">
      <c r="N2261" s="126"/>
    </row>
    <row r="2262" spans="14:14" x14ac:dyDescent="0.35">
      <c r="N2262" s="126"/>
    </row>
    <row r="2263" spans="14:14" x14ac:dyDescent="0.35">
      <c r="N2263" s="126"/>
    </row>
    <row r="2264" spans="14:14" x14ac:dyDescent="0.35">
      <c r="N2264" s="126"/>
    </row>
    <row r="2265" spans="14:14" x14ac:dyDescent="0.35">
      <c r="N2265" s="126"/>
    </row>
    <row r="2266" spans="14:14" x14ac:dyDescent="0.35">
      <c r="N2266" s="126"/>
    </row>
    <row r="2267" spans="14:14" x14ac:dyDescent="0.35">
      <c r="N2267" s="126"/>
    </row>
    <row r="2268" spans="14:14" x14ac:dyDescent="0.35">
      <c r="N2268" s="126"/>
    </row>
    <row r="2269" spans="14:14" x14ac:dyDescent="0.35">
      <c r="N2269" s="126"/>
    </row>
    <row r="2270" spans="14:14" x14ac:dyDescent="0.35">
      <c r="N2270" s="126"/>
    </row>
    <row r="2271" spans="14:14" x14ac:dyDescent="0.35">
      <c r="N2271" s="126"/>
    </row>
    <row r="2272" spans="14:14" x14ac:dyDescent="0.35">
      <c r="N2272" s="126"/>
    </row>
    <row r="2273" spans="14:14" x14ac:dyDescent="0.35">
      <c r="N2273" s="126"/>
    </row>
    <row r="2274" spans="14:14" x14ac:dyDescent="0.35">
      <c r="N2274" s="126"/>
    </row>
    <row r="2275" spans="14:14" x14ac:dyDescent="0.35">
      <c r="N2275" s="126"/>
    </row>
    <row r="2276" spans="14:14" x14ac:dyDescent="0.35">
      <c r="N2276" s="126"/>
    </row>
    <row r="2277" spans="14:14" x14ac:dyDescent="0.35">
      <c r="N2277" s="126"/>
    </row>
    <row r="2278" spans="14:14" x14ac:dyDescent="0.35">
      <c r="N2278" s="126"/>
    </row>
    <row r="2279" spans="14:14" x14ac:dyDescent="0.35">
      <c r="N2279" s="126"/>
    </row>
    <row r="2280" spans="14:14" x14ac:dyDescent="0.35">
      <c r="N2280" s="126"/>
    </row>
    <row r="2281" spans="14:14" x14ac:dyDescent="0.35">
      <c r="N2281" s="126"/>
    </row>
    <row r="2282" spans="14:14" x14ac:dyDescent="0.35">
      <c r="N2282" s="126"/>
    </row>
    <row r="2283" spans="14:14" x14ac:dyDescent="0.35">
      <c r="N2283" s="126"/>
    </row>
    <row r="2284" spans="14:14" x14ac:dyDescent="0.35">
      <c r="N2284" s="126"/>
    </row>
    <row r="2285" spans="14:14" x14ac:dyDescent="0.35">
      <c r="N2285" s="126"/>
    </row>
    <row r="2286" spans="14:14" x14ac:dyDescent="0.35">
      <c r="N2286" s="126"/>
    </row>
    <row r="2287" spans="14:14" x14ac:dyDescent="0.35">
      <c r="N2287" s="126"/>
    </row>
    <row r="2288" spans="14:14" x14ac:dyDescent="0.35">
      <c r="N2288" s="126"/>
    </row>
    <row r="2289" spans="14:14" x14ac:dyDescent="0.35">
      <c r="N2289" s="126"/>
    </row>
    <row r="2290" spans="14:14" x14ac:dyDescent="0.35">
      <c r="N2290" s="126"/>
    </row>
    <row r="2291" spans="14:14" x14ac:dyDescent="0.35">
      <c r="N2291" s="126"/>
    </row>
    <row r="2292" spans="14:14" x14ac:dyDescent="0.35">
      <c r="N2292" s="126"/>
    </row>
    <row r="2293" spans="14:14" x14ac:dyDescent="0.35">
      <c r="N2293" s="126"/>
    </row>
    <row r="2294" spans="14:14" x14ac:dyDescent="0.35">
      <c r="N2294" s="126"/>
    </row>
    <row r="2295" spans="14:14" x14ac:dyDescent="0.35">
      <c r="N2295" s="126"/>
    </row>
    <row r="2296" spans="14:14" x14ac:dyDescent="0.35">
      <c r="N2296" s="126"/>
    </row>
    <row r="2297" spans="14:14" x14ac:dyDescent="0.35">
      <c r="N2297" s="126"/>
    </row>
    <row r="2298" spans="14:14" x14ac:dyDescent="0.35">
      <c r="N2298" s="126"/>
    </row>
    <row r="2299" spans="14:14" x14ac:dyDescent="0.35">
      <c r="N2299" s="126"/>
    </row>
    <row r="2300" spans="14:14" x14ac:dyDescent="0.35">
      <c r="N2300" s="126"/>
    </row>
    <row r="2301" spans="14:14" x14ac:dyDescent="0.35">
      <c r="N2301" s="126"/>
    </row>
    <row r="2302" spans="14:14" x14ac:dyDescent="0.35">
      <c r="N2302" s="126"/>
    </row>
    <row r="2303" spans="14:14" x14ac:dyDescent="0.35">
      <c r="N2303" s="126"/>
    </row>
    <row r="2304" spans="14:14" x14ac:dyDescent="0.35">
      <c r="N2304" s="126"/>
    </row>
    <row r="2305" spans="14:14" x14ac:dyDescent="0.35">
      <c r="N2305" s="126"/>
    </row>
    <row r="2306" spans="14:14" x14ac:dyDescent="0.35">
      <c r="N2306" s="126"/>
    </row>
    <row r="2307" spans="14:14" x14ac:dyDescent="0.35">
      <c r="N2307" s="126"/>
    </row>
    <row r="2308" spans="14:14" x14ac:dyDescent="0.35">
      <c r="N2308" s="126"/>
    </row>
    <row r="2309" spans="14:14" x14ac:dyDescent="0.35">
      <c r="N2309" s="126"/>
    </row>
    <row r="2310" spans="14:14" x14ac:dyDescent="0.35">
      <c r="N2310" s="126"/>
    </row>
    <row r="2311" spans="14:14" x14ac:dyDescent="0.35">
      <c r="N2311" s="126"/>
    </row>
    <row r="2312" spans="14:14" x14ac:dyDescent="0.35">
      <c r="N2312" s="126"/>
    </row>
    <row r="2313" spans="14:14" x14ac:dyDescent="0.35">
      <c r="N2313" s="126"/>
    </row>
    <row r="2314" spans="14:14" x14ac:dyDescent="0.35">
      <c r="N2314" s="126"/>
    </row>
    <row r="2315" spans="14:14" x14ac:dyDescent="0.35">
      <c r="N2315" s="126"/>
    </row>
    <row r="2316" spans="14:14" x14ac:dyDescent="0.35">
      <c r="N2316" s="126"/>
    </row>
    <row r="2317" spans="14:14" x14ac:dyDescent="0.35">
      <c r="N2317" s="126"/>
    </row>
    <row r="2318" spans="14:14" x14ac:dyDescent="0.35">
      <c r="N2318" s="126"/>
    </row>
    <row r="2319" spans="14:14" x14ac:dyDescent="0.35">
      <c r="N2319" s="126"/>
    </row>
    <row r="2320" spans="14:14" x14ac:dyDescent="0.35">
      <c r="N2320" s="126"/>
    </row>
    <row r="2321" spans="14:14" x14ac:dyDescent="0.35">
      <c r="N2321" s="126"/>
    </row>
    <row r="2322" spans="14:14" x14ac:dyDescent="0.35">
      <c r="N2322" s="126"/>
    </row>
    <row r="2323" spans="14:14" x14ac:dyDescent="0.35">
      <c r="N2323" s="126"/>
    </row>
    <row r="2324" spans="14:14" x14ac:dyDescent="0.35">
      <c r="N2324" s="126"/>
    </row>
    <row r="2325" spans="14:14" x14ac:dyDescent="0.35">
      <c r="N2325" s="126"/>
    </row>
    <row r="2326" spans="14:14" x14ac:dyDescent="0.35">
      <c r="N2326" s="126"/>
    </row>
    <row r="2327" spans="14:14" x14ac:dyDescent="0.35">
      <c r="N2327" s="126"/>
    </row>
    <row r="2328" spans="14:14" x14ac:dyDescent="0.35">
      <c r="N2328" s="126"/>
    </row>
    <row r="2329" spans="14:14" x14ac:dyDescent="0.35">
      <c r="N2329" s="126"/>
    </row>
    <row r="2330" spans="14:14" x14ac:dyDescent="0.35">
      <c r="N2330" s="126"/>
    </row>
    <row r="2331" spans="14:14" x14ac:dyDescent="0.35">
      <c r="N2331" s="126"/>
    </row>
    <row r="2332" spans="14:14" x14ac:dyDescent="0.35">
      <c r="N2332" s="126"/>
    </row>
    <row r="2333" spans="14:14" x14ac:dyDescent="0.35">
      <c r="N2333" s="126"/>
    </row>
    <row r="2334" spans="14:14" x14ac:dyDescent="0.35">
      <c r="N2334" s="126"/>
    </row>
    <row r="2335" spans="14:14" x14ac:dyDescent="0.35">
      <c r="N2335" s="126"/>
    </row>
    <row r="2336" spans="14:14" x14ac:dyDescent="0.35">
      <c r="N2336" s="126"/>
    </row>
    <row r="2337" spans="14:14" x14ac:dyDescent="0.35">
      <c r="N2337" s="126"/>
    </row>
    <row r="2338" spans="14:14" x14ac:dyDescent="0.35">
      <c r="N2338" s="126"/>
    </row>
    <row r="2339" spans="14:14" x14ac:dyDescent="0.35">
      <c r="N2339" s="126"/>
    </row>
    <row r="2340" spans="14:14" x14ac:dyDescent="0.35">
      <c r="N2340" s="126"/>
    </row>
    <row r="2341" spans="14:14" x14ac:dyDescent="0.35">
      <c r="N2341" s="126"/>
    </row>
    <row r="2342" spans="14:14" x14ac:dyDescent="0.35">
      <c r="N2342" s="126"/>
    </row>
    <row r="2343" spans="14:14" x14ac:dyDescent="0.35">
      <c r="N2343" s="126"/>
    </row>
    <row r="2344" spans="14:14" x14ac:dyDescent="0.35">
      <c r="N2344" s="126"/>
    </row>
    <row r="2345" spans="14:14" x14ac:dyDescent="0.35">
      <c r="N2345" s="126"/>
    </row>
    <row r="2346" spans="14:14" x14ac:dyDescent="0.35">
      <c r="N2346" s="126"/>
    </row>
    <row r="2347" spans="14:14" x14ac:dyDescent="0.35">
      <c r="N2347" s="126"/>
    </row>
    <row r="2348" spans="14:14" x14ac:dyDescent="0.35">
      <c r="N2348" s="126"/>
    </row>
    <row r="2349" spans="14:14" x14ac:dyDescent="0.35">
      <c r="N2349" s="126"/>
    </row>
    <row r="2350" spans="14:14" x14ac:dyDescent="0.35">
      <c r="N2350" s="126"/>
    </row>
    <row r="2351" spans="14:14" x14ac:dyDescent="0.35">
      <c r="N2351" s="126"/>
    </row>
    <row r="2352" spans="14:14" x14ac:dyDescent="0.35">
      <c r="N2352" s="126"/>
    </row>
    <row r="2353" spans="14:14" x14ac:dyDescent="0.35">
      <c r="N2353" s="126"/>
    </row>
    <row r="2354" spans="14:14" x14ac:dyDescent="0.35">
      <c r="N2354" s="126"/>
    </row>
    <row r="2355" spans="14:14" x14ac:dyDescent="0.35">
      <c r="N2355" s="126"/>
    </row>
    <row r="2356" spans="14:14" x14ac:dyDescent="0.35">
      <c r="N2356" s="126"/>
    </row>
    <row r="2357" spans="14:14" x14ac:dyDescent="0.35">
      <c r="N2357" s="126"/>
    </row>
    <row r="2358" spans="14:14" x14ac:dyDescent="0.35">
      <c r="N2358" s="126"/>
    </row>
    <row r="2359" spans="14:14" x14ac:dyDescent="0.35">
      <c r="N2359" s="126"/>
    </row>
    <row r="2360" spans="14:14" x14ac:dyDescent="0.35">
      <c r="N2360" s="126"/>
    </row>
    <row r="2361" spans="14:14" x14ac:dyDescent="0.35">
      <c r="N2361" s="126"/>
    </row>
    <row r="2362" spans="14:14" x14ac:dyDescent="0.35">
      <c r="N2362" s="126"/>
    </row>
    <row r="2363" spans="14:14" x14ac:dyDescent="0.35">
      <c r="N2363" s="126"/>
    </row>
    <row r="2364" spans="14:14" x14ac:dyDescent="0.35">
      <c r="N2364" s="126"/>
    </row>
    <row r="2365" spans="14:14" x14ac:dyDescent="0.35">
      <c r="N2365" s="126"/>
    </row>
    <row r="2366" spans="14:14" x14ac:dyDescent="0.35">
      <c r="N2366" s="126"/>
    </row>
    <row r="2367" spans="14:14" x14ac:dyDescent="0.35">
      <c r="N2367" s="126"/>
    </row>
    <row r="2368" spans="14:14" x14ac:dyDescent="0.35">
      <c r="N2368" s="126"/>
    </row>
    <row r="2369" spans="14:14" x14ac:dyDescent="0.35">
      <c r="N2369" s="126"/>
    </row>
    <row r="2370" spans="14:14" x14ac:dyDescent="0.35">
      <c r="N2370" s="126"/>
    </row>
    <row r="2371" spans="14:14" x14ac:dyDescent="0.35">
      <c r="N2371" s="126"/>
    </row>
    <row r="2372" spans="14:14" x14ac:dyDescent="0.35">
      <c r="N2372" s="126"/>
    </row>
    <row r="2373" spans="14:14" x14ac:dyDescent="0.35">
      <c r="N2373" s="126"/>
    </row>
    <row r="2374" spans="14:14" x14ac:dyDescent="0.35">
      <c r="N2374" s="126"/>
    </row>
    <row r="2375" spans="14:14" x14ac:dyDescent="0.35">
      <c r="N2375" s="126"/>
    </row>
    <row r="2376" spans="14:14" x14ac:dyDescent="0.35">
      <c r="N2376" s="126"/>
    </row>
    <row r="2377" spans="14:14" x14ac:dyDescent="0.35">
      <c r="N2377" s="126"/>
    </row>
    <row r="2378" spans="14:14" x14ac:dyDescent="0.35">
      <c r="N2378" s="126"/>
    </row>
    <row r="2379" spans="14:14" x14ac:dyDescent="0.35">
      <c r="N2379" s="126"/>
    </row>
    <row r="2380" spans="14:14" x14ac:dyDescent="0.35">
      <c r="N2380" s="126"/>
    </row>
    <row r="2381" spans="14:14" x14ac:dyDescent="0.35">
      <c r="N2381" s="126"/>
    </row>
    <row r="2382" spans="14:14" x14ac:dyDescent="0.35">
      <c r="N2382" s="126"/>
    </row>
    <row r="2383" spans="14:14" x14ac:dyDescent="0.35">
      <c r="N2383" s="126"/>
    </row>
    <row r="2384" spans="14:14" x14ac:dyDescent="0.35">
      <c r="N2384" s="126"/>
    </row>
    <row r="2385" spans="14:14" x14ac:dyDescent="0.35">
      <c r="N2385" s="126"/>
    </row>
    <row r="2386" spans="14:14" x14ac:dyDescent="0.35">
      <c r="N2386" s="126"/>
    </row>
    <row r="2387" spans="14:14" x14ac:dyDescent="0.35">
      <c r="N2387" s="126"/>
    </row>
    <row r="2388" spans="14:14" x14ac:dyDescent="0.35">
      <c r="N2388" s="126"/>
    </row>
    <row r="2389" spans="14:14" x14ac:dyDescent="0.35">
      <c r="N2389" s="126"/>
    </row>
    <row r="2390" spans="14:14" x14ac:dyDescent="0.35">
      <c r="N2390" s="126"/>
    </row>
    <row r="2391" spans="14:14" x14ac:dyDescent="0.35">
      <c r="N2391" s="126"/>
    </row>
    <row r="2392" spans="14:14" x14ac:dyDescent="0.35">
      <c r="N2392" s="126"/>
    </row>
    <row r="2393" spans="14:14" x14ac:dyDescent="0.35">
      <c r="N2393" s="126"/>
    </row>
    <row r="2394" spans="14:14" x14ac:dyDescent="0.35">
      <c r="N2394" s="126"/>
    </row>
    <row r="2395" spans="14:14" x14ac:dyDescent="0.35">
      <c r="N2395" s="126"/>
    </row>
    <row r="2396" spans="14:14" x14ac:dyDescent="0.35">
      <c r="N2396" s="126"/>
    </row>
    <row r="2397" spans="14:14" x14ac:dyDescent="0.35">
      <c r="N2397" s="126"/>
    </row>
    <row r="2398" spans="14:14" x14ac:dyDescent="0.35">
      <c r="N2398" s="126"/>
    </row>
    <row r="2399" spans="14:14" x14ac:dyDescent="0.35">
      <c r="N2399" s="126"/>
    </row>
    <row r="2400" spans="14:14" x14ac:dyDescent="0.35">
      <c r="N2400" s="126"/>
    </row>
    <row r="2401" spans="14:14" x14ac:dyDescent="0.35">
      <c r="N2401" s="126"/>
    </row>
    <row r="2402" spans="14:14" x14ac:dyDescent="0.35">
      <c r="N2402" s="126"/>
    </row>
    <row r="2403" spans="14:14" x14ac:dyDescent="0.35">
      <c r="N2403" s="126"/>
    </row>
    <row r="2404" spans="14:14" x14ac:dyDescent="0.35">
      <c r="N2404" s="126"/>
    </row>
    <row r="2405" spans="14:14" x14ac:dyDescent="0.35">
      <c r="N2405" s="126"/>
    </row>
    <row r="2406" spans="14:14" x14ac:dyDescent="0.35">
      <c r="N2406" s="126"/>
    </row>
    <row r="2407" spans="14:14" x14ac:dyDescent="0.35">
      <c r="N2407" s="126"/>
    </row>
    <row r="2408" spans="14:14" x14ac:dyDescent="0.35">
      <c r="N2408" s="126"/>
    </row>
    <row r="2409" spans="14:14" x14ac:dyDescent="0.35">
      <c r="N2409" s="126"/>
    </row>
    <row r="2410" spans="14:14" x14ac:dyDescent="0.35">
      <c r="N2410" s="126"/>
    </row>
    <row r="2411" spans="14:14" x14ac:dyDescent="0.35">
      <c r="N2411" s="126"/>
    </row>
    <row r="2412" spans="14:14" x14ac:dyDescent="0.35">
      <c r="N2412" s="126"/>
    </row>
    <row r="2413" spans="14:14" x14ac:dyDescent="0.35">
      <c r="N2413" s="126"/>
    </row>
    <row r="2414" spans="14:14" x14ac:dyDescent="0.35">
      <c r="N2414" s="126"/>
    </row>
    <row r="2415" spans="14:14" x14ac:dyDescent="0.35">
      <c r="N2415" s="126"/>
    </row>
    <row r="2416" spans="14:14" x14ac:dyDescent="0.35">
      <c r="N2416" s="126"/>
    </row>
    <row r="2417" spans="14:14" x14ac:dyDescent="0.35">
      <c r="N2417" s="126"/>
    </row>
    <row r="2418" spans="14:14" x14ac:dyDescent="0.35">
      <c r="N2418" s="126"/>
    </row>
    <row r="2419" spans="14:14" x14ac:dyDescent="0.35">
      <c r="N2419" s="126"/>
    </row>
    <row r="2420" spans="14:14" x14ac:dyDescent="0.35">
      <c r="N2420" s="126"/>
    </row>
    <row r="2421" spans="14:14" x14ac:dyDescent="0.35">
      <c r="N2421" s="126"/>
    </row>
    <row r="2422" spans="14:14" x14ac:dyDescent="0.35">
      <c r="N2422" s="126"/>
    </row>
    <row r="2423" spans="14:14" x14ac:dyDescent="0.35">
      <c r="N2423" s="126"/>
    </row>
    <row r="2424" spans="14:14" x14ac:dyDescent="0.35">
      <c r="N2424" s="126"/>
    </row>
    <row r="2425" spans="14:14" x14ac:dyDescent="0.35">
      <c r="N2425" s="126"/>
    </row>
    <row r="2426" spans="14:14" x14ac:dyDescent="0.35">
      <c r="N2426" s="126"/>
    </row>
    <row r="2427" spans="14:14" x14ac:dyDescent="0.35">
      <c r="N2427" s="126"/>
    </row>
    <row r="2428" spans="14:14" x14ac:dyDescent="0.35">
      <c r="N2428" s="126"/>
    </row>
    <row r="2429" spans="14:14" x14ac:dyDescent="0.35">
      <c r="N2429" s="126"/>
    </row>
    <row r="2430" spans="14:14" x14ac:dyDescent="0.35">
      <c r="N2430" s="126"/>
    </row>
    <row r="2431" spans="14:14" x14ac:dyDescent="0.35">
      <c r="N2431" s="126"/>
    </row>
    <row r="2432" spans="14:14" x14ac:dyDescent="0.35">
      <c r="N2432" s="126"/>
    </row>
    <row r="2433" spans="14:14" x14ac:dyDescent="0.35">
      <c r="N2433" s="126"/>
    </row>
    <row r="2434" spans="14:14" x14ac:dyDescent="0.35">
      <c r="N2434" s="126"/>
    </row>
    <row r="2435" spans="14:14" x14ac:dyDescent="0.35">
      <c r="N2435" s="126"/>
    </row>
    <row r="2436" spans="14:14" x14ac:dyDescent="0.35">
      <c r="N2436" s="126"/>
    </row>
    <row r="2437" spans="14:14" x14ac:dyDescent="0.35">
      <c r="N2437" s="126"/>
    </row>
    <row r="2438" spans="14:14" x14ac:dyDescent="0.35">
      <c r="N2438" s="126"/>
    </row>
    <row r="2439" spans="14:14" x14ac:dyDescent="0.35">
      <c r="N2439" s="126"/>
    </row>
    <row r="2440" spans="14:14" x14ac:dyDescent="0.35">
      <c r="N2440" s="126"/>
    </row>
    <row r="2441" spans="14:14" x14ac:dyDescent="0.35">
      <c r="N2441" s="126"/>
    </row>
    <row r="2442" spans="14:14" x14ac:dyDescent="0.35">
      <c r="N2442" s="126"/>
    </row>
    <row r="2443" spans="14:14" x14ac:dyDescent="0.35">
      <c r="N2443" s="126"/>
    </row>
    <row r="2444" spans="14:14" x14ac:dyDescent="0.35">
      <c r="N2444" s="126"/>
    </row>
    <row r="2445" spans="14:14" x14ac:dyDescent="0.35">
      <c r="N2445" s="126"/>
    </row>
    <row r="2446" spans="14:14" x14ac:dyDescent="0.35">
      <c r="N2446" s="126"/>
    </row>
    <row r="2447" spans="14:14" x14ac:dyDescent="0.35">
      <c r="N2447" s="126"/>
    </row>
    <row r="2448" spans="14:14" x14ac:dyDescent="0.35">
      <c r="N2448" s="126"/>
    </row>
    <row r="2449" spans="14:14" x14ac:dyDescent="0.35">
      <c r="N2449" s="126"/>
    </row>
    <row r="2450" spans="14:14" x14ac:dyDescent="0.35">
      <c r="N2450" s="126"/>
    </row>
    <row r="2451" spans="14:14" x14ac:dyDescent="0.35">
      <c r="N2451" s="126"/>
    </row>
    <row r="2452" spans="14:14" x14ac:dyDescent="0.35">
      <c r="N2452" s="126"/>
    </row>
    <row r="2453" spans="14:14" x14ac:dyDescent="0.35">
      <c r="N2453" s="126"/>
    </row>
    <row r="2454" spans="14:14" x14ac:dyDescent="0.35">
      <c r="N2454" s="126"/>
    </row>
    <row r="2455" spans="14:14" x14ac:dyDescent="0.35">
      <c r="N2455" s="126"/>
    </row>
    <row r="2456" spans="14:14" x14ac:dyDescent="0.35">
      <c r="N2456" s="126"/>
    </row>
    <row r="2457" spans="14:14" x14ac:dyDescent="0.35">
      <c r="N2457" s="126"/>
    </row>
    <row r="2458" spans="14:14" x14ac:dyDescent="0.35">
      <c r="N2458" s="126"/>
    </row>
    <row r="2459" spans="14:14" x14ac:dyDescent="0.35">
      <c r="N2459" s="126"/>
    </row>
    <row r="2460" spans="14:14" x14ac:dyDescent="0.35">
      <c r="N2460" s="126"/>
    </row>
    <row r="2461" spans="14:14" x14ac:dyDescent="0.35">
      <c r="N2461" s="126"/>
    </row>
    <row r="2462" spans="14:14" x14ac:dyDescent="0.35">
      <c r="N2462" s="126"/>
    </row>
    <row r="2463" spans="14:14" x14ac:dyDescent="0.35">
      <c r="N2463" s="126"/>
    </row>
    <row r="2464" spans="14:14" x14ac:dyDescent="0.35">
      <c r="N2464" s="126"/>
    </row>
    <row r="2465" spans="14:14" x14ac:dyDescent="0.35">
      <c r="N2465" s="126"/>
    </row>
    <row r="2466" spans="14:14" x14ac:dyDescent="0.35">
      <c r="N2466" s="126"/>
    </row>
    <row r="2467" spans="14:14" x14ac:dyDescent="0.35">
      <c r="N2467" s="126"/>
    </row>
    <row r="2468" spans="14:14" x14ac:dyDescent="0.35">
      <c r="N2468" s="126"/>
    </row>
    <row r="2469" spans="14:14" x14ac:dyDescent="0.35">
      <c r="N2469" s="126"/>
    </row>
    <row r="2470" spans="14:14" x14ac:dyDescent="0.35">
      <c r="N2470" s="126"/>
    </row>
    <row r="2471" spans="14:14" x14ac:dyDescent="0.35">
      <c r="N2471" s="126"/>
    </row>
    <row r="2472" spans="14:14" x14ac:dyDescent="0.35">
      <c r="N2472" s="126"/>
    </row>
    <row r="2473" spans="14:14" x14ac:dyDescent="0.35">
      <c r="N2473" s="126"/>
    </row>
    <row r="2474" spans="14:14" x14ac:dyDescent="0.35">
      <c r="N2474" s="126"/>
    </row>
    <row r="2475" spans="14:14" x14ac:dyDescent="0.35">
      <c r="N2475" s="126"/>
    </row>
    <row r="2476" spans="14:14" x14ac:dyDescent="0.35">
      <c r="N2476" s="126"/>
    </row>
    <row r="2477" spans="14:14" x14ac:dyDescent="0.35">
      <c r="N2477" s="126"/>
    </row>
    <row r="2478" spans="14:14" x14ac:dyDescent="0.35">
      <c r="N2478" s="126"/>
    </row>
    <row r="2479" spans="14:14" x14ac:dyDescent="0.35">
      <c r="N2479" s="126"/>
    </row>
    <row r="2480" spans="14:14" x14ac:dyDescent="0.35">
      <c r="N2480" s="126"/>
    </row>
    <row r="2481" spans="14:14" x14ac:dyDescent="0.35">
      <c r="N2481" s="126"/>
    </row>
    <row r="2482" spans="14:14" x14ac:dyDescent="0.35">
      <c r="N2482" s="126"/>
    </row>
    <row r="2483" spans="14:14" x14ac:dyDescent="0.35">
      <c r="N2483" s="126"/>
    </row>
    <row r="2484" spans="14:14" x14ac:dyDescent="0.35">
      <c r="N2484" s="126"/>
    </row>
    <row r="2485" spans="14:14" x14ac:dyDescent="0.35">
      <c r="N2485" s="126"/>
    </row>
    <row r="2486" spans="14:14" x14ac:dyDescent="0.35">
      <c r="N2486" s="126"/>
    </row>
    <row r="2487" spans="14:14" x14ac:dyDescent="0.35">
      <c r="N2487" s="126"/>
    </row>
    <row r="2488" spans="14:14" x14ac:dyDescent="0.35">
      <c r="N2488" s="126"/>
    </row>
    <row r="2489" spans="14:14" x14ac:dyDescent="0.35">
      <c r="N2489" s="126"/>
    </row>
    <row r="2490" spans="14:14" x14ac:dyDescent="0.35">
      <c r="N2490" s="126"/>
    </row>
    <row r="2491" spans="14:14" x14ac:dyDescent="0.35">
      <c r="N2491" s="126"/>
    </row>
    <row r="2492" spans="14:14" x14ac:dyDescent="0.35">
      <c r="N2492" s="126"/>
    </row>
    <row r="2493" spans="14:14" x14ac:dyDescent="0.35">
      <c r="N2493" s="126"/>
    </row>
    <row r="2494" spans="14:14" x14ac:dyDescent="0.35">
      <c r="N2494" s="126"/>
    </row>
    <row r="2495" spans="14:14" x14ac:dyDescent="0.35">
      <c r="N2495" s="126"/>
    </row>
    <row r="2496" spans="14:14" x14ac:dyDescent="0.35">
      <c r="N2496" s="126"/>
    </row>
    <row r="2497" spans="14:14" x14ac:dyDescent="0.35">
      <c r="N2497" s="126"/>
    </row>
    <row r="2498" spans="14:14" x14ac:dyDescent="0.35">
      <c r="N2498" s="126"/>
    </row>
    <row r="2499" spans="14:14" x14ac:dyDescent="0.35">
      <c r="N2499" s="126"/>
    </row>
    <row r="2500" spans="14:14" x14ac:dyDescent="0.35">
      <c r="N2500" s="126"/>
    </row>
    <row r="2501" spans="14:14" x14ac:dyDescent="0.35">
      <c r="N2501" s="126"/>
    </row>
    <row r="2502" spans="14:14" x14ac:dyDescent="0.35">
      <c r="N2502" s="126"/>
    </row>
    <row r="2503" spans="14:14" x14ac:dyDescent="0.35">
      <c r="N2503" s="126"/>
    </row>
    <row r="2504" spans="14:14" x14ac:dyDescent="0.35">
      <c r="N2504" s="126"/>
    </row>
    <row r="2505" spans="14:14" x14ac:dyDescent="0.35">
      <c r="N2505" s="126"/>
    </row>
    <row r="2506" spans="14:14" x14ac:dyDescent="0.35">
      <c r="N2506" s="126"/>
    </row>
    <row r="2507" spans="14:14" x14ac:dyDescent="0.35">
      <c r="N2507" s="126"/>
    </row>
    <row r="2508" spans="14:14" x14ac:dyDescent="0.35">
      <c r="N2508" s="126"/>
    </row>
    <row r="2509" spans="14:14" x14ac:dyDescent="0.35">
      <c r="N2509" s="126"/>
    </row>
    <row r="2510" spans="14:14" x14ac:dyDescent="0.35">
      <c r="N2510" s="126"/>
    </row>
    <row r="2511" spans="14:14" x14ac:dyDescent="0.35">
      <c r="N2511" s="126"/>
    </row>
    <row r="2512" spans="14:14" x14ac:dyDescent="0.35">
      <c r="N2512" s="126"/>
    </row>
    <row r="2513" spans="14:14" x14ac:dyDescent="0.35">
      <c r="N2513" s="126"/>
    </row>
    <row r="2514" spans="14:14" x14ac:dyDescent="0.35">
      <c r="N2514" s="126"/>
    </row>
    <row r="2515" spans="14:14" x14ac:dyDescent="0.35">
      <c r="N2515" s="126"/>
    </row>
    <row r="2516" spans="14:14" x14ac:dyDescent="0.35">
      <c r="N2516" s="126"/>
    </row>
    <row r="2517" spans="14:14" x14ac:dyDescent="0.35">
      <c r="N2517" s="126"/>
    </row>
    <row r="2518" spans="14:14" x14ac:dyDescent="0.35">
      <c r="N2518" s="126"/>
    </row>
    <row r="2519" spans="14:14" x14ac:dyDescent="0.35">
      <c r="N2519" s="126"/>
    </row>
    <row r="2520" spans="14:14" x14ac:dyDescent="0.35">
      <c r="N2520" s="126"/>
    </row>
    <row r="2521" spans="14:14" x14ac:dyDescent="0.35">
      <c r="N2521" s="126"/>
    </row>
    <row r="2522" spans="14:14" x14ac:dyDescent="0.35">
      <c r="N2522" s="126"/>
    </row>
    <row r="2523" spans="14:14" x14ac:dyDescent="0.35">
      <c r="N2523" s="126"/>
    </row>
    <row r="2524" spans="14:14" x14ac:dyDescent="0.35">
      <c r="N2524" s="126"/>
    </row>
    <row r="2525" spans="14:14" x14ac:dyDescent="0.35">
      <c r="N2525" s="126"/>
    </row>
    <row r="2526" spans="14:14" x14ac:dyDescent="0.35">
      <c r="N2526" s="126"/>
    </row>
    <row r="2527" spans="14:14" x14ac:dyDescent="0.35">
      <c r="N2527" s="126"/>
    </row>
    <row r="2528" spans="14:14" x14ac:dyDescent="0.35">
      <c r="N2528" s="126"/>
    </row>
    <row r="2529" spans="14:14" x14ac:dyDescent="0.35">
      <c r="N2529" s="126"/>
    </row>
    <row r="2530" spans="14:14" x14ac:dyDescent="0.35">
      <c r="N2530" s="126"/>
    </row>
    <row r="2531" spans="14:14" x14ac:dyDescent="0.35">
      <c r="N2531" s="126"/>
    </row>
    <row r="2532" spans="14:14" x14ac:dyDescent="0.35">
      <c r="N2532" s="126"/>
    </row>
    <row r="2533" spans="14:14" x14ac:dyDescent="0.35">
      <c r="N2533" s="126"/>
    </row>
    <row r="2534" spans="14:14" x14ac:dyDescent="0.35">
      <c r="N2534" s="126"/>
    </row>
    <row r="2535" spans="14:14" x14ac:dyDescent="0.35">
      <c r="N2535" s="126"/>
    </row>
    <row r="2536" spans="14:14" x14ac:dyDescent="0.35">
      <c r="N2536" s="126"/>
    </row>
  </sheetData>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47829A"/>
  </sheetPr>
  <dimension ref="A1:R35085"/>
  <sheetViews>
    <sheetView zoomScale="55" zoomScaleNormal="55" workbookViewId="0">
      <selection activeCell="C73" sqref="C73"/>
    </sheetView>
  </sheetViews>
  <sheetFormatPr defaultColWidth="9" defaultRowHeight="14.5" x14ac:dyDescent="0.35"/>
  <cols>
    <col min="1" max="1" width="36.7265625" style="33" bestFit="1" customWidth="1"/>
    <col min="2" max="2" width="14.453125" style="33" bestFit="1" customWidth="1"/>
    <col min="3" max="3" width="23.1796875" style="33" customWidth="1"/>
    <col min="4" max="4" width="23.7265625" style="33" customWidth="1"/>
    <col min="5" max="5" width="27.81640625" style="33" customWidth="1"/>
    <col min="6" max="6" width="21.453125" style="33" customWidth="1"/>
    <col min="7" max="7" width="55.81640625" style="33" bestFit="1" customWidth="1"/>
    <col min="8" max="8" width="16.54296875" style="33" customWidth="1"/>
    <col min="9" max="9" width="19.26953125" style="33" bestFit="1" customWidth="1"/>
    <col min="10" max="12" width="9" style="33"/>
    <col min="13" max="13" width="9" style="33" customWidth="1"/>
    <col min="14" max="14" width="15.453125" style="33" bestFit="1" customWidth="1"/>
    <col min="15" max="16" width="9" style="33" customWidth="1"/>
    <col min="17" max="16384" width="9" style="33"/>
  </cols>
  <sheetData>
    <row r="1" spans="1:14" s="1" customFormat="1" ht="15.5" x14ac:dyDescent="0.35">
      <c r="A1" s="323" t="s">
        <v>509</v>
      </c>
    </row>
    <row r="2" spans="1:14" x14ac:dyDescent="0.35">
      <c r="N2" s="676"/>
    </row>
    <row r="3" spans="1:14" s="325" customFormat="1" x14ac:dyDescent="0.35">
      <c r="B3" s="325" t="s">
        <v>517</v>
      </c>
      <c r="C3" s="325" t="s">
        <v>129</v>
      </c>
      <c r="D3" s="325" t="s">
        <v>518</v>
      </c>
      <c r="E3" s="325" t="s">
        <v>519</v>
      </c>
      <c r="F3" s="325" t="s">
        <v>520</v>
      </c>
      <c r="G3" s="325" t="s">
        <v>521</v>
      </c>
      <c r="H3" s="325" t="s">
        <v>113</v>
      </c>
      <c r="I3" s="325" t="s">
        <v>522</v>
      </c>
      <c r="J3" s="325" t="s">
        <v>73</v>
      </c>
      <c r="N3" s="765"/>
    </row>
    <row r="4" spans="1:14" s="773" customFormat="1" x14ac:dyDescent="0.35">
      <c r="A4" s="3" t="s">
        <v>523</v>
      </c>
      <c r="B4" s="772">
        <v>678144</v>
      </c>
      <c r="C4" s="3">
        <v>6781440</v>
      </c>
      <c r="D4" s="3">
        <v>21192</v>
      </c>
      <c r="E4" s="3">
        <v>482955788.94254702</v>
      </c>
      <c r="F4" s="3">
        <v>2209238400</v>
      </c>
      <c r="G4" s="3">
        <v>14371227648</v>
      </c>
      <c r="H4" s="3">
        <v>1658046604.8000002</v>
      </c>
      <c r="I4" s="3">
        <v>18238512652.799999</v>
      </c>
      <c r="N4" s="774"/>
    </row>
    <row r="5" spans="1:14" s="773" customFormat="1" x14ac:dyDescent="0.35">
      <c r="A5" s="3" t="s">
        <v>524</v>
      </c>
      <c r="B5" s="772">
        <v>210656</v>
      </c>
      <c r="C5" s="3">
        <v>2106560</v>
      </c>
      <c r="D5" s="3">
        <v>42384</v>
      </c>
      <c r="E5" s="3">
        <v>378154890.36971003</v>
      </c>
      <c r="F5" s="3">
        <v>1895932400</v>
      </c>
      <c r="G5" s="3">
        <v>8928443904</v>
      </c>
      <c r="H5" s="3">
        <v>1082437630.4000001</v>
      </c>
      <c r="I5" s="3">
        <v>11906813934.4</v>
      </c>
      <c r="N5" s="774"/>
    </row>
    <row r="6" spans="1:14" s="3" customFormat="1" x14ac:dyDescent="0.35">
      <c r="A6" s="3" t="s">
        <v>525</v>
      </c>
      <c r="B6" s="772">
        <v>1890</v>
      </c>
      <c r="C6" s="3">
        <v>18900</v>
      </c>
      <c r="D6" s="3">
        <v>21192</v>
      </c>
      <c r="E6" s="3">
        <v>3590484.8779177302</v>
      </c>
      <c r="F6" s="3">
        <v>25890800</v>
      </c>
      <c r="G6" s="3">
        <v>40052880</v>
      </c>
      <c r="H6" s="3">
        <v>6594368</v>
      </c>
      <c r="I6" s="3">
        <v>72538048</v>
      </c>
      <c r="N6" s="775"/>
    </row>
    <row r="7" spans="1:14" s="3" customFormat="1" x14ac:dyDescent="0.35">
      <c r="A7" s="3" t="s">
        <v>526</v>
      </c>
      <c r="B7" s="772">
        <v>2076</v>
      </c>
      <c r="C7" s="3">
        <v>20760</v>
      </c>
      <c r="D7" s="3">
        <v>42384</v>
      </c>
      <c r="E7" s="3">
        <v>4718793.4826094657</v>
      </c>
      <c r="F7" s="3">
        <v>35199000</v>
      </c>
      <c r="G7" s="3">
        <v>87989184</v>
      </c>
      <c r="H7" s="3">
        <v>12318818.4</v>
      </c>
      <c r="I7" s="3">
        <v>135507002.40000001</v>
      </c>
      <c r="N7" s="775"/>
    </row>
    <row r="8" spans="1:14" s="776" customFormat="1" x14ac:dyDescent="0.35">
      <c r="A8" s="776" t="s">
        <v>527</v>
      </c>
      <c r="B8" s="777">
        <v>36081</v>
      </c>
      <c r="C8" s="776">
        <v>360810</v>
      </c>
      <c r="D8" s="776">
        <v>7064</v>
      </c>
      <c r="E8" s="776">
        <v>52010968.817643732</v>
      </c>
      <c r="F8" s="776">
        <v>513902800</v>
      </c>
      <c r="G8" s="776">
        <v>254876184</v>
      </c>
      <c r="H8" s="776">
        <v>76877898.400000006</v>
      </c>
      <c r="I8" s="776">
        <v>845656882.39999998</v>
      </c>
      <c r="N8" s="778"/>
    </row>
    <row r="9" spans="1:14" s="776" customFormat="1" x14ac:dyDescent="0.35">
      <c r="A9" s="776" t="s">
        <v>528</v>
      </c>
      <c r="B9" s="777">
        <v>71288</v>
      </c>
      <c r="C9" s="776">
        <v>712880</v>
      </c>
      <c r="D9" s="776">
        <v>14128</v>
      </c>
      <c r="E9" s="776">
        <v>114098089.47695893</v>
      </c>
      <c r="F9" s="776">
        <v>1054597000</v>
      </c>
      <c r="G9" s="776">
        <v>1007156864</v>
      </c>
      <c r="H9" s="776">
        <v>206175386.40000001</v>
      </c>
      <c r="I9" s="776">
        <v>2267929250.4000001</v>
      </c>
      <c r="N9" s="778"/>
    </row>
    <row r="10" spans="1:14" s="782" customFormat="1" x14ac:dyDescent="0.35">
      <c r="A10" s="782" t="s">
        <v>529</v>
      </c>
      <c r="B10" s="783">
        <v>6849</v>
      </c>
      <c r="C10" s="782">
        <v>6849</v>
      </c>
      <c r="D10" s="782">
        <v>7064</v>
      </c>
      <c r="E10" s="782">
        <v>1253719.9289228374</v>
      </c>
      <c r="F10" s="782">
        <v>8638060</v>
      </c>
      <c r="G10" s="782">
        <v>48381336</v>
      </c>
      <c r="H10" s="782">
        <v>5701939.6000000006</v>
      </c>
      <c r="I10" s="782">
        <v>62721335.600000001</v>
      </c>
      <c r="N10" s="784"/>
    </row>
    <row r="11" spans="1:14" s="782" customFormat="1" x14ac:dyDescent="0.35">
      <c r="A11" s="782" t="s">
        <v>530</v>
      </c>
      <c r="B11" s="783">
        <v>7381</v>
      </c>
      <c r="C11" s="785">
        <v>7381</v>
      </c>
      <c r="D11" s="785">
        <v>14128</v>
      </c>
      <c r="E11" s="782">
        <v>1659379.4230253513</v>
      </c>
      <c r="F11" s="782">
        <v>9901560</v>
      </c>
      <c r="G11" s="782">
        <v>104278768</v>
      </c>
      <c r="H11" s="782">
        <v>11418032.800000001</v>
      </c>
      <c r="I11" s="782">
        <v>125598360.8</v>
      </c>
      <c r="N11" s="784"/>
    </row>
    <row r="12" spans="1:14" s="782" customFormat="1" x14ac:dyDescent="0.35">
      <c r="A12" s="782" t="s">
        <v>531</v>
      </c>
      <c r="B12" s="783">
        <v>1135</v>
      </c>
      <c r="C12" s="785">
        <v>1135</v>
      </c>
      <c r="D12" s="785">
        <v>7064</v>
      </c>
      <c r="E12" s="782">
        <v>163995.02290667917</v>
      </c>
      <c r="F12" s="782">
        <v>1065440</v>
      </c>
      <c r="G12" s="782">
        <v>8017640</v>
      </c>
      <c r="H12" s="782">
        <v>908308</v>
      </c>
      <c r="I12" s="782">
        <v>9991388</v>
      </c>
      <c r="N12" s="784"/>
    </row>
    <row r="13" spans="1:14" s="782" customFormat="1" x14ac:dyDescent="0.35">
      <c r="A13" s="782" t="s">
        <v>532</v>
      </c>
      <c r="B13" s="783">
        <v>1235</v>
      </c>
      <c r="C13" s="785">
        <v>1235</v>
      </c>
      <c r="D13" s="785">
        <v>14128</v>
      </c>
      <c r="E13" s="782">
        <v>266196.25266987621</v>
      </c>
      <c r="F13" s="782">
        <v>1536060</v>
      </c>
      <c r="G13" s="782">
        <v>17448080</v>
      </c>
      <c r="H13" s="782">
        <v>1898414</v>
      </c>
      <c r="I13" s="782">
        <v>20882554</v>
      </c>
      <c r="N13" s="784"/>
    </row>
    <row r="14" spans="1:14" s="3" customFormat="1" x14ac:dyDescent="0.35">
      <c r="A14" s="3" t="s">
        <v>533</v>
      </c>
      <c r="B14" s="772">
        <v>500</v>
      </c>
      <c r="C14" s="786">
        <v>5000</v>
      </c>
      <c r="D14" s="786">
        <v>7064</v>
      </c>
      <c r="E14" s="3">
        <v>58612.020537926808</v>
      </c>
      <c r="F14" s="3">
        <v>276860</v>
      </c>
      <c r="G14" s="3">
        <v>3532000</v>
      </c>
      <c r="H14" s="3">
        <v>380886</v>
      </c>
      <c r="I14" s="3">
        <v>4189746</v>
      </c>
      <c r="N14" s="775"/>
    </row>
    <row r="15" spans="1:14" s="3" customFormat="1" x14ac:dyDescent="0.35">
      <c r="A15" s="3" t="s">
        <v>534</v>
      </c>
      <c r="B15" s="772">
        <v>691</v>
      </c>
      <c r="C15" s="3">
        <v>6910</v>
      </c>
      <c r="D15" s="3">
        <v>14128</v>
      </c>
      <c r="E15" s="3">
        <v>94454.8760386465</v>
      </c>
      <c r="F15" s="3">
        <v>380000</v>
      </c>
      <c r="G15" s="3">
        <v>9762448</v>
      </c>
      <c r="H15" s="3">
        <v>1014244.8</v>
      </c>
      <c r="I15" s="3">
        <v>11156692.800000001</v>
      </c>
      <c r="N15" s="775"/>
    </row>
    <row r="16" spans="1:14" s="776" customFormat="1" x14ac:dyDescent="0.35">
      <c r="A16" s="776" t="s">
        <v>535</v>
      </c>
      <c r="B16" s="777">
        <v>250</v>
      </c>
      <c r="C16" s="776">
        <v>2500</v>
      </c>
      <c r="D16" s="776">
        <v>7064</v>
      </c>
      <c r="E16" s="776">
        <v>702152.91316646058</v>
      </c>
      <c r="F16" s="776">
        <v>7540000</v>
      </c>
      <c r="G16" s="776">
        <v>1766000</v>
      </c>
      <c r="H16" s="776">
        <v>930600</v>
      </c>
      <c r="I16" s="776">
        <v>10236600</v>
      </c>
      <c r="N16" s="778"/>
    </row>
    <row r="17" spans="1:14" s="776" customFormat="1" x14ac:dyDescent="0.35">
      <c r="A17" s="776" t="s">
        <v>536</v>
      </c>
      <c r="B17" s="777">
        <v>449</v>
      </c>
      <c r="C17" s="776">
        <v>4490</v>
      </c>
      <c r="D17" s="776">
        <v>14128</v>
      </c>
      <c r="E17" s="776">
        <v>1318847.453960794</v>
      </c>
      <c r="F17" s="776">
        <v>12855800</v>
      </c>
      <c r="G17" s="776">
        <v>6343472</v>
      </c>
      <c r="H17" s="776">
        <v>1919927.2000000002</v>
      </c>
      <c r="I17" s="776">
        <v>21119199.199999999</v>
      </c>
      <c r="N17" s="778"/>
    </row>
    <row r="18" spans="1:14" s="776" customFormat="1" x14ac:dyDescent="0.35">
      <c r="A18" s="779" t="s">
        <v>537</v>
      </c>
      <c r="B18" s="777">
        <v>2258</v>
      </c>
      <c r="C18" s="776">
        <v>22580</v>
      </c>
      <c r="D18" s="776">
        <v>7064</v>
      </c>
      <c r="E18" s="776">
        <v>3827301.090155168</v>
      </c>
      <c r="F18" s="776">
        <v>24624600</v>
      </c>
      <c r="G18" s="776">
        <v>15950512</v>
      </c>
      <c r="H18" s="776">
        <v>4057511.2</v>
      </c>
      <c r="I18" s="776">
        <v>44632623.200000003</v>
      </c>
      <c r="N18" s="778"/>
    </row>
    <row r="19" spans="1:14" s="776" customFormat="1" x14ac:dyDescent="0.35">
      <c r="A19" s="776" t="s">
        <v>538</v>
      </c>
      <c r="B19" s="777">
        <v>3836</v>
      </c>
      <c r="C19" s="776">
        <v>38360</v>
      </c>
      <c r="D19" s="776">
        <v>14128</v>
      </c>
      <c r="E19" s="776">
        <v>7464475.2181808632</v>
      </c>
      <c r="F19" s="776">
        <v>45868600</v>
      </c>
      <c r="G19" s="776">
        <v>54195008</v>
      </c>
      <c r="H19" s="776">
        <v>10006360.800000001</v>
      </c>
      <c r="I19" s="776">
        <v>110069968.8</v>
      </c>
      <c r="N19" s="778"/>
    </row>
    <row r="20" spans="1:14" s="776" customFormat="1" x14ac:dyDescent="0.35">
      <c r="A20" s="776" t="s">
        <v>539</v>
      </c>
      <c r="B20" s="777">
        <v>7</v>
      </c>
      <c r="C20" s="776">
        <v>70</v>
      </c>
      <c r="D20" s="776">
        <v>7064</v>
      </c>
      <c r="E20" s="776">
        <v>4114.4981619547771</v>
      </c>
      <c r="F20" s="776">
        <v>17000</v>
      </c>
      <c r="G20" s="776">
        <v>49448</v>
      </c>
      <c r="H20" s="776">
        <v>6644.8</v>
      </c>
      <c r="I20" s="776">
        <v>73092.800000000003</v>
      </c>
      <c r="N20" s="778"/>
    </row>
    <row r="21" spans="1:14" s="776" customFormat="1" x14ac:dyDescent="0.35">
      <c r="A21" s="779" t="s">
        <v>540</v>
      </c>
      <c r="B21" s="777">
        <v>84</v>
      </c>
      <c r="C21" s="776">
        <v>840</v>
      </c>
      <c r="D21" s="776">
        <v>14128</v>
      </c>
      <c r="E21" s="776">
        <v>158489.24731112269</v>
      </c>
      <c r="F21" s="776">
        <v>742000</v>
      </c>
      <c r="G21" s="776">
        <v>1186752</v>
      </c>
      <c r="H21" s="776">
        <v>192875.2</v>
      </c>
      <c r="I21" s="776">
        <v>2121627.2000000002</v>
      </c>
      <c r="N21" s="778"/>
    </row>
    <row r="22" spans="1:14" s="776" customFormat="1" x14ac:dyDescent="0.35">
      <c r="A22" s="780" t="s">
        <v>541</v>
      </c>
      <c r="B22" s="777">
        <v>33603</v>
      </c>
      <c r="C22" s="776">
        <v>336030</v>
      </c>
      <c r="D22" s="776">
        <v>7064</v>
      </c>
      <c r="E22" s="776">
        <v>29147310.36722536</v>
      </c>
      <c r="F22" s="776">
        <v>160997800</v>
      </c>
      <c r="G22" s="776">
        <v>237371592</v>
      </c>
      <c r="H22" s="776">
        <v>39836939.200000003</v>
      </c>
      <c r="I22" s="776">
        <v>438206331.19999999</v>
      </c>
      <c r="N22" s="778"/>
    </row>
    <row r="23" spans="1:14" s="776" customFormat="1" x14ac:dyDescent="0.35">
      <c r="A23" s="781" t="s">
        <v>542</v>
      </c>
      <c r="B23" s="777">
        <v>9000</v>
      </c>
      <c r="C23" s="776">
        <v>90000</v>
      </c>
      <c r="D23" s="776">
        <v>14128</v>
      </c>
      <c r="E23" s="776">
        <v>17460311.126448359</v>
      </c>
      <c r="F23" s="776">
        <v>93489400</v>
      </c>
      <c r="G23" s="776">
        <v>127152000</v>
      </c>
      <c r="H23" s="776">
        <v>22064140</v>
      </c>
      <c r="I23" s="776">
        <v>242705540</v>
      </c>
      <c r="N23" s="778"/>
    </row>
    <row r="24" spans="1:14" s="776" customFormat="1" x14ac:dyDescent="0.35">
      <c r="A24" s="776" t="s">
        <v>543</v>
      </c>
      <c r="B24" s="777">
        <v>21462</v>
      </c>
      <c r="C24" s="776">
        <v>214620</v>
      </c>
      <c r="D24" s="776">
        <v>7064</v>
      </c>
      <c r="E24" s="776">
        <v>7174617.8160692928</v>
      </c>
      <c r="F24" s="776">
        <v>20991600</v>
      </c>
      <c r="G24" s="776">
        <v>151607568</v>
      </c>
      <c r="H24" s="776">
        <v>17259916.800000001</v>
      </c>
      <c r="I24" s="776">
        <v>189859084.80000001</v>
      </c>
      <c r="N24" s="778"/>
    </row>
    <row r="25" spans="1:14" s="776" customFormat="1" x14ac:dyDescent="0.35">
      <c r="A25" s="776" t="s">
        <v>544</v>
      </c>
      <c r="B25" s="777">
        <v>2669</v>
      </c>
      <c r="C25" s="776">
        <v>26690</v>
      </c>
      <c r="D25" s="776">
        <v>14128</v>
      </c>
      <c r="E25" s="776">
        <v>3918423.2751150578</v>
      </c>
      <c r="F25" s="776">
        <v>10464000</v>
      </c>
      <c r="G25" s="776">
        <v>37707632</v>
      </c>
      <c r="H25" s="776">
        <v>4817163.2</v>
      </c>
      <c r="I25" s="776">
        <v>52988795.200000003</v>
      </c>
      <c r="N25" s="778"/>
    </row>
    <row r="26" spans="1:14" s="776" customFormat="1" x14ac:dyDescent="0.35">
      <c r="A26" s="776" t="s">
        <v>545</v>
      </c>
      <c r="B26" s="777">
        <v>68682</v>
      </c>
      <c r="C26" s="776">
        <v>686820</v>
      </c>
      <c r="D26" s="776">
        <v>7064</v>
      </c>
      <c r="E26" s="776">
        <v>36485807.035285369</v>
      </c>
      <c r="F26" s="776">
        <v>377061600</v>
      </c>
      <c r="G26" s="776">
        <v>485169648</v>
      </c>
      <c r="H26" s="776">
        <v>86223124.800000012</v>
      </c>
      <c r="I26" s="776">
        <v>948454372.79999995</v>
      </c>
      <c r="N26" s="778"/>
    </row>
    <row r="27" spans="1:14" s="776" customFormat="1" x14ac:dyDescent="0.35">
      <c r="A27" s="776" t="s">
        <v>546</v>
      </c>
      <c r="B27" s="777">
        <v>29775</v>
      </c>
      <c r="C27" s="776">
        <v>297750</v>
      </c>
      <c r="D27" s="776">
        <v>14128</v>
      </c>
      <c r="E27" s="776">
        <v>48647742.713713825</v>
      </c>
      <c r="F27" s="776">
        <v>325035000</v>
      </c>
      <c r="G27" s="776">
        <v>420661200</v>
      </c>
      <c r="H27" s="776">
        <v>74569620</v>
      </c>
      <c r="I27" s="776">
        <v>820265820</v>
      </c>
      <c r="N27" s="778"/>
    </row>
    <row r="28" spans="1:14" x14ac:dyDescent="0.35">
      <c r="A28" s="33" t="s">
        <v>547</v>
      </c>
      <c r="B28" s="675">
        <f>SUM(SUM(B4:B27))</f>
        <v>1190001</v>
      </c>
      <c r="C28" s="675">
        <f>SUM(SUM(C4:C27))</f>
        <v>11750610</v>
      </c>
      <c r="D28" s="675"/>
      <c r="E28" s="675">
        <f>SUM(SUM(E4:E27))</f>
        <v>1195334966.2462821</v>
      </c>
      <c r="F28" s="771">
        <f>SUM(SUM(F4:F27))</f>
        <v>6836245780</v>
      </c>
      <c r="G28" s="771">
        <f>SUM(SUM(G4:G27))</f>
        <v>26420327768</v>
      </c>
      <c r="H28" s="771">
        <f>SUM(SUM(H4:H27))</f>
        <v>3325657354.8000007</v>
      </c>
      <c r="I28" s="771">
        <f>SUM(SUM(I4:I27))</f>
        <v>36582230902.800003</v>
      </c>
      <c r="N28" s="676"/>
    </row>
    <row r="29" spans="1:14" x14ac:dyDescent="0.35">
      <c r="B29" s="766"/>
      <c r="C29" s="675"/>
      <c r="N29" s="676"/>
    </row>
    <row r="30" spans="1:14" x14ac:dyDescent="0.35">
      <c r="A30" s="33" t="s">
        <v>548</v>
      </c>
      <c r="B30" s="675">
        <v>1794.6000000000001</v>
      </c>
      <c r="C30" s="675">
        <v>1794.6000000000001</v>
      </c>
      <c r="D30" s="675">
        <v>3000000</v>
      </c>
      <c r="E30" s="675">
        <v>7264805.7898784382</v>
      </c>
      <c r="F30" s="771">
        <v>40227220</v>
      </c>
      <c r="G30" s="771">
        <v>5383800000</v>
      </c>
      <c r="H30" s="771">
        <v>542402722</v>
      </c>
      <c r="I30" s="771">
        <v>5966429942</v>
      </c>
      <c r="J30" s="33" t="s">
        <v>549</v>
      </c>
      <c r="N30" s="676"/>
    </row>
    <row r="31" spans="1:14" x14ac:dyDescent="0.35">
      <c r="B31" s="766"/>
      <c r="C31" s="675"/>
      <c r="N31" s="676"/>
    </row>
    <row r="32" spans="1:14" x14ac:dyDescent="0.35">
      <c r="A32" s="33" t="s">
        <v>550</v>
      </c>
      <c r="N32" s="676"/>
    </row>
    <row r="33" spans="1:18" x14ac:dyDescent="0.35">
      <c r="A33" s="33" t="s">
        <v>551</v>
      </c>
      <c r="B33" s="767"/>
      <c r="N33" s="676"/>
    </row>
    <row r="34" spans="1:18" x14ac:dyDescent="0.35">
      <c r="A34" s="118"/>
      <c r="B34" s="675"/>
      <c r="N34" s="676"/>
    </row>
    <row r="35" spans="1:18" x14ac:dyDescent="0.35">
      <c r="A35" s="33" t="s">
        <v>7</v>
      </c>
      <c r="B35" s="33" t="s">
        <v>63</v>
      </c>
      <c r="C35" s="33" t="s">
        <v>64</v>
      </c>
      <c r="D35" s="33" t="s">
        <v>552</v>
      </c>
      <c r="E35" s="33" t="s">
        <v>999</v>
      </c>
      <c r="F35" s="33" t="s">
        <v>1000</v>
      </c>
      <c r="G35" s="33" t="s">
        <v>65</v>
      </c>
      <c r="H35" s="33" t="s">
        <v>66</v>
      </c>
      <c r="I35" s="33" t="s">
        <v>67</v>
      </c>
      <c r="J35" s="33" t="s">
        <v>68</v>
      </c>
      <c r="K35" s="33" t="s">
        <v>69</v>
      </c>
      <c r="L35" s="33" t="s">
        <v>70</v>
      </c>
      <c r="M35" s="33" t="s">
        <v>71</v>
      </c>
      <c r="N35" s="33" t="s">
        <v>513</v>
      </c>
      <c r="O35" s="676" t="s">
        <v>514</v>
      </c>
    </row>
    <row r="36" spans="1:18" s="324" customFormat="1" x14ac:dyDescent="0.35">
      <c r="A36" t="s">
        <v>8</v>
      </c>
      <c r="B36" s="768" t="s">
        <v>74</v>
      </c>
      <c r="C36">
        <v>98141</v>
      </c>
      <c r="D36">
        <f>C36*5</f>
        <v>490705</v>
      </c>
      <c r="E36">
        <v>391663080</v>
      </c>
      <c r="F36">
        <v>3348394520</v>
      </c>
      <c r="G36"/>
      <c r="H36"/>
      <c r="I36"/>
      <c r="J36"/>
      <c r="K36"/>
      <c r="L36"/>
      <c r="M36"/>
      <c r="N36">
        <v>15039.2</v>
      </c>
      <c r="O36">
        <v>86400000</v>
      </c>
      <c r="P36"/>
      <c r="Q36"/>
      <c r="R36"/>
    </row>
    <row r="37" spans="1:18" customFormat="1" x14ac:dyDescent="0.35">
      <c r="A37" t="s">
        <v>9</v>
      </c>
      <c r="B37" t="s">
        <v>74</v>
      </c>
      <c r="C37">
        <v>42438</v>
      </c>
      <c r="D37">
        <f t="shared" ref="D37:D87" si="0">C37*5</f>
        <v>212190</v>
      </c>
      <c r="E37">
        <v>126956800</v>
      </c>
      <c r="F37">
        <v>1882463392</v>
      </c>
      <c r="O37">
        <v>61200000</v>
      </c>
    </row>
    <row r="38" spans="1:18" customFormat="1" x14ac:dyDescent="0.35">
      <c r="A38" t="s">
        <v>10</v>
      </c>
      <c r="B38" t="s">
        <v>76</v>
      </c>
      <c r="C38">
        <v>14562</v>
      </c>
      <c r="D38">
        <f t="shared" si="0"/>
        <v>72810</v>
      </c>
      <c r="E38">
        <v>291123600</v>
      </c>
      <c r="F38">
        <v>689131664</v>
      </c>
      <c r="O38">
        <v>39600000</v>
      </c>
    </row>
    <row r="39" spans="1:18" customFormat="1" x14ac:dyDescent="0.35">
      <c r="A39" t="s">
        <v>11</v>
      </c>
      <c r="B39" t="s">
        <v>75</v>
      </c>
      <c r="C39">
        <v>48402</v>
      </c>
      <c r="D39">
        <f t="shared" si="0"/>
        <v>242010</v>
      </c>
      <c r="E39">
        <v>260306800</v>
      </c>
      <c r="F39">
        <v>1834956288</v>
      </c>
      <c r="O39">
        <v>133200000</v>
      </c>
    </row>
    <row r="40" spans="1:18" customFormat="1" x14ac:dyDescent="0.35">
      <c r="A40" t="s">
        <v>12</v>
      </c>
      <c r="B40" t="s">
        <v>77</v>
      </c>
      <c r="C40">
        <v>988</v>
      </c>
      <c r="D40">
        <f t="shared" si="0"/>
        <v>4940</v>
      </c>
      <c r="E40">
        <v>12201600</v>
      </c>
      <c r="F40">
        <v>22604800</v>
      </c>
      <c r="O40">
        <v>0</v>
      </c>
    </row>
    <row r="41" spans="1:18" customFormat="1" x14ac:dyDescent="0.35">
      <c r="A41" t="s">
        <v>13</v>
      </c>
      <c r="B41" t="s">
        <v>75</v>
      </c>
      <c r="C41">
        <v>16335</v>
      </c>
      <c r="D41">
        <f t="shared" si="0"/>
        <v>81675</v>
      </c>
      <c r="E41">
        <v>112680400</v>
      </c>
      <c r="F41">
        <v>762886680</v>
      </c>
      <c r="O41">
        <v>68400000</v>
      </c>
    </row>
    <row r="42" spans="1:18" customFormat="1" x14ac:dyDescent="0.35">
      <c r="A42" t="s">
        <v>14</v>
      </c>
      <c r="B42" t="s">
        <v>75</v>
      </c>
      <c r="C42">
        <v>31339</v>
      </c>
      <c r="D42">
        <f t="shared" si="0"/>
        <v>156695</v>
      </c>
      <c r="E42">
        <v>245019800</v>
      </c>
      <c r="F42">
        <v>1413809168</v>
      </c>
      <c r="O42">
        <v>100800000</v>
      </c>
    </row>
    <row r="43" spans="1:18" customFormat="1" x14ac:dyDescent="0.35">
      <c r="A43" t="s">
        <v>15</v>
      </c>
      <c r="B43" t="s">
        <v>76</v>
      </c>
      <c r="C43">
        <v>9122</v>
      </c>
      <c r="D43">
        <f t="shared" si="0"/>
        <v>45610</v>
      </c>
      <c r="E43">
        <v>49884600</v>
      </c>
      <c r="F43">
        <v>2946538240</v>
      </c>
      <c r="O43">
        <v>493200000</v>
      </c>
    </row>
    <row r="44" spans="1:18" customFormat="1" x14ac:dyDescent="0.35">
      <c r="A44" t="s">
        <v>16</v>
      </c>
      <c r="B44" t="s">
        <v>75</v>
      </c>
      <c r="C44">
        <v>39548</v>
      </c>
      <c r="D44">
        <f t="shared" si="0"/>
        <v>197740</v>
      </c>
      <c r="E44">
        <v>241079600</v>
      </c>
      <c r="F44">
        <v>1249381008</v>
      </c>
      <c r="O44">
        <v>100800000</v>
      </c>
    </row>
    <row r="45" spans="1:18" customFormat="1" x14ac:dyDescent="0.35">
      <c r="A45" t="s">
        <v>17</v>
      </c>
      <c r="B45" t="s">
        <v>75</v>
      </c>
      <c r="C45">
        <v>31353</v>
      </c>
      <c r="D45">
        <f t="shared" si="0"/>
        <v>156765</v>
      </c>
      <c r="E45">
        <v>277497200</v>
      </c>
      <c r="F45">
        <v>1249493464</v>
      </c>
      <c r="O45">
        <v>126000000</v>
      </c>
    </row>
    <row r="46" spans="1:18" customFormat="1" x14ac:dyDescent="0.35">
      <c r="A46" t="s">
        <v>18</v>
      </c>
      <c r="B46" t="s">
        <v>78</v>
      </c>
      <c r="C46">
        <v>43648</v>
      </c>
      <c r="D46">
        <f t="shared" si="0"/>
        <v>218240</v>
      </c>
      <c r="E46">
        <v>160004400</v>
      </c>
      <c r="F46">
        <v>903632448</v>
      </c>
      <c r="O46">
        <v>108000000</v>
      </c>
    </row>
    <row r="47" spans="1:18" customFormat="1" x14ac:dyDescent="0.35">
      <c r="A47" t="s">
        <v>19</v>
      </c>
      <c r="B47" t="s">
        <v>74</v>
      </c>
      <c r="C47">
        <v>90467</v>
      </c>
      <c r="D47">
        <f t="shared" si="0"/>
        <v>452335</v>
      </c>
      <c r="E47">
        <v>112056800</v>
      </c>
      <c r="F47">
        <v>2353784040</v>
      </c>
      <c r="O47">
        <v>126000000</v>
      </c>
    </row>
    <row r="48" spans="1:18" customFormat="1" x14ac:dyDescent="0.35">
      <c r="A48" t="s">
        <v>20</v>
      </c>
      <c r="B48" t="s">
        <v>76</v>
      </c>
      <c r="C48">
        <v>13350</v>
      </c>
      <c r="D48">
        <f t="shared" si="0"/>
        <v>66750</v>
      </c>
      <c r="E48">
        <v>133206400</v>
      </c>
      <c r="F48">
        <v>653342448</v>
      </c>
      <c r="O48">
        <v>68400000</v>
      </c>
    </row>
    <row r="49" spans="1:15" customFormat="1" x14ac:dyDescent="0.35">
      <c r="A49" t="s">
        <v>21</v>
      </c>
      <c r="B49" t="s">
        <v>74</v>
      </c>
      <c r="C49">
        <v>36930</v>
      </c>
      <c r="D49">
        <f t="shared" si="0"/>
        <v>184650</v>
      </c>
      <c r="E49">
        <v>96864000</v>
      </c>
      <c r="F49">
        <v>1798764632</v>
      </c>
      <c r="O49">
        <v>108000000</v>
      </c>
    </row>
    <row r="50" spans="1:15" customFormat="1" x14ac:dyDescent="0.35">
      <c r="A50" t="s">
        <v>22</v>
      </c>
      <c r="B50" t="s">
        <v>77</v>
      </c>
      <c r="C50">
        <v>7562</v>
      </c>
      <c r="D50">
        <f t="shared" si="0"/>
        <v>37810</v>
      </c>
      <c r="E50">
        <v>45819800</v>
      </c>
      <c r="F50">
        <v>325847624</v>
      </c>
      <c r="O50">
        <v>18000000</v>
      </c>
    </row>
    <row r="51" spans="1:15" customFormat="1" x14ac:dyDescent="0.35">
      <c r="A51" t="s">
        <v>23</v>
      </c>
      <c r="B51" t="s">
        <v>76</v>
      </c>
      <c r="C51">
        <v>8863</v>
      </c>
      <c r="D51">
        <f t="shared" si="0"/>
        <v>44315</v>
      </c>
      <c r="E51">
        <v>103175600</v>
      </c>
      <c r="F51">
        <v>951904056</v>
      </c>
      <c r="O51">
        <v>111600000</v>
      </c>
    </row>
    <row r="52" spans="1:15" customFormat="1" x14ac:dyDescent="0.35">
      <c r="A52" t="s">
        <v>24</v>
      </c>
      <c r="B52" t="s">
        <v>76</v>
      </c>
      <c r="C52">
        <v>16264</v>
      </c>
      <c r="D52">
        <f t="shared" si="0"/>
        <v>81320</v>
      </c>
      <c r="E52">
        <v>191888800</v>
      </c>
      <c r="F52">
        <v>903469560</v>
      </c>
      <c r="O52">
        <v>86400000</v>
      </c>
    </row>
    <row r="53" spans="1:15" customFormat="1" x14ac:dyDescent="0.35">
      <c r="A53" t="s">
        <v>25</v>
      </c>
      <c r="B53" t="s">
        <v>76</v>
      </c>
      <c r="C53">
        <v>18299</v>
      </c>
      <c r="D53">
        <f t="shared" si="0"/>
        <v>91495</v>
      </c>
      <c r="E53">
        <v>136685200</v>
      </c>
      <c r="F53">
        <v>1143787768</v>
      </c>
      <c r="O53">
        <v>122400000</v>
      </c>
    </row>
    <row r="54" spans="1:15" customFormat="1" x14ac:dyDescent="0.35">
      <c r="A54" t="s">
        <v>26</v>
      </c>
      <c r="B54" t="s">
        <v>74</v>
      </c>
      <c r="C54">
        <v>12979</v>
      </c>
      <c r="D54">
        <f t="shared" si="0"/>
        <v>64895</v>
      </c>
      <c r="E54">
        <v>142489400</v>
      </c>
      <c r="F54">
        <v>677760480</v>
      </c>
      <c r="O54">
        <v>46800000</v>
      </c>
    </row>
    <row r="55" spans="1:15" customFormat="1" x14ac:dyDescent="0.35">
      <c r="A55" t="s">
        <v>27</v>
      </c>
      <c r="B55" t="s">
        <v>76</v>
      </c>
      <c r="C55">
        <v>17244</v>
      </c>
      <c r="D55">
        <f t="shared" si="0"/>
        <v>86220</v>
      </c>
      <c r="E55">
        <v>161395800</v>
      </c>
      <c r="F55">
        <v>1262686952</v>
      </c>
      <c r="O55">
        <v>122400000</v>
      </c>
    </row>
    <row r="56" spans="1:15" customFormat="1" x14ac:dyDescent="0.35">
      <c r="A56" s="769" t="s">
        <v>28</v>
      </c>
      <c r="B56" t="s">
        <v>75</v>
      </c>
      <c r="C56">
        <v>33851</v>
      </c>
      <c r="D56">
        <f t="shared" si="0"/>
        <v>169255</v>
      </c>
      <c r="E56">
        <v>250067200</v>
      </c>
      <c r="F56">
        <v>690035856</v>
      </c>
      <c r="O56">
        <v>39600000</v>
      </c>
    </row>
    <row r="57" spans="1:15" customFormat="1" x14ac:dyDescent="0.35">
      <c r="A57" t="s">
        <v>29</v>
      </c>
      <c r="B57" t="s">
        <v>76</v>
      </c>
      <c r="C57">
        <v>7164</v>
      </c>
      <c r="D57">
        <f t="shared" si="0"/>
        <v>35820</v>
      </c>
      <c r="E57">
        <v>75717600</v>
      </c>
      <c r="F57">
        <v>412471960</v>
      </c>
      <c r="O57">
        <v>14400000</v>
      </c>
    </row>
    <row r="58" spans="1:15" customFormat="1" x14ac:dyDescent="0.35">
      <c r="A58" t="s">
        <v>30</v>
      </c>
      <c r="B58" t="s">
        <v>74</v>
      </c>
      <c r="C58">
        <v>80634</v>
      </c>
      <c r="D58">
        <f t="shared" si="0"/>
        <v>403170</v>
      </c>
      <c r="E58">
        <v>40954800</v>
      </c>
      <c r="F58">
        <v>1680413504</v>
      </c>
      <c r="O58">
        <v>3600000</v>
      </c>
    </row>
    <row r="59" spans="1:15" customFormat="1" x14ac:dyDescent="0.35">
      <c r="A59" t="s">
        <v>31</v>
      </c>
      <c r="B59" t="s">
        <v>78</v>
      </c>
      <c r="C59">
        <v>18070</v>
      </c>
      <c r="D59">
        <f t="shared" si="0"/>
        <v>90350</v>
      </c>
      <c r="E59">
        <v>72302200</v>
      </c>
      <c r="F59">
        <v>397592736</v>
      </c>
      <c r="O59">
        <v>141000000</v>
      </c>
    </row>
    <row r="60" spans="1:15" customFormat="1" x14ac:dyDescent="0.35">
      <c r="A60" t="s">
        <v>32</v>
      </c>
      <c r="B60" t="s">
        <v>75</v>
      </c>
      <c r="C60">
        <v>46983</v>
      </c>
      <c r="D60">
        <f t="shared" si="0"/>
        <v>234915</v>
      </c>
      <c r="E60">
        <v>294166800</v>
      </c>
      <c r="F60">
        <v>2275870640</v>
      </c>
      <c r="O60">
        <v>295200000</v>
      </c>
    </row>
    <row r="61" spans="1:15" customFormat="1" x14ac:dyDescent="0.35">
      <c r="A61" t="s">
        <v>33</v>
      </c>
      <c r="B61" t="s">
        <v>77</v>
      </c>
      <c r="C61">
        <v>5396</v>
      </c>
      <c r="D61">
        <f t="shared" si="0"/>
        <v>26980</v>
      </c>
      <c r="E61">
        <v>38708000</v>
      </c>
      <c r="F61">
        <v>2485841488</v>
      </c>
      <c r="O61">
        <v>388800000</v>
      </c>
    </row>
    <row r="62" spans="1:15" customFormat="1" x14ac:dyDescent="0.35">
      <c r="A62" t="s">
        <v>34</v>
      </c>
      <c r="B62" t="s">
        <v>78</v>
      </c>
      <c r="C62">
        <v>20357</v>
      </c>
      <c r="D62">
        <f t="shared" si="0"/>
        <v>101785</v>
      </c>
      <c r="E62">
        <v>156128200</v>
      </c>
      <c r="F62">
        <v>891415816</v>
      </c>
      <c r="O62">
        <v>125400000</v>
      </c>
    </row>
    <row r="63" spans="1:15" customFormat="1" x14ac:dyDescent="0.35">
      <c r="A63" t="s">
        <v>35</v>
      </c>
      <c r="B63" t="s">
        <v>78</v>
      </c>
      <c r="C63">
        <v>5592</v>
      </c>
      <c r="D63">
        <f t="shared" si="0"/>
        <v>27960</v>
      </c>
      <c r="E63">
        <v>22535600</v>
      </c>
      <c r="F63">
        <v>457262944</v>
      </c>
      <c r="O63">
        <v>381000000</v>
      </c>
    </row>
    <row r="64" spans="1:15" customFormat="1" x14ac:dyDescent="0.35">
      <c r="A64" t="s">
        <v>36</v>
      </c>
      <c r="B64" t="s">
        <v>77</v>
      </c>
      <c r="C64">
        <v>22920</v>
      </c>
      <c r="D64">
        <f t="shared" si="0"/>
        <v>114600</v>
      </c>
      <c r="E64">
        <v>108008400</v>
      </c>
      <c r="F64">
        <v>598408352</v>
      </c>
      <c r="O64">
        <v>7200000</v>
      </c>
    </row>
    <row r="65" spans="1:15" customFormat="1" x14ac:dyDescent="0.35">
      <c r="A65" t="s">
        <v>37</v>
      </c>
      <c r="B65" t="s">
        <v>80</v>
      </c>
      <c r="C65">
        <v>15439</v>
      </c>
      <c r="D65">
        <f t="shared" si="0"/>
        <v>77195</v>
      </c>
      <c r="E65">
        <v>139391600</v>
      </c>
      <c r="F65">
        <v>344549624</v>
      </c>
      <c r="O65">
        <v>150000000</v>
      </c>
    </row>
    <row r="66" spans="1:15" customFormat="1" x14ac:dyDescent="0.35">
      <c r="A66" t="s">
        <v>38</v>
      </c>
      <c r="B66" t="s">
        <v>77</v>
      </c>
      <c r="C66">
        <v>11423</v>
      </c>
      <c r="D66">
        <f t="shared" si="0"/>
        <v>57115</v>
      </c>
      <c r="E66">
        <v>69571200</v>
      </c>
      <c r="F66">
        <v>437662752</v>
      </c>
      <c r="O66">
        <v>21600000</v>
      </c>
    </row>
    <row r="67" spans="1:15" customFormat="1" x14ac:dyDescent="0.35">
      <c r="A67" t="s">
        <v>39</v>
      </c>
      <c r="B67" t="s">
        <v>75</v>
      </c>
      <c r="C67">
        <v>95878</v>
      </c>
      <c r="D67">
        <f t="shared" si="0"/>
        <v>479390</v>
      </c>
      <c r="E67">
        <v>52897600</v>
      </c>
      <c r="F67">
        <v>983057280</v>
      </c>
      <c r="O67">
        <v>0</v>
      </c>
    </row>
    <row r="68" spans="1:15" customFormat="1" x14ac:dyDescent="0.35">
      <c r="A68" t="s">
        <v>40</v>
      </c>
      <c r="B68" t="s">
        <v>77</v>
      </c>
      <c r="C68">
        <v>2616</v>
      </c>
      <c r="D68">
        <f t="shared" si="0"/>
        <v>13080</v>
      </c>
      <c r="E68">
        <v>21223800</v>
      </c>
      <c r="F68">
        <v>94107536</v>
      </c>
      <c r="O68">
        <v>3600000</v>
      </c>
    </row>
    <row r="69" spans="1:15" customFormat="1" x14ac:dyDescent="0.35">
      <c r="A69" t="s">
        <v>41</v>
      </c>
      <c r="B69" t="s">
        <v>74</v>
      </c>
      <c r="C69">
        <v>18534</v>
      </c>
      <c r="D69">
        <f t="shared" si="0"/>
        <v>92670</v>
      </c>
      <c r="E69">
        <v>152776800</v>
      </c>
      <c r="F69">
        <v>3752070856</v>
      </c>
      <c r="O69">
        <v>561600000</v>
      </c>
    </row>
    <row r="70" spans="1:15" customFormat="1" x14ac:dyDescent="0.35">
      <c r="A70" t="s">
        <v>42</v>
      </c>
      <c r="B70" t="s">
        <v>78</v>
      </c>
      <c r="C70">
        <v>28380</v>
      </c>
      <c r="D70">
        <f t="shared" si="0"/>
        <v>141900</v>
      </c>
      <c r="E70">
        <v>90372800</v>
      </c>
      <c r="F70">
        <v>496306224</v>
      </c>
      <c r="O70">
        <v>14400000</v>
      </c>
    </row>
    <row r="71" spans="1:15" customFormat="1" x14ac:dyDescent="0.35">
      <c r="A71" t="s">
        <v>43</v>
      </c>
      <c r="B71" t="s">
        <v>74</v>
      </c>
      <c r="C71">
        <v>318284</v>
      </c>
      <c r="D71">
        <f t="shared" si="0"/>
        <v>1591420</v>
      </c>
      <c r="E71">
        <v>109673000</v>
      </c>
      <c r="F71">
        <v>4936097872</v>
      </c>
      <c r="O71">
        <v>54000000</v>
      </c>
    </row>
    <row r="72" spans="1:15" x14ac:dyDescent="0.35">
      <c r="A72" s="33" t="s">
        <v>44</v>
      </c>
      <c r="B72" s="33" t="s">
        <v>80</v>
      </c>
      <c r="C72" s="33">
        <v>18373</v>
      </c>
      <c r="D72">
        <f t="shared" si="0"/>
        <v>91865</v>
      </c>
      <c r="E72" s="33">
        <v>177306600</v>
      </c>
      <c r="F72" s="33">
        <v>546413408</v>
      </c>
      <c r="O72" s="676">
        <v>435000000</v>
      </c>
    </row>
    <row r="73" spans="1:15" x14ac:dyDescent="0.35">
      <c r="A73" s="33" t="s">
        <v>45</v>
      </c>
      <c r="B73" s="33" t="s">
        <v>78</v>
      </c>
      <c r="C73" s="33">
        <v>2774</v>
      </c>
      <c r="D73">
        <f t="shared" si="0"/>
        <v>13870</v>
      </c>
      <c r="E73" s="33">
        <v>22048200</v>
      </c>
      <c r="F73" s="33">
        <v>268380952</v>
      </c>
      <c r="O73" s="676">
        <v>243000000</v>
      </c>
    </row>
    <row r="74" spans="1:15" x14ac:dyDescent="0.35">
      <c r="A74" s="33" t="s">
        <v>46</v>
      </c>
      <c r="B74" s="33" t="s">
        <v>76</v>
      </c>
      <c r="C74" s="33">
        <v>972</v>
      </c>
      <c r="D74">
        <f t="shared" si="0"/>
        <v>4860</v>
      </c>
      <c r="E74" s="33">
        <v>1248800</v>
      </c>
      <c r="F74" s="33">
        <v>8222496</v>
      </c>
      <c r="O74" s="676">
        <v>0</v>
      </c>
    </row>
    <row r="75" spans="1:15" x14ac:dyDescent="0.35">
      <c r="A75" s="33" t="s">
        <v>47</v>
      </c>
      <c r="B75" s="33" t="s">
        <v>78</v>
      </c>
      <c r="C75" s="33">
        <v>773310</v>
      </c>
      <c r="D75">
        <f t="shared" si="0"/>
        <v>3866550</v>
      </c>
      <c r="E75" s="33">
        <v>190886800</v>
      </c>
      <c r="F75" s="33">
        <v>4366296616</v>
      </c>
      <c r="O75" s="676">
        <v>172200000</v>
      </c>
    </row>
    <row r="76" spans="1:15" x14ac:dyDescent="0.35">
      <c r="A76" s="33" t="s">
        <v>48</v>
      </c>
      <c r="B76" s="33" t="s">
        <v>76</v>
      </c>
      <c r="C76" s="33">
        <v>18857</v>
      </c>
      <c r="D76">
        <f t="shared" si="0"/>
        <v>94285</v>
      </c>
      <c r="E76" s="33">
        <v>141335800</v>
      </c>
      <c r="F76" s="33">
        <v>136046504</v>
      </c>
      <c r="O76" s="676">
        <v>3600000</v>
      </c>
    </row>
    <row r="77" spans="1:15" x14ac:dyDescent="0.35">
      <c r="A77" s="33" t="s">
        <v>49</v>
      </c>
      <c r="B77" s="33" t="s">
        <v>75</v>
      </c>
      <c r="C77" s="33">
        <v>29374</v>
      </c>
      <c r="D77">
        <f t="shared" si="0"/>
        <v>146870</v>
      </c>
      <c r="E77" s="33">
        <v>107799200</v>
      </c>
      <c r="F77" s="33">
        <v>999155152</v>
      </c>
      <c r="O77" s="676">
        <v>129600000</v>
      </c>
    </row>
    <row r="78" spans="1:15" x14ac:dyDescent="0.35">
      <c r="A78" s="33" t="s">
        <v>50</v>
      </c>
      <c r="B78" s="33" t="s">
        <v>74</v>
      </c>
      <c r="C78" s="33">
        <v>6907</v>
      </c>
      <c r="D78">
        <f t="shared" si="0"/>
        <v>34535</v>
      </c>
      <c r="E78" s="33">
        <v>13054800</v>
      </c>
      <c r="F78" s="33">
        <v>264276872</v>
      </c>
      <c r="O78" s="676">
        <v>18000000</v>
      </c>
    </row>
    <row r="79" spans="1:15" x14ac:dyDescent="0.35">
      <c r="A79" s="33" t="s">
        <v>51</v>
      </c>
      <c r="B79" s="33" t="s">
        <v>80</v>
      </c>
      <c r="C79" s="33">
        <v>18997</v>
      </c>
      <c r="D79">
        <f t="shared" si="0"/>
        <v>94985</v>
      </c>
      <c r="E79" s="33">
        <v>77469200</v>
      </c>
      <c r="F79" s="33">
        <v>767101584</v>
      </c>
      <c r="O79" s="676">
        <v>606000000</v>
      </c>
    </row>
    <row r="80" spans="1:15" x14ac:dyDescent="0.35">
      <c r="A80" s="33" t="s">
        <v>52</v>
      </c>
      <c r="B80" s="33" t="s">
        <v>52</v>
      </c>
      <c r="C80" s="33">
        <v>1614</v>
      </c>
      <c r="D80">
        <f t="shared" si="0"/>
        <v>8070</v>
      </c>
      <c r="E80" s="33">
        <v>3552200</v>
      </c>
      <c r="F80" s="33">
        <v>625534624</v>
      </c>
      <c r="O80" s="676">
        <v>68400000</v>
      </c>
    </row>
    <row r="81" spans="1:15" x14ac:dyDescent="0.35">
      <c r="A81" s="33" t="s">
        <v>53</v>
      </c>
      <c r="B81" s="33" t="s">
        <v>77</v>
      </c>
      <c r="C81" s="33">
        <v>221650</v>
      </c>
      <c r="D81">
        <f t="shared" si="0"/>
        <v>1108250</v>
      </c>
      <c r="E81" s="33">
        <v>104236000</v>
      </c>
      <c r="F81" s="33">
        <v>2149602888</v>
      </c>
      <c r="O81" s="676">
        <v>14400000</v>
      </c>
    </row>
    <row r="82" spans="1:15" x14ac:dyDescent="0.35">
      <c r="A82" s="33" t="s">
        <v>54</v>
      </c>
      <c r="B82" s="33" t="s">
        <v>79</v>
      </c>
      <c r="C82" s="33">
        <v>454418</v>
      </c>
      <c r="D82">
        <f t="shared" si="0"/>
        <v>2272090</v>
      </c>
      <c r="E82" s="33">
        <v>23451600</v>
      </c>
      <c r="F82" s="33">
        <v>2040432840</v>
      </c>
      <c r="O82" s="676">
        <v>36000000</v>
      </c>
    </row>
    <row r="83" spans="1:15" x14ac:dyDescent="0.35">
      <c r="A83" s="33" t="s">
        <v>55</v>
      </c>
      <c r="B83" s="33" t="s">
        <v>74</v>
      </c>
      <c r="C83" s="33">
        <v>20432</v>
      </c>
      <c r="D83">
        <f t="shared" si="0"/>
        <v>102160</v>
      </c>
      <c r="E83" s="33">
        <v>2563200</v>
      </c>
      <c r="F83" s="33">
        <v>916946744</v>
      </c>
      <c r="O83" s="676">
        <v>68400000</v>
      </c>
    </row>
    <row r="84" spans="1:15" x14ac:dyDescent="0.35">
      <c r="A84" s="33" t="s">
        <v>56</v>
      </c>
      <c r="B84" s="33" t="s">
        <v>75</v>
      </c>
      <c r="C84" s="33">
        <v>29690</v>
      </c>
      <c r="D84">
        <f t="shared" si="0"/>
        <v>148450</v>
      </c>
      <c r="E84" s="33">
        <v>101917000</v>
      </c>
      <c r="F84" s="33">
        <v>1601417248</v>
      </c>
      <c r="O84" s="676">
        <v>230400000</v>
      </c>
    </row>
    <row r="85" spans="1:15" x14ac:dyDescent="0.35">
      <c r="A85" s="33" t="s">
        <v>57</v>
      </c>
      <c r="B85" s="33" t="s">
        <v>74</v>
      </c>
      <c r="C85" s="33">
        <v>118075</v>
      </c>
      <c r="D85">
        <f t="shared" si="0"/>
        <v>590375</v>
      </c>
      <c r="E85" s="33">
        <v>79228200</v>
      </c>
      <c r="F85" s="33">
        <v>1972228424</v>
      </c>
      <c r="O85" s="676">
        <v>54000000</v>
      </c>
    </row>
    <row r="86" spans="1:15" x14ac:dyDescent="0.35">
      <c r="A86" s="33" t="s">
        <v>58</v>
      </c>
      <c r="B86" s="33" t="s">
        <v>77</v>
      </c>
      <c r="C86" s="33">
        <v>34992</v>
      </c>
      <c r="D86">
        <f t="shared" si="0"/>
        <v>174960</v>
      </c>
      <c r="E86" s="33">
        <v>151200</v>
      </c>
      <c r="F86" s="33">
        <v>210269240</v>
      </c>
      <c r="O86" s="676">
        <v>0</v>
      </c>
    </row>
    <row r="87" spans="1:15" x14ac:dyDescent="0.35">
      <c r="A87" s="33" t="s">
        <v>59</v>
      </c>
      <c r="B87" s="33" t="s">
        <v>75</v>
      </c>
      <c r="C87" s="33">
        <v>9802</v>
      </c>
      <c r="D87">
        <f t="shared" si="0"/>
        <v>49010</v>
      </c>
      <c r="E87" s="33">
        <v>12090800</v>
      </c>
      <c r="F87" s="33">
        <v>4098289504</v>
      </c>
      <c r="O87" s="676">
        <v>712800000</v>
      </c>
    </row>
    <row r="88" spans="1:15" x14ac:dyDescent="0.35">
      <c r="C88" s="804">
        <f>SUM(SUM(C36:C87))</f>
        <v>3089592</v>
      </c>
      <c r="D88" s="804">
        <f>SUM(SUM(D36:D87))</f>
        <v>15447960</v>
      </c>
      <c r="E88" s="675">
        <f t="shared" ref="E88:F88" si="1">SUM(SUM(E36:E87))</f>
        <v>6044834880</v>
      </c>
      <c r="F88" s="118">
        <f t="shared" si="1"/>
        <v>68278419768</v>
      </c>
      <c r="O88" s="33">
        <f t="shared" ref="O88" si="2">SUM(SUM(O36:O87))</f>
        <v>7120800000</v>
      </c>
    </row>
    <row r="89" spans="1:15" x14ac:dyDescent="0.35">
      <c r="N89" s="676"/>
    </row>
    <row r="90" spans="1:15" x14ac:dyDescent="0.35">
      <c r="N90" s="676"/>
    </row>
    <row r="91" spans="1:15" x14ac:dyDescent="0.35">
      <c r="N91" s="676"/>
    </row>
    <row r="92" spans="1:15" x14ac:dyDescent="0.35">
      <c r="E92" s="676"/>
      <c r="F92" s="770"/>
      <c r="N92" s="676"/>
    </row>
    <row r="93" spans="1:15" x14ac:dyDescent="0.35">
      <c r="N93" s="676"/>
    </row>
    <row r="94" spans="1:15" x14ac:dyDescent="0.35">
      <c r="N94" s="676"/>
    </row>
    <row r="95" spans="1:15" x14ac:dyDescent="0.35">
      <c r="N95" s="676"/>
    </row>
    <row r="96" spans="1:15" x14ac:dyDescent="0.35">
      <c r="N96" s="676"/>
    </row>
    <row r="97" spans="14:14" x14ac:dyDescent="0.35">
      <c r="N97" s="676"/>
    </row>
    <row r="98" spans="14:14" x14ac:dyDescent="0.35">
      <c r="N98" s="676"/>
    </row>
    <row r="99" spans="14:14" x14ac:dyDescent="0.35">
      <c r="N99" s="676"/>
    </row>
    <row r="100" spans="14:14" x14ac:dyDescent="0.35">
      <c r="N100" s="676"/>
    </row>
    <row r="101" spans="14:14" x14ac:dyDescent="0.35">
      <c r="N101" s="676"/>
    </row>
    <row r="102" spans="14:14" x14ac:dyDescent="0.35">
      <c r="N102" s="676"/>
    </row>
    <row r="103" spans="14:14" x14ac:dyDescent="0.35">
      <c r="N103" s="676"/>
    </row>
    <row r="104" spans="14:14" x14ac:dyDescent="0.35">
      <c r="N104" s="676"/>
    </row>
    <row r="105" spans="14:14" x14ac:dyDescent="0.35">
      <c r="N105" s="676"/>
    </row>
    <row r="106" spans="14:14" x14ac:dyDescent="0.35">
      <c r="N106" s="676"/>
    </row>
    <row r="107" spans="14:14" x14ac:dyDescent="0.35">
      <c r="N107" s="676"/>
    </row>
    <row r="108" spans="14:14" x14ac:dyDescent="0.35">
      <c r="N108" s="676"/>
    </row>
    <row r="109" spans="14:14" x14ac:dyDescent="0.35">
      <c r="N109" s="676"/>
    </row>
    <row r="110" spans="14:14" x14ac:dyDescent="0.35">
      <c r="N110" s="676"/>
    </row>
    <row r="111" spans="14:14" x14ac:dyDescent="0.35">
      <c r="N111" s="676"/>
    </row>
    <row r="112" spans="14:14" x14ac:dyDescent="0.35">
      <c r="N112" s="676"/>
    </row>
    <row r="113" spans="14:14" x14ac:dyDescent="0.35">
      <c r="N113" s="676"/>
    </row>
    <row r="114" spans="14:14" x14ac:dyDescent="0.35">
      <c r="N114" s="676"/>
    </row>
    <row r="115" spans="14:14" x14ac:dyDescent="0.35">
      <c r="N115" s="676"/>
    </row>
    <row r="116" spans="14:14" x14ac:dyDescent="0.35">
      <c r="N116" s="676"/>
    </row>
    <row r="117" spans="14:14" x14ac:dyDescent="0.35">
      <c r="N117" s="676"/>
    </row>
    <row r="118" spans="14:14" x14ac:dyDescent="0.35">
      <c r="N118" s="676"/>
    </row>
    <row r="119" spans="14:14" x14ac:dyDescent="0.35">
      <c r="N119" s="676"/>
    </row>
    <row r="120" spans="14:14" x14ac:dyDescent="0.35">
      <c r="N120" s="676"/>
    </row>
    <row r="121" spans="14:14" x14ac:dyDescent="0.35">
      <c r="N121" s="676"/>
    </row>
    <row r="122" spans="14:14" x14ac:dyDescent="0.35">
      <c r="N122" s="676"/>
    </row>
    <row r="123" spans="14:14" x14ac:dyDescent="0.35">
      <c r="N123" s="676"/>
    </row>
    <row r="124" spans="14:14" x14ac:dyDescent="0.35">
      <c r="N124" s="676"/>
    </row>
    <row r="125" spans="14:14" x14ac:dyDescent="0.35">
      <c r="N125" s="676"/>
    </row>
    <row r="126" spans="14:14" x14ac:dyDescent="0.35">
      <c r="N126" s="676"/>
    </row>
    <row r="127" spans="14:14" x14ac:dyDescent="0.35">
      <c r="N127" s="676"/>
    </row>
    <row r="128" spans="14:14" x14ac:dyDescent="0.35">
      <c r="N128" s="676"/>
    </row>
    <row r="129" spans="14:14" x14ac:dyDescent="0.35">
      <c r="N129" s="676"/>
    </row>
    <row r="130" spans="14:14" x14ac:dyDescent="0.35">
      <c r="N130" s="676"/>
    </row>
    <row r="131" spans="14:14" x14ac:dyDescent="0.35">
      <c r="N131" s="676"/>
    </row>
    <row r="132" spans="14:14" x14ac:dyDescent="0.35">
      <c r="N132" s="676"/>
    </row>
    <row r="133" spans="14:14" x14ac:dyDescent="0.35">
      <c r="N133" s="676"/>
    </row>
    <row r="134" spans="14:14" x14ac:dyDescent="0.35">
      <c r="N134" s="676"/>
    </row>
    <row r="135" spans="14:14" x14ac:dyDescent="0.35">
      <c r="N135" s="676"/>
    </row>
    <row r="136" spans="14:14" x14ac:dyDescent="0.35">
      <c r="N136" s="676"/>
    </row>
    <row r="137" spans="14:14" x14ac:dyDescent="0.35">
      <c r="N137" s="676"/>
    </row>
    <row r="138" spans="14:14" x14ac:dyDescent="0.35">
      <c r="N138" s="676"/>
    </row>
    <row r="139" spans="14:14" x14ac:dyDescent="0.35">
      <c r="N139" s="676"/>
    </row>
    <row r="140" spans="14:14" x14ac:dyDescent="0.35">
      <c r="N140" s="676"/>
    </row>
    <row r="141" spans="14:14" x14ac:dyDescent="0.35">
      <c r="N141" s="676"/>
    </row>
    <row r="142" spans="14:14" x14ac:dyDescent="0.35">
      <c r="N142" s="676"/>
    </row>
    <row r="143" spans="14:14" x14ac:dyDescent="0.35">
      <c r="N143" s="676"/>
    </row>
    <row r="144" spans="14:14" x14ac:dyDescent="0.35">
      <c r="N144" s="676"/>
    </row>
    <row r="145" spans="14:14" x14ac:dyDescent="0.35">
      <c r="N145" s="676"/>
    </row>
    <row r="146" spans="14:14" x14ac:dyDescent="0.35">
      <c r="N146" s="676"/>
    </row>
    <row r="147" spans="14:14" x14ac:dyDescent="0.35">
      <c r="N147" s="676"/>
    </row>
    <row r="148" spans="14:14" x14ac:dyDescent="0.35">
      <c r="N148" s="676"/>
    </row>
    <row r="149" spans="14:14" x14ac:dyDescent="0.35">
      <c r="N149" s="676"/>
    </row>
    <row r="150" spans="14:14" x14ac:dyDescent="0.35">
      <c r="N150" s="676"/>
    </row>
    <row r="151" spans="14:14" x14ac:dyDescent="0.35">
      <c r="N151" s="676"/>
    </row>
    <row r="152" spans="14:14" x14ac:dyDescent="0.35">
      <c r="N152" s="676"/>
    </row>
    <row r="153" spans="14:14" x14ac:dyDescent="0.35">
      <c r="N153" s="676"/>
    </row>
    <row r="154" spans="14:14" x14ac:dyDescent="0.35">
      <c r="N154" s="676"/>
    </row>
    <row r="155" spans="14:14" x14ac:dyDescent="0.35">
      <c r="N155" s="676"/>
    </row>
    <row r="156" spans="14:14" x14ac:dyDescent="0.35">
      <c r="N156" s="676"/>
    </row>
    <row r="157" spans="14:14" x14ac:dyDescent="0.35">
      <c r="N157" s="676"/>
    </row>
    <row r="158" spans="14:14" x14ac:dyDescent="0.35">
      <c r="N158" s="676"/>
    </row>
    <row r="159" spans="14:14" x14ac:dyDescent="0.35">
      <c r="N159" s="676"/>
    </row>
    <row r="160" spans="14:14" x14ac:dyDescent="0.35">
      <c r="N160" s="676"/>
    </row>
    <row r="161" spans="14:14" x14ac:dyDescent="0.35">
      <c r="N161" s="676"/>
    </row>
    <row r="162" spans="14:14" x14ac:dyDescent="0.35">
      <c r="N162" s="676"/>
    </row>
    <row r="163" spans="14:14" x14ac:dyDescent="0.35">
      <c r="N163" s="676"/>
    </row>
    <row r="164" spans="14:14" x14ac:dyDescent="0.35">
      <c r="N164" s="676"/>
    </row>
    <row r="165" spans="14:14" x14ac:dyDescent="0.35">
      <c r="N165" s="676"/>
    </row>
    <row r="166" spans="14:14" x14ac:dyDescent="0.35">
      <c r="N166" s="676"/>
    </row>
    <row r="167" spans="14:14" x14ac:dyDescent="0.35">
      <c r="N167" s="676"/>
    </row>
    <row r="168" spans="14:14" x14ac:dyDescent="0.35">
      <c r="N168" s="676"/>
    </row>
    <row r="169" spans="14:14" x14ac:dyDescent="0.35">
      <c r="N169" s="676"/>
    </row>
    <row r="170" spans="14:14" x14ac:dyDescent="0.35">
      <c r="N170" s="676"/>
    </row>
    <row r="171" spans="14:14" x14ac:dyDescent="0.35">
      <c r="N171" s="676"/>
    </row>
    <row r="172" spans="14:14" x14ac:dyDescent="0.35">
      <c r="N172" s="676"/>
    </row>
    <row r="173" spans="14:14" x14ac:dyDescent="0.35">
      <c r="N173" s="676"/>
    </row>
    <row r="174" spans="14:14" x14ac:dyDescent="0.35">
      <c r="N174" s="676"/>
    </row>
    <row r="175" spans="14:14" x14ac:dyDescent="0.35">
      <c r="N175" s="676"/>
    </row>
    <row r="176" spans="14:14" x14ac:dyDescent="0.35">
      <c r="N176" s="676"/>
    </row>
    <row r="177" spans="14:14" x14ac:dyDescent="0.35">
      <c r="N177" s="676"/>
    </row>
    <row r="178" spans="14:14" x14ac:dyDescent="0.35">
      <c r="N178" s="676"/>
    </row>
    <row r="179" spans="14:14" x14ac:dyDescent="0.35">
      <c r="N179" s="676"/>
    </row>
    <row r="180" spans="14:14" x14ac:dyDescent="0.35">
      <c r="N180" s="676"/>
    </row>
    <row r="181" spans="14:14" x14ac:dyDescent="0.35">
      <c r="N181" s="676"/>
    </row>
    <row r="182" spans="14:14" x14ac:dyDescent="0.35">
      <c r="N182" s="676"/>
    </row>
    <row r="183" spans="14:14" x14ac:dyDescent="0.35">
      <c r="N183" s="676"/>
    </row>
    <row r="184" spans="14:14" x14ac:dyDescent="0.35">
      <c r="N184" s="676"/>
    </row>
    <row r="185" spans="14:14" x14ac:dyDescent="0.35">
      <c r="N185" s="676"/>
    </row>
    <row r="186" spans="14:14" x14ac:dyDescent="0.35">
      <c r="N186" s="676"/>
    </row>
    <row r="187" spans="14:14" x14ac:dyDescent="0.35">
      <c r="N187" s="676"/>
    </row>
    <row r="188" spans="14:14" x14ac:dyDescent="0.35">
      <c r="N188" s="676"/>
    </row>
    <row r="189" spans="14:14" x14ac:dyDescent="0.35">
      <c r="N189" s="676"/>
    </row>
    <row r="190" spans="14:14" x14ac:dyDescent="0.35">
      <c r="N190" s="676"/>
    </row>
    <row r="191" spans="14:14" x14ac:dyDescent="0.35">
      <c r="N191" s="676"/>
    </row>
    <row r="192" spans="14:14" x14ac:dyDescent="0.35">
      <c r="N192" s="676"/>
    </row>
    <row r="193" spans="14:14" x14ac:dyDescent="0.35">
      <c r="N193" s="676"/>
    </row>
    <row r="194" spans="14:14" x14ac:dyDescent="0.35">
      <c r="N194" s="676"/>
    </row>
    <row r="195" spans="14:14" x14ac:dyDescent="0.35">
      <c r="N195" s="676"/>
    </row>
    <row r="196" spans="14:14" x14ac:dyDescent="0.35">
      <c r="N196" s="676"/>
    </row>
    <row r="197" spans="14:14" x14ac:dyDescent="0.35">
      <c r="N197" s="676"/>
    </row>
    <row r="198" spans="14:14" x14ac:dyDescent="0.35">
      <c r="N198" s="676"/>
    </row>
    <row r="199" spans="14:14" x14ac:dyDescent="0.35">
      <c r="N199" s="676"/>
    </row>
    <row r="200" spans="14:14" x14ac:dyDescent="0.35">
      <c r="N200" s="676"/>
    </row>
    <row r="201" spans="14:14" x14ac:dyDescent="0.35">
      <c r="N201" s="676"/>
    </row>
    <row r="202" spans="14:14" x14ac:dyDescent="0.35">
      <c r="N202" s="676"/>
    </row>
    <row r="203" spans="14:14" x14ac:dyDescent="0.35">
      <c r="N203" s="676"/>
    </row>
    <row r="204" spans="14:14" x14ac:dyDescent="0.35">
      <c r="N204" s="676"/>
    </row>
    <row r="205" spans="14:14" x14ac:dyDescent="0.35">
      <c r="N205" s="676"/>
    </row>
    <row r="206" spans="14:14" x14ac:dyDescent="0.35">
      <c r="N206" s="676"/>
    </row>
    <row r="207" spans="14:14" x14ac:dyDescent="0.35">
      <c r="N207" s="676"/>
    </row>
    <row r="208" spans="14:14" x14ac:dyDescent="0.35">
      <c r="N208" s="676"/>
    </row>
    <row r="209" spans="14:14" x14ac:dyDescent="0.35">
      <c r="N209" s="676"/>
    </row>
    <row r="210" spans="14:14" x14ac:dyDescent="0.35">
      <c r="N210" s="676"/>
    </row>
    <row r="211" spans="14:14" x14ac:dyDescent="0.35">
      <c r="N211" s="676"/>
    </row>
    <row r="212" spans="14:14" x14ac:dyDescent="0.35">
      <c r="N212" s="676"/>
    </row>
    <row r="213" spans="14:14" x14ac:dyDescent="0.35">
      <c r="N213" s="676"/>
    </row>
    <row r="214" spans="14:14" x14ac:dyDescent="0.35">
      <c r="N214" s="676"/>
    </row>
    <row r="215" spans="14:14" x14ac:dyDescent="0.35">
      <c r="N215" s="676"/>
    </row>
    <row r="216" spans="14:14" x14ac:dyDescent="0.35">
      <c r="N216" s="676"/>
    </row>
    <row r="217" spans="14:14" x14ac:dyDescent="0.35">
      <c r="N217" s="676"/>
    </row>
    <row r="218" spans="14:14" x14ac:dyDescent="0.35">
      <c r="N218" s="676"/>
    </row>
    <row r="219" spans="14:14" x14ac:dyDescent="0.35">
      <c r="N219" s="676"/>
    </row>
    <row r="220" spans="14:14" x14ac:dyDescent="0.35">
      <c r="N220" s="676"/>
    </row>
    <row r="221" spans="14:14" x14ac:dyDescent="0.35">
      <c r="N221" s="676"/>
    </row>
    <row r="222" spans="14:14" x14ac:dyDescent="0.35">
      <c r="N222" s="676"/>
    </row>
    <row r="223" spans="14:14" x14ac:dyDescent="0.35">
      <c r="N223" s="676"/>
    </row>
    <row r="224" spans="14:14" x14ac:dyDescent="0.35">
      <c r="N224" s="676"/>
    </row>
    <row r="225" spans="14:14" x14ac:dyDescent="0.35">
      <c r="N225" s="676"/>
    </row>
    <row r="226" spans="14:14" x14ac:dyDescent="0.35">
      <c r="N226" s="676"/>
    </row>
    <row r="227" spans="14:14" x14ac:dyDescent="0.35">
      <c r="N227" s="676"/>
    </row>
    <row r="228" spans="14:14" x14ac:dyDescent="0.35">
      <c r="N228" s="676"/>
    </row>
    <row r="229" spans="14:14" x14ac:dyDescent="0.35">
      <c r="N229" s="676"/>
    </row>
    <row r="230" spans="14:14" x14ac:dyDescent="0.35">
      <c r="N230" s="676"/>
    </row>
    <row r="231" spans="14:14" x14ac:dyDescent="0.35">
      <c r="N231" s="676"/>
    </row>
    <row r="232" spans="14:14" x14ac:dyDescent="0.35">
      <c r="N232" s="676"/>
    </row>
    <row r="233" spans="14:14" x14ac:dyDescent="0.35">
      <c r="N233" s="676"/>
    </row>
    <row r="234" spans="14:14" x14ac:dyDescent="0.35">
      <c r="N234" s="676"/>
    </row>
    <row r="235" spans="14:14" x14ac:dyDescent="0.35">
      <c r="N235" s="676"/>
    </row>
    <row r="236" spans="14:14" x14ac:dyDescent="0.35">
      <c r="N236" s="676"/>
    </row>
    <row r="237" spans="14:14" x14ac:dyDescent="0.35">
      <c r="N237" s="676"/>
    </row>
    <row r="238" spans="14:14" x14ac:dyDescent="0.35">
      <c r="N238" s="676"/>
    </row>
    <row r="239" spans="14:14" x14ac:dyDescent="0.35">
      <c r="N239" s="676"/>
    </row>
    <row r="240" spans="14:14" x14ac:dyDescent="0.35">
      <c r="N240" s="676"/>
    </row>
    <row r="241" spans="14:14" x14ac:dyDescent="0.35">
      <c r="N241" s="676"/>
    </row>
    <row r="242" spans="14:14" x14ac:dyDescent="0.35">
      <c r="N242" s="676"/>
    </row>
    <row r="243" spans="14:14" x14ac:dyDescent="0.35">
      <c r="N243" s="676"/>
    </row>
    <row r="244" spans="14:14" x14ac:dyDescent="0.35">
      <c r="N244" s="676"/>
    </row>
    <row r="245" spans="14:14" x14ac:dyDescent="0.35">
      <c r="N245" s="676"/>
    </row>
    <row r="246" spans="14:14" x14ac:dyDescent="0.35">
      <c r="N246" s="676"/>
    </row>
    <row r="247" spans="14:14" x14ac:dyDescent="0.35">
      <c r="N247" s="676"/>
    </row>
    <row r="248" spans="14:14" x14ac:dyDescent="0.35">
      <c r="N248" s="676"/>
    </row>
    <row r="249" spans="14:14" x14ac:dyDescent="0.35">
      <c r="N249" s="676"/>
    </row>
    <row r="250" spans="14:14" x14ac:dyDescent="0.35">
      <c r="N250" s="676"/>
    </row>
    <row r="251" spans="14:14" x14ac:dyDescent="0.35">
      <c r="N251" s="676"/>
    </row>
    <row r="252" spans="14:14" x14ac:dyDescent="0.35">
      <c r="N252" s="676"/>
    </row>
    <row r="253" spans="14:14" x14ac:dyDescent="0.35">
      <c r="N253" s="676"/>
    </row>
    <row r="254" spans="14:14" x14ac:dyDescent="0.35">
      <c r="N254" s="676"/>
    </row>
    <row r="255" spans="14:14" x14ac:dyDescent="0.35">
      <c r="N255" s="676"/>
    </row>
    <row r="256" spans="14:14" x14ac:dyDescent="0.35">
      <c r="N256" s="676"/>
    </row>
    <row r="257" spans="14:14" x14ac:dyDescent="0.35">
      <c r="N257" s="676"/>
    </row>
    <row r="258" spans="14:14" x14ac:dyDescent="0.35">
      <c r="N258" s="676"/>
    </row>
    <row r="259" spans="14:14" x14ac:dyDescent="0.35">
      <c r="N259" s="676"/>
    </row>
    <row r="260" spans="14:14" x14ac:dyDescent="0.35">
      <c r="N260" s="676"/>
    </row>
    <row r="261" spans="14:14" x14ac:dyDescent="0.35">
      <c r="N261" s="676"/>
    </row>
    <row r="262" spans="14:14" x14ac:dyDescent="0.35">
      <c r="N262" s="676"/>
    </row>
    <row r="263" spans="14:14" x14ac:dyDescent="0.35">
      <c r="N263" s="676"/>
    </row>
    <row r="264" spans="14:14" x14ac:dyDescent="0.35">
      <c r="N264" s="676"/>
    </row>
    <row r="265" spans="14:14" x14ac:dyDescent="0.35">
      <c r="N265" s="676"/>
    </row>
    <row r="266" spans="14:14" x14ac:dyDescent="0.35">
      <c r="N266" s="676"/>
    </row>
    <row r="267" spans="14:14" x14ac:dyDescent="0.35">
      <c r="N267" s="676"/>
    </row>
    <row r="268" spans="14:14" x14ac:dyDescent="0.35">
      <c r="N268" s="676"/>
    </row>
    <row r="269" spans="14:14" x14ac:dyDescent="0.35">
      <c r="N269" s="676"/>
    </row>
    <row r="270" spans="14:14" x14ac:dyDescent="0.35">
      <c r="N270" s="676"/>
    </row>
    <row r="271" spans="14:14" x14ac:dyDescent="0.35">
      <c r="N271" s="676"/>
    </row>
    <row r="272" spans="14:14" x14ac:dyDescent="0.35">
      <c r="N272" s="676"/>
    </row>
    <row r="273" spans="14:14" x14ac:dyDescent="0.35">
      <c r="N273" s="676"/>
    </row>
    <row r="274" spans="14:14" x14ac:dyDescent="0.35">
      <c r="N274" s="676"/>
    </row>
    <row r="275" spans="14:14" x14ac:dyDescent="0.35">
      <c r="N275" s="676"/>
    </row>
    <row r="276" spans="14:14" x14ac:dyDescent="0.35">
      <c r="N276" s="676"/>
    </row>
    <row r="277" spans="14:14" x14ac:dyDescent="0.35">
      <c r="N277" s="676"/>
    </row>
    <row r="278" spans="14:14" x14ac:dyDescent="0.35">
      <c r="N278" s="676"/>
    </row>
    <row r="279" spans="14:14" x14ac:dyDescent="0.35">
      <c r="N279" s="676"/>
    </row>
    <row r="280" spans="14:14" x14ac:dyDescent="0.35">
      <c r="N280" s="676"/>
    </row>
    <row r="281" spans="14:14" x14ac:dyDescent="0.35">
      <c r="N281" s="676"/>
    </row>
    <row r="282" spans="14:14" x14ac:dyDescent="0.35">
      <c r="N282" s="676"/>
    </row>
    <row r="283" spans="14:14" x14ac:dyDescent="0.35">
      <c r="N283" s="676"/>
    </row>
    <row r="284" spans="14:14" x14ac:dyDescent="0.35">
      <c r="N284" s="676"/>
    </row>
    <row r="285" spans="14:14" x14ac:dyDescent="0.35">
      <c r="N285" s="676"/>
    </row>
    <row r="286" spans="14:14" x14ac:dyDescent="0.35">
      <c r="N286" s="676"/>
    </row>
    <row r="287" spans="14:14" x14ac:dyDescent="0.35">
      <c r="N287" s="676"/>
    </row>
    <row r="288" spans="14:14" x14ac:dyDescent="0.35">
      <c r="N288" s="676"/>
    </row>
    <row r="289" spans="14:14" x14ac:dyDescent="0.35">
      <c r="N289" s="676"/>
    </row>
    <row r="290" spans="14:14" x14ac:dyDescent="0.35">
      <c r="N290" s="676"/>
    </row>
    <row r="291" spans="14:14" x14ac:dyDescent="0.35">
      <c r="N291" s="676"/>
    </row>
    <row r="292" spans="14:14" x14ac:dyDescent="0.35">
      <c r="N292" s="676"/>
    </row>
    <row r="293" spans="14:14" x14ac:dyDescent="0.35">
      <c r="N293" s="676"/>
    </row>
    <row r="294" spans="14:14" x14ac:dyDescent="0.35">
      <c r="N294" s="676"/>
    </row>
    <row r="295" spans="14:14" x14ac:dyDescent="0.35">
      <c r="N295" s="676"/>
    </row>
    <row r="296" spans="14:14" x14ac:dyDescent="0.35">
      <c r="N296" s="676"/>
    </row>
    <row r="297" spans="14:14" x14ac:dyDescent="0.35">
      <c r="N297" s="676"/>
    </row>
    <row r="298" spans="14:14" x14ac:dyDescent="0.35">
      <c r="N298" s="676"/>
    </row>
    <row r="299" spans="14:14" x14ac:dyDescent="0.35">
      <c r="N299" s="676"/>
    </row>
    <row r="300" spans="14:14" x14ac:dyDescent="0.35">
      <c r="N300" s="676"/>
    </row>
    <row r="301" spans="14:14" x14ac:dyDescent="0.35">
      <c r="N301" s="676"/>
    </row>
    <row r="302" spans="14:14" x14ac:dyDescent="0.35">
      <c r="N302" s="676"/>
    </row>
    <row r="303" spans="14:14" x14ac:dyDescent="0.35">
      <c r="N303" s="676"/>
    </row>
    <row r="304" spans="14:14" x14ac:dyDescent="0.35">
      <c r="N304" s="676"/>
    </row>
    <row r="305" spans="14:14" x14ac:dyDescent="0.35">
      <c r="N305" s="676"/>
    </row>
    <row r="306" spans="14:14" x14ac:dyDescent="0.35">
      <c r="N306" s="676"/>
    </row>
    <row r="307" spans="14:14" x14ac:dyDescent="0.35">
      <c r="N307" s="676"/>
    </row>
    <row r="308" spans="14:14" x14ac:dyDescent="0.35">
      <c r="N308" s="676"/>
    </row>
    <row r="309" spans="14:14" x14ac:dyDescent="0.35">
      <c r="N309" s="676"/>
    </row>
    <row r="310" spans="14:14" x14ac:dyDescent="0.35">
      <c r="N310" s="676"/>
    </row>
    <row r="311" spans="14:14" x14ac:dyDescent="0.35">
      <c r="N311" s="676"/>
    </row>
    <row r="312" spans="14:14" x14ac:dyDescent="0.35">
      <c r="N312" s="676"/>
    </row>
    <row r="313" spans="14:14" x14ac:dyDescent="0.35">
      <c r="N313" s="676"/>
    </row>
    <row r="314" spans="14:14" x14ac:dyDescent="0.35">
      <c r="N314" s="676"/>
    </row>
    <row r="315" spans="14:14" x14ac:dyDescent="0.35">
      <c r="N315" s="676"/>
    </row>
    <row r="316" spans="14:14" x14ac:dyDescent="0.35">
      <c r="N316" s="676"/>
    </row>
    <row r="317" spans="14:14" x14ac:dyDescent="0.35">
      <c r="N317" s="676"/>
    </row>
    <row r="318" spans="14:14" x14ac:dyDescent="0.35">
      <c r="N318" s="676"/>
    </row>
    <row r="319" spans="14:14" x14ac:dyDescent="0.35">
      <c r="N319" s="676"/>
    </row>
    <row r="320" spans="14:14" x14ac:dyDescent="0.35">
      <c r="N320" s="676"/>
    </row>
    <row r="321" spans="14:14" x14ac:dyDescent="0.35">
      <c r="N321" s="676"/>
    </row>
    <row r="322" spans="14:14" x14ac:dyDescent="0.35">
      <c r="N322" s="676"/>
    </row>
    <row r="323" spans="14:14" x14ac:dyDescent="0.35">
      <c r="N323" s="676"/>
    </row>
    <row r="324" spans="14:14" x14ac:dyDescent="0.35">
      <c r="N324" s="676"/>
    </row>
    <row r="325" spans="14:14" x14ac:dyDescent="0.35">
      <c r="N325" s="676"/>
    </row>
    <row r="326" spans="14:14" x14ac:dyDescent="0.35">
      <c r="N326" s="676"/>
    </row>
    <row r="327" spans="14:14" x14ac:dyDescent="0.35">
      <c r="N327" s="676"/>
    </row>
    <row r="328" spans="14:14" x14ac:dyDescent="0.35">
      <c r="N328" s="676"/>
    </row>
    <row r="329" spans="14:14" x14ac:dyDescent="0.35">
      <c r="N329" s="676"/>
    </row>
    <row r="330" spans="14:14" x14ac:dyDescent="0.35">
      <c r="N330" s="676"/>
    </row>
    <row r="331" spans="14:14" x14ac:dyDescent="0.35">
      <c r="N331" s="676"/>
    </row>
    <row r="332" spans="14:14" x14ac:dyDescent="0.35">
      <c r="N332" s="676"/>
    </row>
    <row r="333" spans="14:14" x14ac:dyDescent="0.35">
      <c r="N333" s="676"/>
    </row>
    <row r="334" spans="14:14" x14ac:dyDescent="0.35">
      <c r="N334" s="676"/>
    </row>
    <row r="335" spans="14:14" x14ac:dyDescent="0.35">
      <c r="N335" s="676"/>
    </row>
    <row r="336" spans="14:14" x14ac:dyDescent="0.35">
      <c r="N336" s="676"/>
    </row>
    <row r="337" spans="14:14" x14ac:dyDescent="0.35">
      <c r="N337" s="676"/>
    </row>
    <row r="338" spans="14:14" x14ac:dyDescent="0.35">
      <c r="N338" s="676"/>
    </row>
    <row r="339" spans="14:14" x14ac:dyDescent="0.35">
      <c r="N339" s="676"/>
    </row>
    <row r="340" spans="14:14" x14ac:dyDescent="0.35">
      <c r="N340" s="676"/>
    </row>
    <row r="341" spans="14:14" x14ac:dyDescent="0.35">
      <c r="N341" s="676"/>
    </row>
    <row r="342" spans="14:14" x14ac:dyDescent="0.35">
      <c r="N342" s="676"/>
    </row>
    <row r="343" spans="14:14" x14ac:dyDescent="0.35">
      <c r="N343" s="676"/>
    </row>
    <row r="344" spans="14:14" x14ac:dyDescent="0.35">
      <c r="N344" s="676"/>
    </row>
    <row r="345" spans="14:14" x14ac:dyDescent="0.35">
      <c r="N345" s="676"/>
    </row>
    <row r="346" spans="14:14" x14ac:dyDescent="0.35">
      <c r="N346" s="676"/>
    </row>
    <row r="347" spans="14:14" x14ac:dyDescent="0.35">
      <c r="N347" s="676"/>
    </row>
    <row r="348" spans="14:14" x14ac:dyDescent="0.35">
      <c r="N348" s="676"/>
    </row>
    <row r="349" spans="14:14" x14ac:dyDescent="0.35">
      <c r="N349" s="676"/>
    </row>
    <row r="350" spans="14:14" x14ac:dyDescent="0.35">
      <c r="N350" s="676"/>
    </row>
    <row r="351" spans="14:14" x14ac:dyDescent="0.35">
      <c r="N351" s="676"/>
    </row>
    <row r="352" spans="14:14" x14ac:dyDescent="0.35">
      <c r="N352" s="676"/>
    </row>
    <row r="353" spans="14:14" x14ac:dyDescent="0.35">
      <c r="N353" s="676"/>
    </row>
    <row r="354" spans="14:14" x14ac:dyDescent="0.35">
      <c r="N354" s="676"/>
    </row>
    <row r="355" spans="14:14" x14ac:dyDescent="0.35">
      <c r="N355" s="676"/>
    </row>
    <row r="356" spans="14:14" x14ac:dyDescent="0.35">
      <c r="N356" s="676"/>
    </row>
    <row r="357" spans="14:14" x14ac:dyDescent="0.35">
      <c r="N357" s="676"/>
    </row>
    <row r="358" spans="14:14" x14ac:dyDescent="0.35">
      <c r="N358" s="676"/>
    </row>
    <row r="359" spans="14:14" x14ac:dyDescent="0.35">
      <c r="N359" s="676"/>
    </row>
    <row r="360" spans="14:14" x14ac:dyDescent="0.35">
      <c r="N360" s="676"/>
    </row>
    <row r="361" spans="14:14" x14ac:dyDescent="0.35">
      <c r="N361" s="676"/>
    </row>
    <row r="362" spans="14:14" x14ac:dyDescent="0.35">
      <c r="N362" s="676"/>
    </row>
    <row r="363" spans="14:14" x14ac:dyDescent="0.35">
      <c r="N363" s="676"/>
    </row>
    <row r="364" spans="14:14" x14ac:dyDescent="0.35">
      <c r="N364" s="676"/>
    </row>
    <row r="365" spans="14:14" x14ac:dyDescent="0.35">
      <c r="N365" s="676"/>
    </row>
    <row r="366" spans="14:14" x14ac:dyDescent="0.35">
      <c r="N366" s="676"/>
    </row>
    <row r="367" spans="14:14" x14ac:dyDescent="0.35">
      <c r="N367" s="676"/>
    </row>
    <row r="368" spans="14:14" x14ac:dyDescent="0.35">
      <c r="N368" s="676"/>
    </row>
    <row r="369" spans="14:14" x14ac:dyDescent="0.35">
      <c r="N369" s="676"/>
    </row>
    <row r="370" spans="14:14" x14ac:dyDescent="0.35">
      <c r="N370" s="676"/>
    </row>
    <row r="371" spans="14:14" x14ac:dyDescent="0.35">
      <c r="N371" s="676"/>
    </row>
    <row r="372" spans="14:14" x14ac:dyDescent="0.35">
      <c r="N372" s="676"/>
    </row>
    <row r="373" spans="14:14" x14ac:dyDescent="0.35">
      <c r="N373" s="676"/>
    </row>
    <row r="374" spans="14:14" x14ac:dyDescent="0.35">
      <c r="N374" s="676"/>
    </row>
    <row r="375" spans="14:14" x14ac:dyDescent="0.35">
      <c r="N375" s="676"/>
    </row>
    <row r="376" spans="14:14" x14ac:dyDescent="0.35">
      <c r="N376" s="676"/>
    </row>
    <row r="377" spans="14:14" x14ac:dyDescent="0.35">
      <c r="N377" s="676"/>
    </row>
    <row r="378" spans="14:14" x14ac:dyDescent="0.35">
      <c r="N378" s="676"/>
    </row>
    <row r="379" spans="14:14" x14ac:dyDescent="0.35">
      <c r="N379" s="676"/>
    </row>
    <row r="380" spans="14:14" x14ac:dyDescent="0.35">
      <c r="N380" s="676"/>
    </row>
    <row r="381" spans="14:14" x14ac:dyDescent="0.35">
      <c r="N381" s="676"/>
    </row>
    <row r="382" spans="14:14" x14ac:dyDescent="0.35">
      <c r="N382" s="676"/>
    </row>
    <row r="383" spans="14:14" x14ac:dyDescent="0.35">
      <c r="N383" s="676"/>
    </row>
    <row r="384" spans="14:14" x14ac:dyDescent="0.35">
      <c r="N384" s="676"/>
    </row>
    <row r="385" spans="14:14" x14ac:dyDescent="0.35">
      <c r="N385" s="676"/>
    </row>
    <row r="386" spans="14:14" x14ac:dyDescent="0.35">
      <c r="N386" s="676"/>
    </row>
    <row r="387" spans="14:14" x14ac:dyDescent="0.35">
      <c r="N387" s="676"/>
    </row>
    <row r="388" spans="14:14" x14ac:dyDescent="0.35">
      <c r="N388" s="676"/>
    </row>
    <row r="389" spans="14:14" x14ac:dyDescent="0.35">
      <c r="N389" s="676"/>
    </row>
    <row r="390" spans="14:14" x14ac:dyDescent="0.35">
      <c r="N390" s="676"/>
    </row>
    <row r="391" spans="14:14" x14ac:dyDescent="0.35">
      <c r="N391" s="676"/>
    </row>
    <row r="392" spans="14:14" x14ac:dyDescent="0.35">
      <c r="N392" s="676"/>
    </row>
    <row r="393" spans="14:14" x14ac:dyDescent="0.35">
      <c r="N393" s="676"/>
    </row>
    <row r="394" spans="14:14" x14ac:dyDescent="0.35">
      <c r="N394" s="676"/>
    </row>
    <row r="395" spans="14:14" x14ac:dyDescent="0.35">
      <c r="N395" s="676"/>
    </row>
    <row r="396" spans="14:14" x14ac:dyDescent="0.35">
      <c r="N396" s="676"/>
    </row>
    <row r="397" spans="14:14" x14ac:dyDescent="0.35">
      <c r="N397" s="676"/>
    </row>
    <row r="398" spans="14:14" x14ac:dyDescent="0.35">
      <c r="N398" s="676"/>
    </row>
    <row r="399" spans="14:14" x14ac:dyDescent="0.35">
      <c r="N399" s="676"/>
    </row>
    <row r="400" spans="14:14" x14ac:dyDescent="0.35">
      <c r="N400" s="676"/>
    </row>
    <row r="401" spans="14:14" x14ac:dyDescent="0.35">
      <c r="N401" s="676"/>
    </row>
    <row r="402" spans="14:14" x14ac:dyDescent="0.35">
      <c r="N402" s="676"/>
    </row>
    <row r="403" spans="14:14" x14ac:dyDescent="0.35">
      <c r="N403" s="676"/>
    </row>
    <row r="404" spans="14:14" x14ac:dyDescent="0.35">
      <c r="N404" s="676"/>
    </row>
    <row r="405" spans="14:14" x14ac:dyDescent="0.35">
      <c r="N405" s="676"/>
    </row>
    <row r="406" spans="14:14" x14ac:dyDescent="0.35">
      <c r="N406" s="676"/>
    </row>
    <row r="407" spans="14:14" x14ac:dyDescent="0.35">
      <c r="N407" s="676"/>
    </row>
    <row r="408" spans="14:14" x14ac:dyDescent="0.35">
      <c r="N408" s="676"/>
    </row>
    <row r="409" spans="14:14" x14ac:dyDescent="0.35">
      <c r="N409" s="676"/>
    </row>
    <row r="410" spans="14:14" x14ac:dyDescent="0.35">
      <c r="N410" s="676"/>
    </row>
    <row r="411" spans="14:14" x14ac:dyDescent="0.35">
      <c r="N411" s="676"/>
    </row>
    <row r="412" spans="14:14" x14ac:dyDescent="0.35">
      <c r="N412" s="676"/>
    </row>
    <row r="413" spans="14:14" x14ac:dyDescent="0.35">
      <c r="N413" s="676"/>
    </row>
    <row r="414" spans="14:14" x14ac:dyDescent="0.35">
      <c r="N414" s="676"/>
    </row>
    <row r="415" spans="14:14" x14ac:dyDescent="0.35">
      <c r="N415" s="676"/>
    </row>
    <row r="416" spans="14:14" x14ac:dyDescent="0.35">
      <c r="N416" s="676"/>
    </row>
    <row r="417" spans="14:14" x14ac:dyDescent="0.35">
      <c r="N417" s="676"/>
    </row>
    <row r="418" spans="14:14" x14ac:dyDescent="0.35">
      <c r="N418" s="676"/>
    </row>
    <row r="419" spans="14:14" x14ac:dyDescent="0.35">
      <c r="N419" s="676"/>
    </row>
    <row r="420" spans="14:14" x14ac:dyDescent="0.35">
      <c r="N420" s="676"/>
    </row>
    <row r="421" spans="14:14" x14ac:dyDescent="0.35">
      <c r="N421" s="676"/>
    </row>
    <row r="422" spans="14:14" x14ac:dyDescent="0.35">
      <c r="N422" s="676"/>
    </row>
    <row r="423" spans="14:14" x14ac:dyDescent="0.35">
      <c r="N423" s="676"/>
    </row>
    <row r="424" spans="14:14" x14ac:dyDescent="0.35">
      <c r="N424" s="676"/>
    </row>
    <row r="425" spans="14:14" x14ac:dyDescent="0.35">
      <c r="N425" s="676"/>
    </row>
    <row r="426" spans="14:14" x14ac:dyDescent="0.35">
      <c r="N426" s="676"/>
    </row>
    <row r="427" spans="14:14" x14ac:dyDescent="0.35">
      <c r="N427" s="676"/>
    </row>
    <row r="428" spans="14:14" x14ac:dyDescent="0.35">
      <c r="N428" s="676"/>
    </row>
    <row r="429" spans="14:14" x14ac:dyDescent="0.35">
      <c r="N429" s="676"/>
    </row>
    <row r="430" spans="14:14" x14ac:dyDescent="0.35">
      <c r="N430" s="676"/>
    </row>
    <row r="431" spans="14:14" x14ac:dyDescent="0.35">
      <c r="N431" s="676"/>
    </row>
    <row r="432" spans="14:14" x14ac:dyDescent="0.35">
      <c r="N432" s="676"/>
    </row>
    <row r="433" spans="14:14" x14ac:dyDescent="0.35">
      <c r="N433" s="676"/>
    </row>
    <row r="434" spans="14:14" x14ac:dyDescent="0.35">
      <c r="N434" s="676"/>
    </row>
    <row r="435" spans="14:14" x14ac:dyDescent="0.35">
      <c r="N435" s="676"/>
    </row>
    <row r="436" spans="14:14" x14ac:dyDescent="0.35">
      <c r="N436" s="676"/>
    </row>
    <row r="437" spans="14:14" x14ac:dyDescent="0.35">
      <c r="N437" s="676"/>
    </row>
    <row r="438" spans="14:14" x14ac:dyDescent="0.35">
      <c r="N438" s="676"/>
    </row>
    <row r="439" spans="14:14" x14ac:dyDescent="0.35">
      <c r="N439" s="676"/>
    </row>
    <row r="440" spans="14:14" x14ac:dyDescent="0.35">
      <c r="N440" s="676"/>
    </row>
    <row r="441" spans="14:14" x14ac:dyDescent="0.35">
      <c r="N441" s="676"/>
    </row>
    <row r="442" spans="14:14" x14ac:dyDescent="0.35">
      <c r="N442" s="676"/>
    </row>
    <row r="443" spans="14:14" x14ac:dyDescent="0.35">
      <c r="N443" s="676"/>
    </row>
    <row r="444" spans="14:14" x14ac:dyDescent="0.35">
      <c r="N444" s="676"/>
    </row>
    <row r="445" spans="14:14" x14ac:dyDescent="0.35">
      <c r="N445" s="676"/>
    </row>
    <row r="446" spans="14:14" x14ac:dyDescent="0.35">
      <c r="N446" s="676"/>
    </row>
    <row r="447" spans="14:14" x14ac:dyDescent="0.35">
      <c r="N447" s="676"/>
    </row>
    <row r="448" spans="14:14" x14ac:dyDescent="0.35">
      <c r="N448" s="676"/>
    </row>
    <row r="449" spans="14:14" x14ac:dyDescent="0.35">
      <c r="N449" s="676"/>
    </row>
    <row r="450" spans="14:14" x14ac:dyDescent="0.35">
      <c r="N450" s="676"/>
    </row>
    <row r="451" spans="14:14" x14ac:dyDescent="0.35">
      <c r="N451" s="676"/>
    </row>
    <row r="452" spans="14:14" x14ac:dyDescent="0.35">
      <c r="N452" s="676"/>
    </row>
    <row r="453" spans="14:14" x14ac:dyDescent="0.35">
      <c r="N453" s="676"/>
    </row>
    <row r="454" spans="14:14" x14ac:dyDescent="0.35">
      <c r="N454" s="676"/>
    </row>
    <row r="455" spans="14:14" x14ac:dyDescent="0.35">
      <c r="N455" s="676"/>
    </row>
    <row r="456" spans="14:14" x14ac:dyDescent="0.35">
      <c r="N456" s="676"/>
    </row>
    <row r="457" spans="14:14" x14ac:dyDescent="0.35">
      <c r="N457" s="676"/>
    </row>
    <row r="458" spans="14:14" x14ac:dyDescent="0.35">
      <c r="N458" s="676"/>
    </row>
    <row r="459" spans="14:14" x14ac:dyDescent="0.35">
      <c r="N459" s="676"/>
    </row>
    <row r="460" spans="14:14" x14ac:dyDescent="0.35">
      <c r="N460" s="676"/>
    </row>
    <row r="461" spans="14:14" x14ac:dyDescent="0.35">
      <c r="N461" s="676"/>
    </row>
    <row r="462" spans="14:14" x14ac:dyDescent="0.35">
      <c r="N462" s="676"/>
    </row>
    <row r="463" spans="14:14" x14ac:dyDescent="0.35">
      <c r="N463" s="676"/>
    </row>
    <row r="464" spans="14:14" x14ac:dyDescent="0.35">
      <c r="N464" s="676"/>
    </row>
    <row r="465" spans="14:14" x14ac:dyDescent="0.35">
      <c r="N465" s="676"/>
    </row>
    <row r="466" spans="14:14" x14ac:dyDescent="0.35">
      <c r="N466" s="676"/>
    </row>
    <row r="467" spans="14:14" x14ac:dyDescent="0.35">
      <c r="N467" s="676"/>
    </row>
    <row r="468" spans="14:14" x14ac:dyDescent="0.35">
      <c r="N468" s="676"/>
    </row>
    <row r="469" spans="14:14" x14ac:dyDescent="0.35">
      <c r="N469" s="676"/>
    </row>
    <row r="470" spans="14:14" x14ac:dyDescent="0.35">
      <c r="N470" s="676"/>
    </row>
    <row r="471" spans="14:14" x14ac:dyDescent="0.35">
      <c r="N471" s="676"/>
    </row>
    <row r="472" spans="14:14" x14ac:dyDescent="0.35">
      <c r="N472" s="676"/>
    </row>
    <row r="473" spans="14:14" x14ac:dyDescent="0.35">
      <c r="N473" s="676"/>
    </row>
    <row r="474" spans="14:14" x14ac:dyDescent="0.35">
      <c r="N474" s="676"/>
    </row>
    <row r="475" spans="14:14" x14ac:dyDescent="0.35">
      <c r="N475" s="676"/>
    </row>
    <row r="476" spans="14:14" x14ac:dyDescent="0.35">
      <c r="N476" s="676"/>
    </row>
    <row r="477" spans="14:14" x14ac:dyDescent="0.35">
      <c r="N477" s="676"/>
    </row>
    <row r="478" spans="14:14" x14ac:dyDescent="0.35">
      <c r="N478" s="676"/>
    </row>
    <row r="479" spans="14:14" x14ac:dyDescent="0.35">
      <c r="N479" s="676"/>
    </row>
    <row r="480" spans="14:14" x14ac:dyDescent="0.35">
      <c r="N480" s="676"/>
    </row>
    <row r="481" spans="14:14" x14ac:dyDescent="0.35">
      <c r="N481" s="676"/>
    </row>
    <row r="482" spans="14:14" x14ac:dyDescent="0.35">
      <c r="N482" s="676"/>
    </row>
    <row r="483" spans="14:14" x14ac:dyDescent="0.35">
      <c r="N483" s="676"/>
    </row>
    <row r="484" spans="14:14" x14ac:dyDescent="0.35">
      <c r="N484" s="676"/>
    </row>
    <row r="485" spans="14:14" x14ac:dyDescent="0.35">
      <c r="N485" s="676"/>
    </row>
    <row r="486" spans="14:14" x14ac:dyDescent="0.35">
      <c r="N486" s="676"/>
    </row>
    <row r="487" spans="14:14" x14ac:dyDescent="0.35">
      <c r="N487" s="676"/>
    </row>
    <row r="488" spans="14:14" x14ac:dyDescent="0.35">
      <c r="N488" s="676"/>
    </row>
    <row r="489" spans="14:14" x14ac:dyDescent="0.35">
      <c r="N489" s="676"/>
    </row>
    <row r="490" spans="14:14" x14ac:dyDescent="0.35">
      <c r="N490" s="676"/>
    </row>
    <row r="491" spans="14:14" x14ac:dyDescent="0.35">
      <c r="N491" s="676"/>
    </row>
    <row r="492" spans="14:14" x14ac:dyDescent="0.35">
      <c r="N492" s="676"/>
    </row>
    <row r="493" spans="14:14" x14ac:dyDescent="0.35">
      <c r="N493" s="676"/>
    </row>
    <row r="494" spans="14:14" x14ac:dyDescent="0.35">
      <c r="N494" s="676"/>
    </row>
    <row r="495" spans="14:14" x14ac:dyDescent="0.35">
      <c r="N495" s="676"/>
    </row>
    <row r="496" spans="14:14" x14ac:dyDescent="0.35">
      <c r="N496" s="676"/>
    </row>
    <row r="497" spans="14:14" x14ac:dyDescent="0.35">
      <c r="N497" s="676"/>
    </row>
    <row r="498" spans="14:14" x14ac:dyDescent="0.35">
      <c r="N498" s="676"/>
    </row>
    <row r="499" spans="14:14" x14ac:dyDescent="0.35">
      <c r="N499" s="676"/>
    </row>
    <row r="500" spans="14:14" x14ac:dyDescent="0.35">
      <c r="N500" s="676"/>
    </row>
    <row r="501" spans="14:14" x14ac:dyDescent="0.35">
      <c r="N501" s="676"/>
    </row>
    <row r="502" spans="14:14" x14ac:dyDescent="0.35">
      <c r="N502" s="676"/>
    </row>
    <row r="503" spans="14:14" x14ac:dyDescent="0.35">
      <c r="N503" s="676"/>
    </row>
    <row r="504" spans="14:14" x14ac:dyDescent="0.35">
      <c r="N504" s="676"/>
    </row>
    <row r="505" spans="14:14" x14ac:dyDescent="0.35">
      <c r="N505" s="676"/>
    </row>
    <row r="506" spans="14:14" x14ac:dyDescent="0.35">
      <c r="N506" s="676"/>
    </row>
    <row r="507" spans="14:14" x14ac:dyDescent="0.35">
      <c r="N507" s="676"/>
    </row>
    <row r="508" spans="14:14" x14ac:dyDescent="0.35">
      <c r="N508" s="676"/>
    </row>
    <row r="509" spans="14:14" x14ac:dyDescent="0.35">
      <c r="N509" s="676"/>
    </row>
    <row r="510" spans="14:14" x14ac:dyDescent="0.35">
      <c r="N510" s="676"/>
    </row>
    <row r="511" spans="14:14" x14ac:dyDescent="0.35">
      <c r="N511" s="676"/>
    </row>
    <row r="512" spans="14:14" x14ac:dyDescent="0.35">
      <c r="N512" s="676"/>
    </row>
    <row r="513" spans="14:14" x14ac:dyDescent="0.35">
      <c r="N513" s="676"/>
    </row>
    <row r="514" spans="14:14" x14ac:dyDescent="0.35">
      <c r="N514" s="676"/>
    </row>
    <row r="515" spans="14:14" x14ac:dyDescent="0.35">
      <c r="N515" s="676"/>
    </row>
    <row r="516" spans="14:14" x14ac:dyDescent="0.35">
      <c r="N516" s="676"/>
    </row>
    <row r="517" spans="14:14" x14ac:dyDescent="0.35">
      <c r="N517" s="676"/>
    </row>
    <row r="518" spans="14:14" x14ac:dyDescent="0.35">
      <c r="N518" s="676"/>
    </row>
    <row r="519" spans="14:14" x14ac:dyDescent="0.35">
      <c r="N519" s="676"/>
    </row>
    <row r="520" spans="14:14" x14ac:dyDescent="0.35">
      <c r="N520" s="676"/>
    </row>
    <row r="521" spans="14:14" x14ac:dyDescent="0.35">
      <c r="N521" s="676"/>
    </row>
    <row r="522" spans="14:14" x14ac:dyDescent="0.35">
      <c r="N522" s="676"/>
    </row>
    <row r="523" spans="14:14" x14ac:dyDescent="0.35">
      <c r="N523" s="676"/>
    </row>
    <row r="524" spans="14:14" x14ac:dyDescent="0.35">
      <c r="N524" s="676"/>
    </row>
    <row r="525" spans="14:14" x14ac:dyDescent="0.35">
      <c r="N525" s="676"/>
    </row>
    <row r="526" spans="14:14" x14ac:dyDescent="0.35">
      <c r="N526" s="676"/>
    </row>
    <row r="527" spans="14:14" x14ac:dyDescent="0.35">
      <c r="N527" s="676"/>
    </row>
    <row r="528" spans="14:14" x14ac:dyDescent="0.35">
      <c r="N528" s="676"/>
    </row>
    <row r="529" spans="14:14" x14ac:dyDescent="0.35">
      <c r="N529" s="676"/>
    </row>
    <row r="530" spans="14:14" x14ac:dyDescent="0.35">
      <c r="N530" s="676"/>
    </row>
    <row r="531" spans="14:14" x14ac:dyDescent="0.35">
      <c r="N531" s="676"/>
    </row>
    <row r="532" spans="14:14" x14ac:dyDescent="0.35">
      <c r="N532" s="676"/>
    </row>
    <row r="533" spans="14:14" x14ac:dyDescent="0.35">
      <c r="N533" s="676"/>
    </row>
    <row r="534" spans="14:14" x14ac:dyDescent="0.35">
      <c r="N534" s="676"/>
    </row>
    <row r="535" spans="14:14" x14ac:dyDescent="0.35">
      <c r="N535" s="676"/>
    </row>
    <row r="536" spans="14:14" x14ac:dyDescent="0.35">
      <c r="N536" s="676"/>
    </row>
    <row r="537" spans="14:14" x14ac:dyDescent="0.35">
      <c r="N537" s="676"/>
    </row>
    <row r="538" spans="14:14" x14ac:dyDescent="0.35">
      <c r="N538" s="676"/>
    </row>
    <row r="539" spans="14:14" x14ac:dyDescent="0.35">
      <c r="N539" s="676"/>
    </row>
    <row r="540" spans="14:14" x14ac:dyDescent="0.35">
      <c r="N540" s="676"/>
    </row>
    <row r="541" spans="14:14" x14ac:dyDescent="0.35">
      <c r="N541" s="676"/>
    </row>
    <row r="542" spans="14:14" x14ac:dyDescent="0.35">
      <c r="N542" s="676"/>
    </row>
    <row r="543" spans="14:14" x14ac:dyDescent="0.35">
      <c r="N543" s="676"/>
    </row>
    <row r="544" spans="14:14" x14ac:dyDescent="0.35">
      <c r="N544" s="676"/>
    </row>
    <row r="545" spans="14:14" x14ac:dyDescent="0.35">
      <c r="N545" s="676"/>
    </row>
    <row r="546" spans="14:14" x14ac:dyDescent="0.35">
      <c r="N546" s="676"/>
    </row>
    <row r="547" spans="14:14" x14ac:dyDescent="0.35">
      <c r="N547" s="676"/>
    </row>
    <row r="548" spans="14:14" x14ac:dyDescent="0.35">
      <c r="N548" s="676"/>
    </row>
    <row r="549" spans="14:14" x14ac:dyDescent="0.35">
      <c r="N549" s="676"/>
    </row>
    <row r="550" spans="14:14" x14ac:dyDescent="0.35">
      <c r="N550" s="676"/>
    </row>
    <row r="551" spans="14:14" x14ac:dyDescent="0.35">
      <c r="N551" s="676"/>
    </row>
    <row r="552" spans="14:14" x14ac:dyDescent="0.35">
      <c r="N552" s="676"/>
    </row>
    <row r="553" spans="14:14" x14ac:dyDescent="0.35">
      <c r="N553" s="676"/>
    </row>
    <row r="554" spans="14:14" x14ac:dyDescent="0.35">
      <c r="N554" s="676"/>
    </row>
    <row r="555" spans="14:14" x14ac:dyDescent="0.35">
      <c r="N555" s="676"/>
    </row>
    <row r="556" spans="14:14" x14ac:dyDescent="0.35">
      <c r="N556" s="676"/>
    </row>
    <row r="557" spans="14:14" x14ac:dyDescent="0.35">
      <c r="N557" s="676"/>
    </row>
    <row r="558" spans="14:14" x14ac:dyDescent="0.35">
      <c r="N558" s="676"/>
    </row>
    <row r="559" spans="14:14" x14ac:dyDescent="0.35">
      <c r="N559" s="676"/>
    </row>
    <row r="560" spans="14:14" x14ac:dyDescent="0.35">
      <c r="N560" s="676"/>
    </row>
    <row r="561" spans="14:14" x14ac:dyDescent="0.35">
      <c r="N561" s="676"/>
    </row>
    <row r="562" spans="14:14" x14ac:dyDescent="0.35">
      <c r="N562" s="676"/>
    </row>
    <row r="563" spans="14:14" x14ac:dyDescent="0.35">
      <c r="N563" s="676"/>
    </row>
    <row r="564" spans="14:14" x14ac:dyDescent="0.35">
      <c r="N564" s="676"/>
    </row>
    <row r="565" spans="14:14" x14ac:dyDescent="0.35">
      <c r="N565" s="676"/>
    </row>
    <row r="566" spans="14:14" x14ac:dyDescent="0.35">
      <c r="N566" s="676"/>
    </row>
    <row r="567" spans="14:14" x14ac:dyDescent="0.35">
      <c r="N567" s="676"/>
    </row>
    <row r="568" spans="14:14" x14ac:dyDescent="0.35">
      <c r="N568" s="676"/>
    </row>
    <row r="569" spans="14:14" x14ac:dyDescent="0.35">
      <c r="N569" s="676"/>
    </row>
    <row r="570" spans="14:14" x14ac:dyDescent="0.35">
      <c r="N570" s="676"/>
    </row>
    <row r="571" spans="14:14" x14ac:dyDescent="0.35">
      <c r="N571" s="676"/>
    </row>
    <row r="572" spans="14:14" x14ac:dyDescent="0.35">
      <c r="N572" s="676"/>
    </row>
    <row r="573" spans="14:14" x14ac:dyDescent="0.35">
      <c r="N573" s="676"/>
    </row>
    <row r="574" spans="14:14" x14ac:dyDescent="0.35">
      <c r="N574" s="676"/>
    </row>
    <row r="575" spans="14:14" x14ac:dyDescent="0.35">
      <c r="N575" s="676"/>
    </row>
    <row r="576" spans="14:14" x14ac:dyDescent="0.35">
      <c r="N576" s="676"/>
    </row>
    <row r="577" spans="14:14" x14ac:dyDescent="0.35">
      <c r="N577" s="676"/>
    </row>
    <row r="578" spans="14:14" x14ac:dyDescent="0.35">
      <c r="N578" s="676"/>
    </row>
    <row r="579" spans="14:14" x14ac:dyDescent="0.35">
      <c r="N579" s="676"/>
    </row>
    <row r="580" spans="14:14" x14ac:dyDescent="0.35">
      <c r="N580" s="676"/>
    </row>
    <row r="581" spans="14:14" x14ac:dyDescent="0.35">
      <c r="N581" s="676"/>
    </row>
    <row r="582" spans="14:14" x14ac:dyDescent="0.35">
      <c r="N582" s="676"/>
    </row>
    <row r="583" spans="14:14" x14ac:dyDescent="0.35">
      <c r="N583" s="676"/>
    </row>
    <row r="584" spans="14:14" x14ac:dyDescent="0.35">
      <c r="N584" s="676"/>
    </row>
    <row r="585" spans="14:14" x14ac:dyDescent="0.35">
      <c r="N585" s="676"/>
    </row>
    <row r="586" spans="14:14" x14ac:dyDescent="0.35">
      <c r="N586" s="676"/>
    </row>
    <row r="587" spans="14:14" x14ac:dyDescent="0.35">
      <c r="N587" s="676"/>
    </row>
    <row r="588" spans="14:14" x14ac:dyDescent="0.35">
      <c r="N588" s="676"/>
    </row>
    <row r="589" spans="14:14" x14ac:dyDescent="0.35">
      <c r="N589" s="676"/>
    </row>
    <row r="590" spans="14:14" x14ac:dyDescent="0.35">
      <c r="N590" s="676"/>
    </row>
    <row r="591" spans="14:14" x14ac:dyDescent="0.35">
      <c r="N591" s="676"/>
    </row>
    <row r="592" spans="14:14" x14ac:dyDescent="0.35">
      <c r="N592" s="676"/>
    </row>
    <row r="593" spans="14:14" x14ac:dyDescent="0.35">
      <c r="N593" s="676"/>
    </row>
    <row r="594" spans="14:14" x14ac:dyDescent="0.35">
      <c r="N594" s="676"/>
    </row>
    <row r="595" spans="14:14" x14ac:dyDescent="0.35">
      <c r="N595" s="676"/>
    </row>
    <row r="596" spans="14:14" x14ac:dyDescent="0.35">
      <c r="N596" s="676"/>
    </row>
    <row r="597" spans="14:14" x14ac:dyDescent="0.35">
      <c r="N597" s="676"/>
    </row>
    <row r="598" spans="14:14" x14ac:dyDescent="0.35">
      <c r="N598" s="676"/>
    </row>
    <row r="599" spans="14:14" x14ac:dyDescent="0.35">
      <c r="N599" s="676"/>
    </row>
    <row r="600" spans="14:14" x14ac:dyDescent="0.35">
      <c r="N600" s="676"/>
    </row>
    <row r="601" spans="14:14" x14ac:dyDescent="0.35">
      <c r="N601" s="676"/>
    </row>
    <row r="602" spans="14:14" x14ac:dyDescent="0.35">
      <c r="N602" s="676"/>
    </row>
    <row r="603" spans="14:14" x14ac:dyDescent="0.35">
      <c r="N603" s="676"/>
    </row>
    <row r="604" spans="14:14" x14ac:dyDescent="0.35">
      <c r="N604" s="676"/>
    </row>
    <row r="605" spans="14:14" x14ac:dyDescent="0.35">
      <c r="N605" s="676"/>
    </row>
    <row r="606" spans="14:14" x14ac:dyDescent="0.35">
      <c r="N606" s="676"/>
    </row>
    <row r="607" spans="14:14" x14ac:dyDescent="0.35">
      <c r="N607" s="676"/>
    </row>
    <row r="608" spans="14:14" x14ac:dyDescent="0.35">
      <c r="N608" s="676"/>
    </row>
    <row r="609" spans="14:14" x14ac:dyDescent="0.35">
      <c r="N609" s="676"/>
    </row>
    <row r="610" spans="14:14" x14ac:dyDescent="0.35">
      <c r="N610" s="676"/>
    </row>
    <row r="611" spans="14:14" x14ac:dyDescent="0.35">
      <c r="N611" s="676"/>
    </row>
    <row r="612" spans="14:14" x14ac:dyDescent="0.35">
      <c r="N612" s="676"/>
    </row>
    <row r="613" spans="14:14" x14ac:dyDescent="0.35">
      <c r="N613" s="676"/>
    </row>
    <row r="614" spans="14:14" x14ac:dyDescent="0.35">
      <c r="N614" s="676"/>
    </row>
    <row r="615" spans="14:14" x14ac:dyDescent="0.35">
      <c r="N615" s="676"/>
    </row>
    <row r="616" spans="14:14" x14ac:dyDescent="0.35">
      <c r="N616" s="676"/>
    </row>
    <row r="617" spans="14:14" x14ac:dyDescent="0.35">
      <c r="N617" s="676"/>
    </row>
    <row r="618" spans="14:14" x14ac:dyDescent="0.35">
      <c r="N618" s="676"/>
    </row>
    <row r="619" spans="14:14" x14ac:dyDescent="0.35">
      <c r="N619" s="676"/>
    </row>
    <row r="620" spans="14:14" x14ac:dyDescent="0.35">
      <c r="N620" s="676"/>
    </row>
    <row r="621" spans="14:14" x14ac:dyDescent="0.35">
      <c r="N621" s="676"/>
    </row>
    <row r="622" spans="14:14" x14ac:dyDescent="0.35">
      <c r="N622" s="676"/>
    </row>
    <row r="623" spans="14:14" x14ac:dyDescent="0.35">
      <c r="N623" s="676"/>
    </row>
    <row r="624" spans="14:14" x14ac:dyDescent="0.35">
      <c r="N624" s="676"/>
    </row>
    <row r="625" spans="14:14" x14ac:dyDescent="0.35">
      <c r="N625" s="676"/>
    </row>
    <row r="626" spans="14:14" x14ac:dyDescent="0.35">
      <c r="N626" s="676"/>
    </row>
    <row r="627" spans="14:14" x14ac:dyDescent="0.35">
      <c r="N627" s="676"/>
    </row>
    <row r="628" spans="14:14" x14ac:dyDescent="0.35">
      <c r="N628" s="676"/>
    </row>
    <row r="629" spans="14:14" x14ac:dyDescent="0.35">
      <c r="N629" s="676"/>
    </row>
    <row r="630" spans="14:14" x14ac:dyDescent="0.35">
      <c r="N630" s="676"/>
    </row>
    <row r="631" spans="14:14" x14ac:dyDescent="0.35">
      <c r="N631" s="676"/>
    </row>
    <row r="632" spans="14:14" x14ac:dyDescent="0.35">
      <c r="N632" s="676"/>
    </row>
    <row r="633" spans="14:14" x14ac:dyDescent="0.35">
      <c r="N633" s="676"/>
    </row>
    <row r="634" spans="14:14" x14ac:dyDescent="0.35">
      <c r="N634" s="676"/>
    </row>
    <row r="635" spans="14:14" x14ac:dyDescent="0.35">
      <c r="N635" s="676"/>
    </row>
    <row r="636" spans="14:14" x14ac:dyDescent="0.35">
      <c r="N636" s="676"/>
    </row>
    <row r="637" spans="14:14" x14ac:dyDescent="0.35">
      <c r="N637" s="676"/>
    </row>
    <row r="638" spans="14:14" x14ac:dyDescent="0.35">
      <c r="N638" s="676"/>
    </row>
    <row r="639" spans="14:14" x14ac:dyDescent="0.35">
      <c r="N639" s="676"/>
    </row>
    <row r="640" spans="14:14" x14ac:dyDescent="0.35">
      <c r="N640" s="676"/>
    </row>
    <row r="641" spans="14:14" x14ac:dyDescent="0.35">
      <c r="N641" s="676"/>
    </row>
    <row r="642" spans="14:14" x14ac:dyDescent="0.35">
      <c r="N642" s="676"/>
    </row>
    <row r="643" spans="14:14" x14ac:dyDescent="0.35">
      <c r="N643" s="676"/>
    </row>
    <row r="644" spans="14:14" x14ac:dyDescent="0.35">
      <c r="N644" s="676"/>
    </row>
    <row r="645" spans="14:14" x14ac:dyDescent="0.35">
      <c r="N645" s="676"/>
    </row>
    <row r="646" spans="14:14" x14ac:dyDescent="0.35">
      <c r="N646" s="676"/>
    </row>
    <row r="647" spans="14:14" x14ac:dyDescent="0.35">
      <c r="N647" s="676"/>
    </row>
    <row r="648" spans="14:14" x14ac:dyDescent="0.35">
      <c r="N648" s="676"/>
    </row>
    <row r="649" spans="14:14" x14ac:dyDescent="0.35">
      <c r="N649" s="676"/>
    </row>
    <row r="650" spans="14:14" x14ac:dyDescent="0.35">
      <c r="N650" s="676"/>
    </row>
    <row r="651" spans="14:14" x14ac:dyDescent="0.35">
      <c r="N651" s="676"/>
    </row>
    <row r="652" spans="14:14" x14ac:dyDescent="0.35">
      <c r="N652" s="676"/>
    </row>
    <row r="653" spans="14:14" x14ac:dyDescent="0.35">
      <c r="N653" s="676"/>
    </row>
    <row r="654" spans="14:14" x14ac:dyDescent="0.35">
      <c r="N654" s="676"/>
    </row>
    <row r="655" spans="14:14" x14ac:dyDescent="0.35">
      <c r="N655" s="676"/>
    </row>
    <row r="656" spans="14:14" x14ac:dyDescent="0.35">
      <c r="N656" s="676"/>
    </row>
    <row r="657" spans="14:14" x14ac:dyDescent="0.35">
      <c r="N657" s="676"/>
    </row>
    <row r="658" spans="14:14" x14ac:dyDescent="0.35">
      <c r="N658" s="676"/>
    </row>
    <row r="659" spans="14:14" x14ac:dyDescent="0.35">
      <c r="N659" s="676"/>
    </row>
    <row r="660" spans="14:14" x14ac:dyDescent="0.35">
      <c r="N660" s="676"/>
    </row>
    <row r="661" spans="14:14" x14ac:dyDescent="0.35">
      <c r="N661" s="676"/>
    </row>
    <row r="662" spans="14:14" x14ac:dyDescent="0.35">
      <c r="N662" s="676"/>
    </row>
    <row r="663" spans="14:14" x14ac:dyDescent="0.35">
      <c r="N663" s="676"/>
    </row>
    <row r="664" spans="14:14" x14ac:dyDescent="0.35">
      <c r="N664" s="676"/>
    </row>
    <row r="665" spans="14:14" x14ac:dyDescent="0.35">
      <c r="N665" s="676"/>
    </row>
    <row r="666" spans="14:14" x14ac:dyDescent="0.35">
      <c r="N666" s="676"/>
    </row>
    <row r="667" spans="14:14" x14ac:dyDescent="0.35">
      <c r="N667" s="676"/>
    </row>
    <row r="668" spans="14:14" x14ac:dyDescent="0.35">
      <c r="N668" s="676"/>
    </row>
    <row r="669" spans="14:14" x14ac:dyDescent="0.35">
      <c r="N669" s="676"/>
    </row>
    <row r="670" spans="14:14" x14ac:dyDescent="0.35">
      <c r="N670" s="676"/>
    </row>
    <row r="671" spans="14:14" x14ac:dyDescent="0.35">
      <c r="N671" s="676"/>
    </row>
    <row r="672" spans="14:14" x14ac:dyDescent="0.35">
      <c r="N672" s="676"/>
    </row>
    <row r="673" spans="14:14" x14ac:dyDescent="0.35">
      <c r="N673" s="676"/>
    </row>
    <row r="674" spans="14:14" x14ac:dyDescent="0.35">
      <c r="N674" s="676"/>
    </row>
    <row r="675" spans="14:14" x14ac:dyDescent="0.35">
      <c r="N675" s="676"/>
    </row>
    <row r="676" spans="14:14" x14ac:dyDescent="0.35">
      <c r="N676" s="676"/>
    </row>
    <row r="677" spans="14:14" x14ac:dyDescent="0.35">
      <c r="N677" s="676"/>
    </row>
    <row r="678" spans="14:14" x14ac:dyDescent="0.35">
      <c r="N678" s="676"/>
    </row>
    <row r="679" spans="14:14" x14ac:dyDescent="0.35">
      <c r="N679" s="676"/>
    </row>
    <row r="680" spans="14:14" x14ac:dyDescent="0.35">
      <c r="N680" s="676"/>
    </row>
    <row r="681" spans="14:14" x14ac:dyDescent="0.35">
      <c r="N681" s="676"/>
    </row>
    <row r="682" spans="14:14" x14ac:dyDescent="0.35">
      <c r="N682" s="676"/>
    </row>
    <row r="683" spans="14:14" x14ac:dyDescent="0.35">
      <c r="N683" s="676"/>
    </row>
    <row r="684" spans="14:14" x14ac:dyDescent="0.35">
      <c r="N684" s="676"/>
    </row>
    <row r="685" spans="14:14" x14ac:dyDescent="0.35">
      <c r="N685" s="676"/>
    </row>
    <row r="686" spans="14:14" x14ac:dyDescent="0.35">
      <c r="N686" s="676"/>
    </row>
    <row r="687" spans="14:14" x14ac:dyDescent="0.35">
      <c r="N687" s="676"/>
    </row>
    <row r="688" spans="14:14" x14ac:dyDescent="0.35">
      <c r="N688" s="676"/>
    </row>
    <row r="689" spans="14:14" x14ac:dyDescent="0.35">
      <c r="N689" s="676"/>
    </row>
    <row r="690" spans="14:14" x14ac:dyDescent="0.35">
      <c r="N690" s="676"/>
    </row>
    <row r="691" spans="14:14" x14ac:dyDescent="0.35">
      <c r="N691" s="676"/>
    </row>
    <row r="692" spans="14:14" x14ac:dyDescent="0.35">
      <c r="N692" s="676"/>
    </row>
    <row r="693" spans="14:14" x14ac:dyDescent="0.35">
      <c r="N693" s="676"/>
    </row>
    <row r="694" spans="14:14" x14ac:dyDescent="0.35">
      <c r="N694" s="676"/>
    </row>
    <row r="695" spans="14:14" x14ac:dyDescent="0.35">
      <c r="N695" s="676"/>
    </row>
    <row r="696" spans="14:14" x14ac:dyDescent="0.35">
      <c r="N696" s="676"/>
    </row>
    <row r="697" spans="14:14" x14ac:dyDescent="0.35">
      <c r="N697" s="676"/>
    </row>
    <row r="698" spans="14:14" x14ac:dyDescent="0.35">
      <c r="N698" s="676"/>
    </row>
    <row r="699" spans="14:14" x14ac:dyDescent="0.35">
      <c r="N699" s="676"/>
    </row>
    <row r="700" spans="14:14" x14ac:dyDescent="0.35">
      <c r="N700" s="676"/>
    </row>
    <row r="701" spans="14:14" x14ac:dyDescent="0.35">
      <c r="N701" s="676"/>
    </row>
    <row r="702" spans="14:14" x14ac:dyDescent="0.35">
      <c r="N702" s="676"/>
    </row>
    <row r="703" spans="14:14" x14ac:dyDescent="0.35">
      <c r="N703" s="676"/>
    </row>
    <row r="704" spans="14:14" x14ac:dyDescent="0.35">
      <c r="N704" s="676"/>
    </row>
    <row r="705" spans="14:14" x14ac:dyDescent="0.35">
      <c r="N705" s="676"/>
    </row>
    <row r="706" spans="14:14" x14ac:dyDescent="0.35">
      <c r="N706" s="676"/>
    </row>
    <row r="707" spans="14:14" x14ac:dyDescent="0.35">
      <c r="N707" s="676"/>
    </row>
    <row r="708" spans="14:14" x14ac:dyDescent="0.35">
      <c r="N708" s="676"/>
    </row>
    <row r="709" spans="14:14" x14ac:dyDescent="0.35">
      <c r="N709" s="676"/>
    </row>
    <row r="710" spans="14:14" x14ac:dyDescent="0.35">
      <c r="N710" s="676"/>
    </row>
    <row r="711" spans="14:14" x14ac:dyDescent="0.35">
      <c r="N711" s="676"/>
    </row>
    <row r="712" spans="14:14" x14ac:dyDescent="0.35">
      <c r="N712" s="676"/>
    </row>
    <row r="713" spans="14:14" x14ac:dyDescent="0.35">
      <c r="N713" s="676"/>
    </row>
    <row r="714" spans="14:14" x14ac:dyDescent="0.35">
      <c r="N714" s="676"/>
    </row>
    <row r="715" spans="14:14" x14ac:dyDescent="0.35">
      <c r="N715" s="676"/>
    </row>
    <row r="716" spans="14:14" x14ac:dyDescent="0.35">
      <c r="N716" s="676"/>
    </row>
    <row r="717" spans="14:14" x14ac:dyDescent="0.35">
      <c r="N717" s="676"/>
    </row>
    <row r="718" spans="14:14" x14ac:dyDescent="0.35">
      <c r="N718" s="676"/>
    </row>
    <row r="719" spans="14:14" x14ac:dyDescent="0.35">
      <c r="N719" s="676"/>
    </row>
    <row r="720" spans="14:14" x14ac:dyDescent="0.35">
      <c r="N720" s="676"/>
    </row>
    <row r="721" spans="14:14" x14ac:dyDescent="0.35">
      <c r="N721" s="676"/>
    </row>
    <row r="722" spans="14:14" x14ac:dyDescent="0.35">
      <c r="N722" s="676"/>
    </row>
    <row r="723" spans="14:14" x14ac:dyDescent="0.35">
      <c r="N723" s="676"/>
    </row>
    <row r="724" spans="14:14" x14ac:dyDescent="0.35">
      <c r="N724" s="676"/>
    </row>
    <row r="725" spans="14:14" x14ac:dyDescent="0.35">
      <c r="N725" s="676"/>
    </row>
    <row r="726" spans="14:14" x14ac:dyDescent="0.35">
      <c r="N726" s="676"/>
    </row>
    <row r="727" spans="14:14" x14ac:dyDescent="0.35">
      <c r="N727" s="676"/>
    </row>
    <row r="728" spans="14:14" x14ac:dyDescent="0.35">
      <c r="N728" s="676"/>
    </row>
    <row r="729" spans="14:14" x14ac:dyDescent="0.35">
      <c r="N729" s="676"/>
    </row>
    <row r="730" spans="14:14" x14ac:dyDescent="0.35">
      <c r="N730" s="676"/>
    </row>
    <row r="731" spans="14:14" x14ac:dyDescent="0.35">
      <c r="N731" s="676"/>
    </row>
    <row r="732" spans="14:14" x14ac:dyDescent="0.35">
      <c r="N732" s="676"/>
    </row>
    <row r="733" spans="14:14" x14ac:dyDescent="0.35">
      <c r="N733" s="676"/>
    </row>
    <row r="734" spans="14:14" x14ac:dyDescent="0.35">
      <c r="N734" s="676"/>
    </row>
    <row r="735" spans="14:14" x14ac:dyDescent="0.35">
      <c r="N735" s="676"/>
    </row>
    <row r="736" spans="14:14" x14ac:dyDescent="0.35">
      <c r="N736" s="676"/>
    </row>
    <row r="737" spans="14:14" x14ac:dyDescent="0.35">
      <c r="N737" s="676"/>
    </row>
    <row r="738" spans="14:14" x14ac:dyDescent="0.35">
      <c r="N738" s="676"/>
    </row>
    <row r="739" spans="14:14" x14ac:dyDescent="0.35">
      <c r="N739" s="676"/>
    </row>
    <row r="740" spans="14:14" x14ac:dyDescent="0.35">
      <c r="N740" s="676"/>
    </row>
    <row r="741" spans="14:14" x14ac:dyDescent="0.35">
      <c r="N741" s="676"/>
    </row>
    <row r="742" spans="14:14" x14ac:dyDescent="0.35">
      <c r="N742" s="676"/>
    </row>
    <row r="743" spans="14:14" x14ac:dyDescent="0.35">
      <c r="N743" s="676"/>
    </row>
    <row r="744" spans="14:14" x14ac:dyDescent="0.35">
      <c r="N744" s="676"/>
    </row>
    <row r="745" spans="14:14" x14ac:dyDescent="0.35">
      <c r="N745" s="676"/>
    </row>
    <row r="746" spans="14:14" x14ac:dyDescent="0.35">
      <c r="N746" s="676"/>
    </row>
    <row r="747" spans="14:14" x14ac:dyDescent="0.35">
      <c r="N747" s="676"/>
    </row>
    <row r="748" spans="14:14" x14ac:dyDescent="0.35">
      <c r="N748" s="676"/>
    </row>
    <row r="749" spans="14:14" x14ac:dyDescent="0.35">
      <c r="N749" s="676"/>
    </row>
    <row r="750" spans="14:14" x14ac:dyDescent="0.35">
      <c r="N750" s="676"/>
    </row>
    <row r="751" spans="14:14" x14ac:dyDescent="0.35">
      <c r="N751" s="676"/>
    </row>
    <row r="752" spans="14:14" x14ac:dyDescent="0.35">
      <c r="N752" s="676"/>
    </row>
    <row r="753" spans="14:14" x14ac:dyDescent="0.35">
      <c r="N753" s="676"/>
    </row>
    <row r="754" spans="14:14" x14ac:dyDescent="0.35">
      <c r="N754" s="676"/>
    </row>
    <row r="755" spans="14:14" x14ac:dyDescent="0.35">
      <c r="N755" s="676"/>
    </row>
    <row r="756" spans="14:14" x14ac:dyDescent="0.35">
      <c r="N756" s="676"/>
    </row>
    <row r="757" spans="14:14" x14ac:dyDescent="0.35">
      <c r="N757" s="676"/>
    </row>
    <row r="758" spans="14:14" x14ac:dyDescent="0.35">
      <c r="N758" s="676"/>
    </row>
    <row r="759" spans="14:14" x14ac:dyDescent="0.35">
      <c r="N759" s="676"/>
    </row>
    <row r="760" spans="14:14" x14ac:dyDescent="0.35">
      <c r="N760" s="676"/>
    </row>
    <row r="761" spans="14:14" x14ac:dyDescent="0.35">
      <c r="N761" s="676"/>
    </row>
    <row r="762" spans="14:14" x14ac:dyDescent="0.35">
      <c r="N762" s="676"/>
    </row>
    <row r="763" spans="14:14" x14ac:dyDescent="0.35">
      <c r="N763" s="676"/>
    </row>
    <row r="764" spans="14:14" x14ac:dyDescent="0.35">
      <c r="N764" s="676"/>
    </row>
    <row r="765" spans="14:14" x14ac:dyDescent="0.35">
      <c r="N765" s="676"/>
    </row>
    <row r="766" spans="14:14" x14ac:dyDescent="0.35">
      <c r="N766" s="676"/>
    </row>
    <row r="767" spans="14:14" x14ac:dyDescent="0.35">
      <c r="N767" s="676"/>
    </row>
    <row r="768" spans="14:14" x14ac:dyDescent="0.35">
      <c r="N768" s="676"/>
    </row>
    <row r="769" spans="14:14" x14ac:dyDescent="0.35">
      <c r="N769" s="676"/>
    </row>
    <row r="770" spans="14:14" x14ac:dyDescent="0.35">
      <c r="N770" s="676"/>
    </row>
    <row r="771" spans="14:14" x14ac:dyDescent="0.35">
      <c r="N771" s="676"/>
    </row>
    <row r="772" spans="14:14" x14ac:dyDescent="0.35">
      <c r="N772" s="676"/>
    </row>
    <row r="773" spans="14:14" x14ac:dyDescent="0.35">
      <c r="N773" s="676"/>
    </row>
    <row r="774" spans="14:14" x14ac:dyDescent="0.35">
      <c r="N774" s="676"/>
    </row>
    <row r="775" spans="14:14" x14ac:dyDescent="0.35">
      <c r="N775" s="676"/>
    </row>
    <row r="776" spans="14:14" x14ac:dyDescent="0.35">
      <c r="N776" s="676"/>
    </row>
    <row r="777" spans="14:14" x14ac:dyDescent="0.35">
      <c r="N777" s="676"/>
    </row>
    <row r="778" spans="14:14" x14ac:dyDescent="0.35">
      <c r="N778" s="676"/>
    </row>
    <row r="779" spans="14:14" x14ac:dyDescent="0.35">
      <c r="N779" s="676"/>
    </row>
    <row r="780" spans="14:14" x14ac:dyDescent="0.35">
      <c r="N780" s="676"/>
    </row>
    <row r="781" spans="14:14" x14ac:dyDescent="0.35">
      <c r="N781" s="676"/>
    </row>
    <row r="782" spans="14:14" x14ac:dyDescent="0.35">
      <c r="N782" s="676"/>
    </row>
    <row r="783" spans="14:14" x14ac:dyDescent="0.35">
      <c r="N783" s="676"/>
    </row>
    <row r="784" spans="14:14" x14ac:dyDescent="0.35">
      <c r="N784" s="676"/>
    </row>
    <row r="785" spans="14:14" x14ac:dyDescent="0.35">
      <c r="N785" s="676"/>
    </row>
    <row r="786" spans="14:14" x14ac:dyDescent="0.35">
      <c r="N786" s="676"/>
    </row>
    <row r="787" spans="14:14" x14ac:dyDescent="0.35">
      <c r="N787" s="676"/>
    </row>
    <row r="788" spans="14:14" x14ac:dyDescent="0.35">
      <c r="N788" s="676"/>
    </row>
    <row r="789" spans="14:14" x14ac:dyDescent="0.35">
      <c r="N789" s="676"/>
    </row>
    <row r="790" spans="14:14" x14ac:dyDescent="0.35">
      <c r="N790" s="676"/>
    </row>
    <row r="791" spans="14:14" x14ac:dyDescent="0.35">
      <c r="N791" s="676"/>
    </row>
    <row r="792" spans="14:14" x14ac:dyDescent="0.35">
      <c r="N792" s="676"/>
    </row>
    <row r="793" spans="14:14" x14ac:dyDescent="0.35">
      <c r="N793" s="676"/>
    </row>
    <row r="794" spans="14:14" x14ac:dyDescent="0.35">
      <c r="N794" s="676"/>
    </row>
    <row r="795" spans="14:14" x14ac:dyDescent="0.35">
      <c r="N795" s="676"/>
    </row>
    <row r="796" spans="14:14" x14ac:dyDescent="0.35">
      <c r="N796" s="676"/>
    </row>
    <row r="797" spans="14:14" x14ac:dyDescent="0.35">
      <c r="N797" s="676"/>
    </row>
    <row r="798" spans="14:14" x14ac:dyDescent="0.35">
      <c r="N798" s="676"/>
    </row>
    <row r="799" spans="14:14" x14ac:dyDescent="0.35">
      <c r="N799" s="676"/>
    </row>
    <row r="800" spans="14:14" x14ac:dyDescent="0.35">
      <c r="N800" s="676"/>
    </row>
    <row r="801" spans="14:14" x14ac:dyDescent="0.35">
      <c r="N801" s="676"/>
    </row>
    <row r="802" spans="14:14" x14ac:dyDescent="0.35">
      <c r="N802" s="676"/>
    </row>
    <row r="803" spans="14:14" x14ac:dyDescent="0.35">
      <c r="N803" s="676"/>
    </row>
    <row r="804" spans="14:14" x14ac:dyDescent="0.35">
      <c r="N804" s="676"/>
    </row>
    <row r="805" spans="14:14" x14ac:dyDescent="0.35">
      <c r="N805" s="676"/>
    </row>
    <row r="806" spans="14:14" x14ac:dyDescent="0.35">
      <c r="N806" s="676"/>
    </row>
    <row r="807" spans="14:14" x14ac:dyDescent="0.35">
      <c r="N807" s="676"/>
    </row>
    <row r="808" spans="14:14" x14ac:dyDescent="0.35">
      <c r="N808" s="676"/>
    </row>
    <row r="809" spans="14:14" x14ac:dyDescent="0.35">
      <c r="N809" s="676"/>
    </row>
    <row r="810" spans="14:14" x14ac:dyDescent="0.35">
      <c r="N810" s="676"/>
    </row>
    <row r="811" spans="14:14" x14ac:dyDescent="0.35">
      <c r="N811" s="676"/>
    </row>
    <row r="812" spans="14:14" x14ac:dyDescent="0.35">
      <c r="N812" s="676"/>
    </row>
    <row r="813" spans="14:14" x14ac:dyDescent="0.35">
      <c r="N813" s="676"/>
    </row>
    <row r="814" spans="14:14" x14ac:dyDescent="0.35">
      <c r="N814" s="676"/>
    </row>
    <row r="815" spans="14:14" x14ac:dyDescent="0.35">
      <c r="N815" s="676"/>
    </row>
    <row r="816" spans="14:14" x14ac:dyDescent="0.35">
      <c r="N816" s="676"/>
    </row>
    <row r="817" spans="14:14" x14ac:dyDescent="0.35">
      <c r="N817" s="676"/>
    </row>
    <row r="818" spans="14:14" x14ac:dyDescent="0.35">
      <c r="N818" s="676"/>
    </row>
    <row r="819" spans="14:14" x14ac:dyDescent="0.35">
      <c r="N819" s="676"/>
    </row>
    <row r="820" spans="14:14" x14ac:dyDescent="0.35">
      <c r="N820" s="676"/>
    </row>
    <row r="821" spans="14:14" x14ac:dyDescent="0.35">
      <c r="N821" s="676"/>
    </row>
    <row r="822" spans="14:14" x14ac:dyDescent="0.35">
      <c r="N822" s="676"/>
    </row>
    <row r="823" spans="14:14" x14ac:dyDescent="0.35">
      <c r="N823" s="676"/>
    </row>
    <row r="824" spans="14:14" x14ac:dyDescent="0.35">
      <c r="N824" s="676"/>
    </row>
    <row r="825" spans="14:14" x14ac:dyDescent="0.35">
      <c r="N825" s="676"/>
    </row>
    <row r="826" spans="14:14" x14ac:dyDescent="0.35">
      <c r="N826" s="676"/>
    </row>
    <row r="827" spans="14:14" x14ac:dyDescent="0.35">
      <c r="N827" s="676"/>
    </row>
    <row r="828" spans="14:14" x14ac:dyDescent="0.35">
      <c r="N828" s="676"/>
    </row>
    <row r="829" spans="14:14" x14ac:dyDescent="0.35">
      <c r="N829" s="676"/>
    </row>
    <row r="830" spans="14:14" x14ac:dyDescent="0.35">
      <c r="N830" s="676"/>
    </row>
    <row r="831" spans="14:14" x14ac:dyDescent="0.35">
      <c r="N831" s="676"/>
    </row>
    <row r="832" spans="14:14" x14ac:dyDescent="0.35">
      <c r="N832" s="676"/>
    </row>
    <row r="833" spans="14:14" x14ac:dyDescent="0.35">
      <c r="N833" s="676"/>
    </row>
    <row r="834" spans="14:14" x14ac:dyDescent="0.35">
      <c r="N834" s="676"/>
    </row>
    <row r="835" spans="14:14" x14ac:dyDescent="0.35">
      <c r="N835" s="676"/>
    </row>
    <row r="836" spans="14:14" x14ac:dyDescent="0.35">
      <c r="N836" s="676"/>
    </row>
    <row r="837" spans="14:14" x14ac:dyDescent="0.35">
      <c r="N837" s="676"/>
    </row>
    <row r="838" spans="14:14" x14ac:dyDescent="0.35">
      <c r="N838" s="676"/>
    </row>
    <row r="839" spans="14:14" x14ac:dyDescent="0.35">
      <c r="N839" s="676"/>
    </row>
    <row r="840" spans="14:14" x14ac:dyDescent="0.35">
      <c r="N840" s="676"/>
    </row>
    <row r="841" spans="14:14" x14ac:dyDescent="0.35">
      <c r="N841" s="676"/>
    </row>
    <row r="842" spans="14:14" x14ac:dyDescent="0.35">
      <c r="N842" s="676"/>
    </row>
    <row r="843" spans="14:14" x14ac:dyDescent="0.35">
      <c r="N843" s="676"/>
    </row>
    <row r="844" spans="14:14" x14ac:dyDescent="0.35">
      <c r="N844" s="676"/>
    </row>
    <row r="845" spans="14:14" x14ac:dyDescent="0.35">
      <c r="N845" s="676"/>
    </row>
    <row r="846" spans="14:14" x14ac:dyDescent="0.35">
      <c r="N846" s="676"/>
    </row>
    <row r="847" spans="14:14" x14ac:dyDescent="0.35">
      <c r="N847" s="676"/>
    </row>
    <row r="848" spans="14:14" x14ac:dyDescent="0.35">
      <c r="N848" s="676"/>
    </row>
    <row r="849" spans="14:14" x14ac:dyDescent="0.35">
      <c r="N849" s="676"/>
    </row>
    <row r="850" spans="14:14" x14ac:dyDescent="0.35">
      <c r="N850" s="676"/>
    </row>
    <row r="851" spans="14:14" x14ac:dyDescent="0.35">
      <c r="N851" s="676"/>
    </row>
    <row r="852" spans="14:14" x14ac:dyDescent="0.35">
      <c r="N852" s="676"/>
    </row>
    <row r="853" spans="14:14" x14ac:dyDescent="0.35">
      <c r="N853" s="676"/>
    </row>
    <row r="854" spans="14:14" x14ac:dyDescent="0.35">
      <c r="N854" s="676"/>
    </row>
    <row r="855" spans="14:14" x14ac:dyDescent="0.35">
      <c r="N855" s="676"/>
    </row>
    <row r="856" spans="14:14" x14ac:dyDescent="0.35">
      <c r="N856" s="676"/>
    </row>
    <row r="857" spans="14:14" x14ac:dyDescent="0.35">
      <c r="N857" s="676"/>
    </row>
    <row r="858" spans="14:14" x14ac:dyDescent="0.35">
      <c r="N858" s="676"/>
    </row>
    <row r="859" spans="14:14" x14ac:dyDescent="0.35">
      <c r="N859" s="676"/>
    </row>
    <row r="860" spans="14:14" x14ac:dyDescent="0.35">
      <c r="N860" s="676"/>
    </row>
    <row r="861" spans="14:14" x14ac:dyDescent="0.35">
      <c r="N861" s="676"/>
    </row>
    <row r="862" spans="14:14" x14ac:dyDescent="0.35">
      <c r="N862" s="676"/>
    </row>
    <row r="863" spans="14:14" x14ac:dyDescent="0.35">
      <c r="N863" s="676"/>
    </row>
    <row r="864" spans="14:14" x14ac:dyDescent="0.35">
      <c r="N864" s="676"/>
    </row>
    <row r="865" spans="14:14" x14ac:dyDescent="0.35">
      <c r="N865" s="676"/>
    </row>
    <row r="866" spans="14:14" x14ac:dyDescent="0.35">
      <c r="N866" s="676"/>
    </row>
    <row r="867" spans="14:14" x14ac:dyDescent="0.35">
      <c r="N867" s="676"/>
    </row>
    <row r="868" spans="14:14" x14ac:dyDescent="0.35">
      <c r="N868" s="676"/>
    </row>
    <row r="869" spans="14:14" x14ac:dyDescent="0.35">
      <c r="N869" s="676"/>
    </row>
    <row r="870" spans="14:14" x14ac:dyDescent="0.35">
      <c r="N870" s="676"/>
    </row>
    <row r="871" spans="14:14" x14ac:dyDescent="0.35">
      <c r="N871" s="676"/>
    </row>
    <row r="872" spans="14:14" x14ac:dyDescent="0.35">
      <c r="N872" s="676"/>
    </row>
    <row r="873" spans="14:14" x14ac:dyDescent="0.35">
      <c r="N873" s="676"/>
    </row>
    <row r="874" spans="14:14" x14ac:dyDescent="0.35">
      <c r="N874" s="676"/>
    </row>
    <row r="875" spans="14:14" x14ac:dyDescent="0.35">
      <c r="N875" s="676"/>
    </row>
    <row r="876" spans="14:14" x14ac:dyDescent="0.35">
      <c r="N876" s="676"/>
    </row>
    <row r="877" spans="14:14" x14ac:dyDescent="0.35">
      <c r="N877" s="676"/>
    </row>
    <row r="878" spans="14:14" x14ac:dyDescent="0.35">
      <c r="N878" s="676"/>
    </row>
    <row r="879" spans="14:14" x14ac:dyDescent="0.35">
      <c r="N879" s="676"/>
    </row>
    <row r="880" spans="14:14" x14ac:dyDescent="0.35">
      <c r="N880" s="676"/>
    </row>
    <row r="881" spans="14:14" x14ac:dyDescent="0.35">
      <c r="N881" s="676"/>
    </row>
    <row r="882" spans="14:14" x14ac:dyDescent="0.35">
      <c r="N882" s="676"/>
    </row>
    <row r="883" spans="14:14" x14ac:dyDescent="0.35">
      <c r="N883" s="676"/>
    </row>
    <row r="884" spans="14:14" x14ac:dyDescent="0.35">
      <c r="N884" s="676"/>
    </row>
    <row r="885" spans="14:14" x14ac:dyDescent="0.35">
      <c r="N885" s="676"/>
    </row>
    <row r="886" spans="14:14" x14ac:dyDescent="0.35">
      <c r="N886" s="676"/>
    </row>
    <row r="887" spans="14:14" x14ac:dyDescent="0.35">
      <c r="N887" s="676"/>
    </row>
    <row r="888" spans="14:14" x14ac:dyDescent="0.35">
      <c r="N888" s="676"/>
    </row>
    <row r="889" spans="14:14" x14ac:dyDescent="0.35">
      <c r="N889" s="676"/>
    </row>
    <row r="890" spans="14:14" x14ac:dyDescent="0.35">
      <c r="N890" s="676"/>
    </row>
    <row r="891" spans="14:14" x14ac:dyDescent="0.35">
      <c r="N891" s="676"/>
    </row>
    <row r="892" spans="14:14" x14ac:dyDescent="0.35">
      <c r="N892" s="676"/>
    </row>
    <row r="893" spans="14:14" x14ac:dyDescent="0.35">
      <c r="N893" s="676"/>
    </row>
    <row r="894" spans="14:14" x14ac:dyDescent="0.35">
      <c r="N894" s="676"/>
    </row>
    <row r="895" spans="14:14" x14ac:dyDescent="0.35">
      <c r="N895" s="676"/>
    </row>
    <row r="896" spans="14:14" x14ac:dyDescent="0.35">
      <c r="N896" s="676"/>
    </row>
    <row r="897" spans="14:14" x14ac:dyDescent="0.35">
      <c r="N897" s="676"/>
    </row>
    <row r="898" spans="14:14" x14ac:dyDescent="0.35">
      <c r="N898" s="676"/>
    </row>
    <row r="899" spans="14:14" x14ac:dyDescent="0.35">
      <c r="N899" s="676"/>
    </row>
    <row r="900" spans="14:14" x14ac:dyDescent="0.35">
      <c r="N900" s="676"/>
    </row>
    <row r="901" spans="14:14" x14ac:dyDescent="0.35">
      <c r="N901" s="676"/>
    </row>
    <row r="902" spans="14:14" x14ac:dyDescent="0.35">
      <c r="N902" s="676"/>
    </row>
    <row r="903" spans="14:14" x14ac:dyDescent="0.35">
      <c r="N903" s="676"/>
    </row>
    <row r="904" spans="14:14" x14ac:dyDescent="0.35">
      <c r="N904" s="676"/>
    </row>
    <row r="905" spans="14:14" x14ac:dyDescent="0.35">
      <c r="N905" s="676"/>
    </row>
    <row r="906" spans="14:14" x14ac:dyDescent="0.35">
      <c r="N906" s="676"/>
    </row>
    <row r="907" spans="14:14" x14ac:dyDescent="0.35">
      <c r="N907" s="676"/>
    </row>
    <row r="908" spans="14:14" x14ac:dyDescent="0.35">
      <c r="N908" s="676"/>
    </row>
    <row r="909" spans="14:14" x14ac:dyDescent="0.35">
      <c r="N909" s="676"/>
    </row>
    <row r="910" spans="14:14" x14ac:dyDescent="0.35">
      <c r="N910" s="676"/>
    </row>
    <row r="911" spans="14:14" x14ac:dyDescent="0.35">
      <c r="N911" s="676"/>
    </row>
    <row r="912" spans="14:14" x14ac:dyDescent="0.35">
      <c r="N912" s="676"/>
    </row>
    <row r="913" spans="14:14" x14ac:dyDescent="0.35">
      <c r="N913" s="676"/>
    </row>
    <row r="914" spans="14:14" x14ac:dyDescent="0.35">
      <c r="N914" s="676"/>
    </row>
    <row r="915" spans="14:14" x14ac:dyDescent="0.35">
      <c r="N915" s="676"/>
    </row>
    <row r="916" spans="14:14" x14ac:dyDescent="0.35">
      <c r="N916" s="676"/>
    </row>
    <row r="917" spans="14:14" x14ac:dyDescent="0.35">
      <c r="N917" s="676"/>
    </row>
    <row r="918" spans="14:14" x14ac:dyDescent="0.35">
      <c r="N918" s="676"/>
    </row>
    <row r="919" spans="14:14" x14ac:dyDescent="0.35">
      <c r="N919" s="676"/>
    </row>
    <row r="920" spans="14:14" x14ac:dyDescent="0.35">
      <c r="N920" s="676"/>
    </row>
    <row r="921" spans="14:14" x14ac:dyDescent="0.35">
      <c r="N921" s="676"/>
    </row>
    <row r="922" spans="14:14" x14ac:dyDescent="0.35">
      <c r="N922" s="676"/>
    </row>
    <row r="923" spans="14:14" x14ac:dyDescent="0.35">
      <c r="N923" s="676"/>
    </row>
    <row r="924" spans="14:14" x14ac:dyDescent="0.35">
      <c r="N924" s="676"/>
    </row>
    <row r="925" spans="14:14" x14ac:dyDescent="0.35">
      <c r="N925" s="676"/>
    </row>
    <row r="926" spans="14:14" x14ac:dyDescent="0.35">
      <c r="N926" s="676"/>
    </row>
    <row r="927" spans="14:14" x14ac:dyDescent="0.35">
      <c r="N927" s="676"/>
    </row>
    <row r="928" spans="14:14" x14ac:dyDescent="0.35">
      <c r="N928" s="676"/>
    </row>
    <row r="929" spans="14:14" x14ac:dyDescent="0.35">
      <c r="N929" s="676"/>
    </row>
    <row r="930" spans="14:14" x14ac:dyDescent="0.35">
      <c r="N930" s="676"/>
    </row>
    <row r="931" spans="14:14" x14ac:dyDescent="0.35">
      <c r="N931" s="676"/>
    </row>
    <row r="932" spans="14:14" x14ac:dyDescent="0.35">
      <c r="N932" s="676"/>
    </row>
    <row r="933" spans="14:14" x14ac:dyDescent="0.35">
      <c r="N933" s="676"/>
    </row>
    <row r="934" spans="14:14" x14ac:dyDescent="0.35">
      <c r="N934" s="676"/>
    </row>
    <row r="935" spans="14:14" x14ac:dyDescent="0.35">
      <c r="N935" s="676"/>
    </row>
    <row r="936" spans="14:14" x14ac:dyDescent="0.35">
      <c r="N936" s="676"/>
    </row>
    <row r="937" spans="14:14" x14ac:dyDescent="0.35">
      <c r="N937" s="676"/>
    </row>
    <row r="938" spans="14:14" x14ac:dyDescent="0.35">
      <c r="N938" s="676"/>
    </row>
    <row r="939" spans="14:14" x14ac:dyDescent="0.35">
      <c r="N939" s="676"/>
    </row>
    <row r="940" spans="14:14" x14ac:dyDescent="0.35">
      <c r="N940" s="676"/>
    </row>
    <row r="941" spans="14:14" x14ac:dyDescent="0.35">
      <c r="N941" s="676"/>
    </row>
    <row r="942" spans="14:14" x14ac:dyDescent="0.35">
      <c r="N942" s="676"/>
    </row>
    <row r="943" spans="14:14" x14ac:dyDescent="0.35">
      <c r="N943" s="676"/>
    </row>
    <row r="944" spans="14:14" x14ac:dyDescent="0.35">
      <c r="N944" s="676"/>
    </row>
    <row r="945" spans="14:14" x14ac:dyDescent="0.35">
      <c r="N945" s="676"/>
    </row>
    <row r="946" spans="14:14" x14ac:dyDescent="0.35">
      <c r="N946" s="676"/>
    </row>
    <row r="947" spans="14:14" x14ac:dyDescent="0.35">
      <c r="N947" s="676"/>
    </row>
    <row r="948" spans="14:14" x14ac:dyDescent="0.35">
      <c r="N948" s="676"/>
    </row>
    <row r="949" spans="14:14" x14ac:dyDescent="0.35">
      <c r="N949" s="676"/>
    </row>
    <row r="950" spans="14:14" x14ac:dyDescent="0.35">
      <c r="N950" s="676"/>
    </row>
    <row r="951" spans="14:14" x14ac:dyDescent="0.35">
      <c r="N951" s="676"/>
    </row>
    <row r="952" spans="14:14" x14ac:dyDescent="0.35">
      <c r="N952" s="676"/>
    </row>
    <row r="953" spans="14:14" x14ac:dyDescent="0.35">
      <c r="N953" s="676"/>
    </row>
    <row r="954" spans="14:14" x14ac:dyDescent="0.35">
      <c r="N954" s="676"/>
    </row>
    <row r="955" spans="14:14" x14ac:dyDescent="0.35">
      <c r="N955" s="676"/>
    </row>
    <row r="956" spans="14:14" x14ac:dyDescent="0.35">
      <c r="N956" s="676"/>
    </row>
    <row r="957" spans="14:14" x14ac:dyDescent="0.35">
      <c r="N957" s="676"/>
    </row>
    <row r="958" spans="14:14" x14ac:dyDescent="0.35">
      <c r="N958" s="676"/>
    </row>
    <row r="959" spans="14:14" x14ac:dyDescent="0.35">
      <c r="N959" s="676"/>
    </row>
    <row r="960" spans="14:14" x14ac:dyDescent="0.35">
      <c r="N960" s="676"/>
    </row>
    <row r="961" spans="14:14" x14ac:dyDescent="0.35">
      <c r="N961" s="676"/>
    </row>
    <row r="962" spans="14:14" x14ac:dyDescent="0.35">
      <c r="N962" s="676"/>
    </row>
    <row r="963" spans="14:14" x14ac:dyDescent="0.35">
      <c r="N963" s="676"/>
    </row>
    <row r="964" spans="14:14" x14ac:dyDescent="0.35">
      <c r="N964" s="676"/>
    </row>
    <row r="965" spans="14:14" x14ac:dyDescent="0.35">
      <c r="N965" s="676"/>
    </row>
    <row r="966" spans="14:14" x14ac:dyDescent="0.35">
      <c r="N966" s="676"/>
    </row>
    <row r="967" spans="14:14" x14ac:dyDescent="0.35">
      <c r="N967" s="676"/>
    </row>
    <row r="968" spans="14:14" x14ac:dyDescent="0.35">
      <c r="N968" s="676"/>
    </row>
    <row r="969" spans="14:14" x14ac:dyDescent="0.35">
      <c r="N969" s="676"/>
    </row>
    <row r="970" spans="14:14" x14ac:dyDescent="0.35">
      <c r="N970" s="676"/>
    </row>
    <row r="971" spans="14:14" x14ac:dyDescent="0.35">
      <c r="N971" s="676"/>
    </row>
    <row r="972" spans="14:14" x14ac:dyDescent="0.35">
      <c r="N972" s="676"/>
    </row>
    <row r="973" spans="14:14" x14ac:dyDescent="0.35">
      <c r="N973" s="676"/>
    </row>
    <row r="974" spans="14:14" x14ac:dyDescent="0.35">
      <c r="N974" s="676"/>
    </row>
    <row r="975" spans="14:14" x14ac:dyDescent="0.35">
      <c r="N975" s="676"/>
    </row>
    <row r="976" spans="14:14" x14ac:dyDescent="0.35">
      <c r="N976" s="676"/>
    </row>
    <row r="977" spans="14:14" x14ac:dyDescent="0.35">
      <c r="N977" s="676"/>
    </row>
    <row r="978" spans="14:14" x14ac:dyDescent="0.35">
      <c r="N978" s="676"/>
    </row>
    <row r="979" spans="14:14" x14ac:dyDescent="0.35">
      <c r="N979" s="676"/>
    </row>
    <row r="980" spans="14:14" x14ac:dyDescent="0.35">
      <c r="N980" s="676"/>
    </row>
    <row r="981" spans="14:14" x14ac:dyDescent="0.35">
      <c r="N981" s="676"/>
    </row>
    <row r="982" spans="14:14" x14ac:dyDescent="0.35">
      <c r="N982" s="676"/>
    </row>
    <row r="983" spans="14:14" x14ac:dyDescent="0.35">
      <c r="N983" s="676"/>
    </row>
    <row r="984" spans="14:14" x14ac:dyDescent="0.35">
      <c r="N984" s="676"/>
    </row>
    <row r="985" spans="14:14" x14ac:dyDescent="0.35">
      <c r="N985" s="676"/>
    </row>
    <row r="986" spans="14:14" x14ac:dyDescent="0.35">
      <c r="N986" s="676"/>
    </row>
    <row r="987" spans="14:14" x14ac:dyDescent="0.35">
      <c r="N987" s="676"/>
    </row>
    <row r="988" spans="14:14" x14ac:dyDescent="0.35">
      <c r="N988" s="676"/>
    </row>
    <row r="989" spans="14:14" x14ac:dyDescent="0.35">
      <c r="N989" s="676"/>
    </row>
    <row r="990" spans="14:14" x14ac:dyDescent="0.35">
      <c r="N990" s="676"/>
    </row>
    <row r="991" spans="14:14" x14ac:dyDescent="0.35">
      <c r="N991" s="676"/>
    </row>
    <row r="992" spans="14:14" x14ac:dyDescent="0.35">
      <c r="N992" s="676"/>
    </row>
    <row r="993" spans="14:14" x14ac:dyDescent="0.35">
      <c r="N993" s="676"/>
    </row>
    <row r="994" spans="14:14" x14ac:dyDescent="0.35">
      <c r="N994" s="676"/>
    </row>
    <row r="995" spans="14:14" x14ac:dyDescent="0.35">
      <c r="N995" s="676"/>
    </row>
    <row r="996" spans="14:14" x14ac:dyDescent="0.35">
      <c r="N996" s="676"/>
    </row>
    <row r="997" spans="14:14" x14ac:dyDescent="0.35">
      <c r="N997" s="676"/>
    </row>
    <row r="998" spans="14:14" x14ac:dyDescent="0.35">
      <c r="N998" s="676"/>
    </row>
    <row r="999" spans="14:14" x14ac:dyDescent="0.35">
      <c r="N999" s="676"/>
    </row>
    <row r="1000" spans="14:14" x14ac:dyDescent="0.35">
      <c r="N1000" s="676"/>
    </row>
    <row r="1001" spans="14:14" x14ac:dyDescent="0.35">
      <c r="N1001" s="676"/>
    </row>
    <row r="1002" spans="14:14" x14ac:dyDescent="0.35">
      <c r="N1002" s="676"/>
    </row>
    <row r="1003" spans="14:14" x14ac:dyDescent="0.35">
      <c r="N1003" s="676"/>
    </row>
    <row r="1004" spans="14:14" x14ac:dyDescent="0.35">
      <c r="N1004" s="676"/>
    </row>
    <row r="1005" spans="14:14" x14ac:dyDescent="0.35">
      <c r="N1005" s="676"/>
    </row>
    <row r="1006" spans="14:14" x14ac:dyDescent="0.35">
      <c r="N1006" s="676"/>
    </row>
    <row r="1007" spans="14:14" x14ac:dyDescent="0.35">
      <c r="N1007" s="676"/>
    </row>
    <row r="1008" spans="14:14" x14ac:dyDescent="0.35">
      <c r="N1008" s="676"/>
    </row>
    <row r="1009" spans="14:14" x14ac:dyDescent="0.35">
      <c r="N1009" s="676"/>
    </row>
    <row r="1010" spans="14:14" x14ac:dyDescent="0.35">
      <c r="N1010" s="676"/>
    </row>
    <row r="1011" spans="14:14" x14ac:dyDescent="0.35">
      <c r="N1011" s="676"/>
    </row>
    <row r="1012" spans="14:14" x14ac:dyDescent="0.35">
      <c r="N1012" s="676"/>
    </row>
    <row r="1013" spans="14:14" x14ac:dyDescent="0.35">
      <c r="N1013" s="676"/>
    </row>
    <row r="1014" spans="14:14" x14ac:dyDescent="0.35">
      <c r="N1014" s="676"/>
    </row>
    <row r="1015" spans="14:14" x14ac:dyDescent="0.35">
      <c r="N1015" s="676"/>
    </row>
    <row r="1016" spans="14:14" x14ac:dyDescent="0.35">
      <c r="N1016" s="676"/>
    </row>
    <row r="1017" spans="14:14" x14ac:dyDescent="0.35">
      <c r="N1017" s="676"/>
    </row>
    <row r="1018" spans="14:14" x14ac:dyDescent="0.35">
      <c r="N1018" s="676"/>
    </row>
    <row r="1019" spans="14:14" x14ac:dyDescent="0.35">
      <c r="N1019" s="676"/>
    </row>
    <row r="1020" spans="14:14" x14ac:dyDescent="0.35">
      <c r="N1020" s="676"/>
    </row>
    <row r="1021" spans="14:14" x14ac:dyDescent="0.35">
      <c r="N1021" s="676"/>
    </row>
    <row r="1022" spans="14:14" x14ac:dyDescent="0.35">
      <c r="N1022" s="676"/>
    </row>
    <row r="1023" spans="14:14" x14ac:dyDescent="0.35">
      <c r="N1023" s="676"/>
    </row>
    <row r="1024" spans="14:14" x14ac:dyDescent="0.35">
      <c r="N1024" s="676"/>
    </row>
    <row r="1025" spans="14:14" x14ac:dyDescent="0.35">
      <c r="N1025" s="676"/>
    </row>
    <row r="1026" spans="14:14" x14ac:dyDescent="0.35">
      <c r="N1026" s="676"/>
    </row>
    <row r="1027" spans="14:14" x14ac:dyDescent="0.35">
      <c r="N1027" s="676"/>
    </row>
    <row r="1028" spans="14:14" x14ac:dyDescent="0.35">
      <c r="N1028" s="676"/>
    </row>
    <row r="1029" spans="14:14" x14ac:dyDescent="0.35">
      <c r="N1029" s="676"/>
    </row>
    <row r="1030" spans="14:14" x14ac:dyDescent="0.35">
      <c r="N1030" s="676"/>
    </row>
    <row r="1031" spans="14:14" x14ac:dyDescent="0.35">
      <c r="N1031" s="676"/>
    </row>
    <row r="1032" spans="14:14" x14ac:dyDescent="0.35">
      <c r="N1032" s="676"/>
    </row>
    <row r="1033" spans="14:14" x14ac:dyDescent="0.35">
      <c r="N1033" s="676"/>
    </row>
    <row r="1034" spans="14:14" x14ac:dyDescent="0.35">
      <c r="N1034" s="676"/>
    </row>
    <row r="1035" spans="14:14" x14ac:dyDescent="0.35">
      <c r="N1035" s="676"/>
    </row>
    <row r="1036" spans="14:14" x14ac:dyDescent="0.35">
      <c r="N1036" s="676"/>
    </row>
    <row r="1037" spans="14:14" x14ac:dyDescent="0.35">
      <c r="N1037" s="676"/>
    </row>
    <row r="1038" spans="14:14" x14ac:dyDescent="0.35">
      <c r="N1038" s="676"/>
    </row>
    <row r="1039" spans="14:14" x14ac:dyDescent="0.35">
      <c r="N1039" s="676"/>
    </row>
    <row r="1040" spans="14:14" x14ac:dyDescent="0.35">
      <c r="N1040" s="676"/>
    </row>
    <row r="1041" spans="14:14" x14ac:dyDescent="0.35">
      <c r="N1041" s="676"/>
    </row>
    <row r="1042" spans="14:14" x14ac:dyDescent="0.35">
      <c r="N1042" s="676"/>
    </row>
    <row r="1043" spans="14:14" x14ac:dyDescent="0.35">
      <c r="N1043" s="676"/>
    </row>
    <row r="1044" spans="14:14" x14ac:dyDescent="0.35">
      <c r="N1044" s="676"/>
    </row>
    <row r="1045" spans="14:14" x14ac:dyDescent="0.35">
      <c r="N1045" s="676"/>
    </row>
    <row r="1046" spans="14:14" x14ac:dyDescent="0.35">
      <c r="N1046" s="676"/>
    </row>
    <row r="1047" spans="14:14" x14ac:dyDescent="0.35">
      <c r="N1047" s="676"/>
    </row>
    <row r="1048" spans="14:14" x14ac:dyDescent="0.35">
      <c r="N1048" s="676"/>
    </row>
    <row r="1049" spans="14:14" x14ac:dyDescent="0.35">
      <c r="N1049" s="676"/>
    </row>
    <row r="1050" spans="14:14" x14ac:dyDescent="0.35">
      <c r="N1050" s="676"/>
    </row>
    <row r="1051" spans="14:14" x14ac:dyDescent="0.35">
      <c r="N1051" s="676"/>
    </row>
    <row r="1052" spans="14:14" x14ac:dyDescent="0.35">
      <c r="N1052" s="676"/>
    </row>
    <row r="1053" spans="14:14" x14ac:dyDescent="0.35">
      <c r="N1053" s="676"/>
    </row>
    <row r="1054" spans="14:14" x14ac:dyDescent="0.35">
      <c r="N1054" s="676"/>
    </row>
    <row r="1055" spans="14:14" x14ac:dyDescent="0.35">
      <c r="N1055" s="676"/>
    </row>
    <row r="1056" spans="14:14" x14ac:dyDescent="0.35">
      <c r="N1056" s="676"/>
    </row>
    <row r="1057" spans="14:14" x14ac:dyDescent="0.35">
      <c r="N1057" s="676"/>
    </row>
    <row r="1058" spans="14:14" x14ac:dyDescent="0.35">
      <c r="N1058" s="676"/>
    </row>
    <row r="1059" spans="14:14" x14ac:dyDescent="0.35">
      <c r="N1059" s="676"/>
    </row>
    <row r="1060" spans="14:14" x14ac:dyDescent="0.35">
      <c r="N1060" s="676"/>
    </row>
    <row r="1061" spans="14:14" x14ac:dyDescent="0.35">
      <c r="N1061" s="676"/>
    </row>
    <row r="1062" spans="14:14" x14ac:dyDescent="0.35">
      <c r="N1062" s="676"/>
    </row>
    <row r="1063" spans="14:14" x14ac:dyDescent="0.35">
      <c r="N1063" s="676"/>
    </row>
    <row r="1064" spans="14:14" x14ac:dyDescent="0.35">
      <c r="N1064" s="676"/>
    </row>
    <row r="1065" spans="14:14" x14ac:dyDescent="0.35">
      <c r="N1065" s="676"/>
    </row>
    <row r="1066" spans="14:14" x14ac:dyDescent="0.35">
      <c r="N1066" s="676"/>
    </row>
    <row r="1067" spans="14:14" x14ac:dyDescent="0.35">
      <c r="N1067" s="676"/>
    </row>
    <row r="1068" spans="14:14" x14ac:dyDescent="0.35">
      <c r="N1068" s="676"/>
    </row>
    <row r="1069" spans="14:14" x14ac:dyDescent="0.35">
      <c r="N1069" s="676"/>
    </row>
    <row r="1070" spans="14:14" x14ac:dyDescent="0.35">
      <c r="N1070" s="676"/>
    </row>
    <row r="1071" spans="14:14" x14ac:dyDescent="0.35">
      <c r="N1071" s="676"/>
    </row>
    <row r="1072" spans="14:14" x14ac:dyDescent="0.35">
      <c r="N1072" s="676"/>
    </row>
    <row r="1073" spans="14:14" x14ac:dyDescent="0.35">
      <c r="N1073" s="676"/>
    </row>
    <row r="1074" spans="14:14" x14ac:dyDescent="0.35">
      <c r="N1074" s="676"/>
    </row>
    <row r="1075" spans="14:14" x14ac:dyDescent="0.35">
      <c r="N1075" s="676"/>
    </row>
    <row r="1076" spans="14:14" x14ac:dyDescent="0.35">
      <c r="N1076" s="676"/>
    </row>
    <row r="1077" spans="14:14" x14ac:dyDescent="0.35">
      <c r="N1077" s="676"/>
    </row>
    <row r="1078" spans="14:14" x14ac:dyDescent="0.35">
      <c r="N1078" s="676"/>
    </row>
    <row r="1079" spans="14:14" x14ac:dyDescent="0.35">
      <c r="N1079" s="676"/>
    </row>
    <row r="1080" spans="14:14" x14ac:dyDescent="0.35">
      <c r="N1080" s="676"/>
    </row>
    <row r="1081" spans="14:14" x14ac:dyDescent="0.35">
      <c r="N1081" s="676"/>
    </row>
    <row r="1082" spans="14:14" x14ac:dyDescent="0.35">
      <c r="N1082" s="676"/>
    </row>
    <row r="1083" spans="14:14" x14ac:dyDescent="0.35">
      <c r="N1083" s="676"/>
    </row>
    <row r="1084" spans="14:14" x14ac:dyDescent="0.35">
      <c r="N1084" s="676"/>
    </row>
    <row r="1085" spans="14:14" x14ac:dyDescent="0.35">
      <c r="N1085" s="676"/>
    </row>
    <row r="1086" spans="14:14" x14ac:dyDescent="0.35">
      <c r="N1086" s="676"/>
    </row>
    <row r="1087" spans="14:14" x14ac:dyDescent="0.35">
      <c r="N1087" s="676"/>
    </row>
    <row r="1088" spans="14:14" x14ac:dyDescent="0.35">
      <c r="N1088" s="676"/>
    </row>
    <row r="1089" spans="14:14" x14ac:dyDescent="0.35">
      <c r="N1089" s="676"/>
    </row>
    <row r="1090" spans="14:14" x14ac:dyDescent="0.35">
      <c r="N1090" s="676"/>
    </row>
    <row r="1091" spans="14:14" x14ac:dyDescent="0.35">
      <c r="N1091" s="676"/>
    </row>
    <row r="1092" spans="14:14" x14ac:dyDescent="0.35">
      <c r="N1092" s="676"/>
    </row>
    <row r="1093" spans="14:14" x14ac:dyDescent="0.35">
      <c r="N1093" s="676"/>
    </row>
    <row r="1094" spans="14:14" x14ac:dyDescent="0.35">
      <c r="N1094" s="676"/>
    </row>
    <row r="1095" spans="14:14" x14ac:dyDescent="0.35">
      <c r="N1095" s="676"/>
    </row>
    <row r="1096" spans="14:14" x14ac:dyDescent="0.35">
      <c r="N1096" s="676"/>
    </row>
    <row r="1097" spans="14:14" x14ac:dyDescent="0.35">
      <c r="N1097" s="676"/>
    </row>
    <row r="1098" spans="14:14" x14ac:dyDescent="0.35">
      <c r="N1098" s="676"/>
    </row>
    <row r="1099" spans="14:14" x14ac:dyDescent="0.35">
      <c r="N1099" s="676"/>
    </row>
    <row r="1100" spans="14:14" x14ac:dyDescent="0.35">
      <c r="N1100" s="676"/>
    </row>
    <row r="1101" spans="14:14" x14ac:dyDescent="0.35">
      <c r="N1101" s="676"/>
    </row>
    <row r="1102" spans="14:14" x14ac:dyDescent="0.35">
      <c r="N1102" s="676"/>
    </row>
    <row r="1103" spans="14:14" x14ac:dyDescent="0.35">
      <c r="N1103" s="676"/>
    </row>
    <row r="1104" spans="14:14" x14ac:dyDescent="0.35">
      <c r="N1104" s="676"/>
    </row>
    <row r="1105" spans="14:14" x14ac:dyDescent="0.35">
      <c r="N1105" s="676"/>
    </row>
    <row r="1106" spans="14:14" x14ac:dyDescent="0.35">
      <c r="N1106" s="676"/>
    </row>
    <row r="1107" spans="14:14" x14ac:dyDescent="0.35">
      <c r="N1107" s="676"/>
    </row>
    <row r="1108" spans="14:14" x14ac:dyDescent="0.35">
      <c r="N1108" s="676"/>
    </row>
    <row r="1109" spans="14:14" x14ac:dyDescent="0.35">
      <c r="N1109" s="676"/>
    </row>
    <row r="1110" spans="14:14" x14ac:dyDescent="0.35">
      <c r="N1110" s="676"/>
    </row>
    <row r="1111" spans="14:14" x14ac:dyDescent="0.35">
      <c r="N1111" s="676"/>
    </row>
    <row r="1112" spans="14:14" x14ac:dyDescent="0.35">
      <c r="N1112" s="676"/>
    </row>
    <row r="1113" spans="14:14" x14ac:dyDescent="0.35">
      <c r="N1113" s="676"/>
    </row>
    <row r="1114" spans="14:14" x14ac:dyDescent="0.35">
      <c r="N1114" s="676"/>
    </row>
    <row r="1115" spans="14:14" x14ac:dyDescent="0.35">
      <c r="N1115" s="676"/>
    </row>
    <row r="1116" spans="14:14" x14ac:dyDescent="0.35">
      <c r="N1116" s="676"/>
    </row>
    <row r="1117" spans="14:14" x14ac:dyDescent="0.35">
      <c r="N1117" s="676"/>
    </row>
    <row r="1118" spans="14:14" x14ac:dyDescent="0.35">
      <c r="N1118" s="676"/>
    </row>
    <row r="1119" spans="14:14" x14ac:dyDescent="0.35">
      <c r="N1119" s="676"/>
    </row>
    <row r="1120" spans="14:14" x14ac:dyDescent="0.35">
      <c r="N1120" s="676"/>
    </row>
    <row r="1121" spans="14:14" x14ac:dyDescent="0.35">
      <c r="N1121" s="676"/>
    </row>
    <row r="1122" spans="14:14" x14ac:dyDescent="0.35">
      <c r="N1122" s="676"/>
    </row>
    <row r="1123" spans="14:14" x14ac:dyDescent="0.35">
      <c r="N1123" s="676"/>
    </row>
    <row r="1124" spans="14:14" x14ac:dyDescent="0.35">
      <c r="N1124" s="676"/>
    </row>
    <row r="1125" spans="14:14" x14ac:dyDescent="0.35">
      <c r="N1125" s="676"/>
    </row>
    <row r="1126" spans="14:14" x14ac:dyDescent="0.35">
      <c r="N1126" s="676"/>
    </row>
    <row r="1127" spans="14:14" x14ac:dyDescent="0.35">
      <c r="N1127" s="676"/>
    </row>
    <row r="1128" spans="14:14" x14ac:dyDescent="0.35">
      <c r="N1128" s="676"/>
    </row>
    <row r="1129" spans="14:14" x14ac:dyDescent="0.35">
      <c r="N1129" s="676"/>
    </row>
    <row r="1130" spans="14:14" x14ac:dyDescent="0.35">
      <c r="N1130" s="676"/>
    </row>
    <row r="1131" spans="14:14" x14ac:dyDescent="0.35">
      <c r="N1131" s="676"/>
    </row>
    <row r="1132" spans="14:14" x14ac:dyDescent="0.35">
      <c r="N1132" s="676"/>
    </row>
    <row r="1133" spans="14:14" x14ac:dyDescent="0.35">
      <c r="N1133" s="676"/>
    </row>
    <row r="1134" spans="14:14" x14ac:dyDescent="0.35">
      <c r="N1134" s="676"/>
    </row>
    <row r="1135" spans="14:14" x14ac:dyDescent="0.35">
      <c r="N1135" s="676"/>
    </row>
    <row r="1136" spans="14:14" x14ac:dyDescent="0.35">
      <c r="N1136" s="676"/>
    </row>
    <row r="1137" spans="14:14" x14ac:dyDescent="0.35">
      <c r="N1137" s="676"/>
    </row>
    <row r="1138" spans="14:14" x14ac:dyDescent="0.35">
      <c r="N1138" s="676"/>
    </row>
    <row r="1139" spans="14:14" x14ac:dyDescent="0.35">
      <c r="N1139" s="676"/>
    </row>
    <row r="1140" spans="14:14" x14ac:dyDescent="0.35">
      <c r="N1140" s="676"/>
    </row>
    <row r="1141" spans="14:14" x14ac:dyDescent="0.35">
      <c r="N1141" s="676"/>
    </row>
    <row r="1142" spans="14:14" x14ac:dyDescent="0.35">
      <c r="N1142" s="676"/>
    </row>
    <row r="1143" spans="14:14" x14ac:dyDescent="0.35">
      <c r="N1143" s="676"/>
    </row>
    <row r="1144" spans="14:14" x14ac:dyDescent="0.35">
      <c r="N1144" s="676"/>
    </row>
    <row r="1145" spans="14:14" x14ac:dyDescent="0.35">
      <c r="N1145" s="676"/>
    </row>
    <row r="1146" spans="14:14" x14ac:dyDescent="0.35">
      <c r="N1146" s="676"/>
    </row>
    <row r="1147" spans="14:14" x14ac:dyDescent="0.35">
      <c r="N1147" s="676"/>
    </row>
    <row r="1148" spans="14:14" x14ac:dyDescent="0.35">
      <c r="N1148" s="676"/>
    </row>
    <row r="1149" spans="14:14" x14ac:dyDescent="0.35">
      <c r="N1149" s="676"/>
    </row>
    <row r="1150" spans="14:14" x14ac:dyDescent="0.35">
      <c r="N1150" s="676"/>
    </row>
    <row r="1151" spans="14:14" x14ac:dyDescent="0.35">
      <c r="N1151" s="676"/>
    </row>
    <row r="1152" spans="14:14" x14ac:dyDescent="0.35">
      <c r="N1152" s="676"/>
    </row>
    <row r="1153" spans="14:14" x14ac:dyDescent="0.35">
      <c r="N1153" s="676"/>
    </row>
    <row r="1154" spans="14:14" x14ac:dyDescent="0.35">
      <c r="N1154" s="676"/>
    </row>
    <row r="1155" spans="14:14" x14ac:dyDescent="0.35">
      <c r="N1155" s="676"/>
    </row>
    <row r="1156" spans="14:14" x14ac:dyDescent="0.35">
      <c r="N1156" s="676"/>
    </row>
    <row r="1157" spans="14:14" x14ac:dyDescent="0.35">
      <c r="N1157" s="676"/>
    </row>
    <row r="1158" spans="14:14" x14ac:dyDescent="0.35">
      <c r="N1158" s="676"/>
    </row>
    <row r="1159" spans="14:14" x14ac:dyDescent="0.35">
      <c r="N1159" s="676"/>
    </row>
    <row r="1160" spans="14:14" x14ac:dyDescent="0.35">
      <c r="N1160" s="676"/>
    </row>
    <row r="1161" spans="14:14" x14ac:dyDescent="0.35">
      <c r="N1161" s="676"/>
    </row>
    <row r="1162" spans="14:14" x14ac:dyDescent="0.35">
      <c r="N1162" s="676"/>
    </row>
    <row r="1163" spans="14:14" x14ac:dyDescent="0.35">
      <c r="N1163" s="676"/>
    </row>
    <row r="1164" spans="14:14" x14ac:dyDescent="0.35">
      <c r="N1164" s="676"/>
    </row>
    <row r="1165" spans="14:14" x14ac:dyDescent="0.35">
      <c r="N1165" s="676"/>
    </row>
    <row r="1166" spans="14:14" x14ac:dyDescent="0.35">
      <c r="N1166" s="676"/>
    </row>
    <row r="1167" spans="14:14" x14ac:dyDescent="0.35">
      <c r="N1167" s="676"/>
    </row>
    <row r="1168" spans="14:14" x14ac:dyDescent="0.35">
      <c r="N1168" s="676"/>
    </row>
    <row r="1169" spans="14:14" x14ac:dyDescent="0.35">
      <c r="N1169" s="676"/>
    </row>
    <row r="1170" spans="14:14" x14ac:dyDescent="0.35">
      <c r="N1170" s="676"/>
    </row>
    <row r="1171" spans="14:14" x14ac:dyDescent="0.35">
      <c r="N1171" s="676"/>
    </row>
    <row r="1172" spans="14:14" x14ac:dyDescent="0.35">
      <c r="N1172" s="676"/>
    </row>
    <row r="1173" spans="14:14" x14ac:dyDescent="0.35">
      <c r="N1173" s="676"/>
    </row>
    <row r="1174" spans="14:14" x14ac:dyDescent="0.35">
      <c r="N1174" s="676"/>
    </row>
    <row r="1175" spans="14:14" x14ac:dyDescent="0.35">
      <c r="N1175" s="676"/>
    </row>
    <row r="1176" spans="14:14" x14ac:dyDescent="0.35">
      <c r="N1176" s="676"/>
    </row>
    <row r="1177" spans="14:14" x14ac:dyDescent="0.35">
      <c r="N1177" s="676"/>
    </row>
    <row r="1178" spans="14:14" x14ac:dyDescent="0.35">
      <c r="N1178" s="676"/>
    </row>
    <row r="1179" spans="14:14" x14ac:dyDescent="0.35">
      <c r="N1179" s="676"/>
    </row>
    <row r="1180" spans="14:14" x14ac:dyDescent="0.35">
      <c r="N1180" s="676"/>
    </row>
    <row r="1181" spans="14:14" x14ac:dyDescent="0.35">
      <c r="N1181" s="676"/>
    </row>
    <row r="1182" spans="14:14" x14ac:dyDescent="0.35">
      <c r="N1182" s="676"/>
    </row>
    <row r="1183" spans="14:14" x14ac:dyDescent="0.35">
      <c r="N1183" s="676"/>
    </row>
    <row r="1184" spans="14:14" x14ac:dyDescent="0.35">
      <c r="N1184" s="676"/>
    </row>
    <row r="1185" spans="14:14" x14ac:dyDescent="0.35">
      <c r="N1185" s="676"/>
    </row>
    <row r="1186" spans="14:14" x14ac:dyDescent="0.35">
      <c r="N1186" s="676"/>
    </row>
    <row r="1187" spans="14:14" x14ac:dyDescent="0.35">
      <c r="N1187" s="676"/>
    </row>
    <row r="1188" spans="14:14" x14ac:dyDescent="0.35">
      <c r="N1188" s="676"/>
    </row>
    <row r="1189" spans="14:14" x14ac:dyDescent="0.35">
      <c r="N1189" s="676"/>
    </row>
    <row r="1190" spans="14:14" x14ac:dyDescent="0.35">
      <c r="N1190" s="676"/>
    </row>
    <row r="1191" spans="14:14" x14ac:dyDescent="0.35">
      <c r="N1191" s="676"/>
    </row>
    <row r="1192" spans="14:14" x14ac:dyDescent="0.35">
      <c r="N1192" s="676"/>
    </row>
    <row r="1193" spans="14:14" x14ac:dyDescent="0.35">
      <c r="N1193" s="676"/>
    </row>
    <row r="1194" spans="14:14" x14ac:dyDescent="0.35">
      <c r="N1194" s="676"/>
    </row>
    <row r="1195" spans="14:14" x14ac:dyDescent="0.35">
      <c r="N1195" s="676"/>
    </row>
    <row r="1196" spans="14:14" x14ac:dyDescent="0.35">
      <c r="N1196" s="676"/>
    </row>
    <row r="1197" spans="14:14" x14ac:dyDescent="0.35">
      <c r="N1197" s="676"/>
    </row>
    <row r="1198" spans="14:14" x14ac:dyDescent="0.35">
      <c r="N1198" s="676"/>
    </row>
    <row r="1199" spans="14:14" x14ac:dyDescent="0.35">
      <c r="N1199" s="676"/>
    </row>
    <row r="1200" spans="14:14" x14ac:dyDescent="0.35">
      <c r="N1200" s="676"/>
    </row>
    <row r="1201" spans="14:14" x14ac:dyDescent="0.35">
      <c r="N1201" s="676"/>
    </row>
    <row r="1202" spans="14:14" x14ac:dyDescent="0.35">
      <c r="N1202" s="676"/>
    </row>
    <row r="1203" spans="14:14" x14ac:dyDescent="0.35">
      <c r="N1203" s="676"/>
    </row>
    <row r="1204" spans="14:14" x14ac:dyDescent="0.35">
      <c r="N1204" s="676"/>
    </row>
    <row r="1205" spans="14:14" x14ac:dyDescent="0.35">
      <c r="N1205" s="676"/>
    </row>
    <row r="1206" spans="14:14" x14ac:dyDescent="0.35">
      <c r="N1206" s="676"/>
    </row>
    <row r="1207" spans="14:14" x14ac:dyDescent="0.35">
      <c r="N1207" s="676"/>
    </row>
    <row r="1208" spans="14:14" x14ac:dyDescent="0.35">
      <c r="N1208" s="676"/>
    </row>
    <row r="1209" spans="14:14" x14ac:dyDescent="0.35">
      <c r="N1209" s="676"/>
    </row>
    <row r="1210" spans="14:14" x14ac:dyDescent="0.35">
      <c r="N1210" s="676"/>
    </row>
    <row r="1211" spans="14:14" x14ac:dyDescent="0.35">
      <c r="N1211" s="676"/>
    </row>
    <row r="1212" spans="14:14" x14ac:dyDescent="0.35">
      <c r="N1212" s="676"/>
    </row>
    <row r="1213" spans="14:14" x14ac:dyDescent="0.35">
      <c r="N1213" s="676"/>
    </row>
    <row r="1214" spans="14:14" x14ac:dyDescent="0.35">
      <c r="N1214" s="676"/>
    </row>
    <row r="1215" spans="14:14" x14ac:dyDescent="0.35">
      <c r="N1215" s="676"/>
    </row>
    <row r="1216" spans="14:14" x14ac:dyDescent="0.35">
      <c r="N1216" s="676"/>
    </row>
    <row r="1217" spans="14:14" x14ac:dyDescent="0.35">
      <c r="N1217" s="676"/>
    </row>
    <row r="1218" spans="14:14" x14ac:dyDescent="0.35">
      <c r="N1218" s="676"/>
    </row>
    <row r="1219" spans="14:14" x14ac:dyDescent="0.35">
      <c r="N1219" s="676"/>
    </row>
    <row r="1220" spans="14:14" x14ac:dyDescent="0.35">
      <c r="N1220" s="676"/>
    </row>
    <row r="1221" spans="14:14" x14ac:dyDescent="0.35">
      <c r="N1221" s="676"/>
    </row>
    <row r="1222" spans="14:14" x14ac:dyDescent="0.35">
      <c r="N1222" s="676"/>
    </row>
    <row r="1223" spans="14:14" x14ac:dyDescent="0.35">
      <c r="N1223" s="676"/>
    </row>
    <row r="1224" spans="14:14" x14ac:dyDescent="0.35">
      <c r="N1224" s="676"/>
    </row>
    <row r="1225" spans="14:14" x14ac:dyDescent="0.35">
      <c r="N1225" s="676"/>
    </row>
    <row r="1226" spans="14:14" x14ac:dyDescent="0.35">
      <c r="N1226" s="676"/>
    </row>
    <row r="1227" spans="14:14" x14ac:dyDescent="0.35">
      <c r="N1227" s="676"/>
    </row>
    <row r="1228" spans="14:14" x14ac:dyDescent="0.35">
      <c r="N1228" s="676"/>
    </row>
    <row r="1229" spans="14:14" x14ac:dyDescent="0.35">
      <c r="N1229" s="676"/>
    </row>
    <row r="1230" spans="14:14" x14ac:dyDescent="0.35">
      <c r="N1230" s="676"/>
    </row>
    <row r="1231" spans="14:14" x14ac:dyDescent="0.35">
      <c r="N1231" s="676"/>
    </row>
    <row r="1232" spans="14:14" x14ac:dyDescent="0.35">
      <c r="N1232" s="676"/>
    </row>
    <row r="1233" spans="14:14" x14ac:dyDescent="0.35">
      <c r="N1233" s="676"/>
    </row>
    <row r="1234" spans="14:14" x14ac:dyDescent="0.35">
      <c r="N1234" s="676"/>
    </row>
    <row r="1235" spans="14:14" x14ac:dyDescent="0.35">
      <c r="N1235" s="676"/>
    </row>
    <row r="1236" spans="14:14" x14ac:dyDescent="0.35">
      <c r="N1236" s="676"/>
    </row>
    <row r="1237" spans="14:14" x14ac:dyDescent="0.35">
      <c r="N1237" s="676"/>
    </row>
    <row r="1238" spans="14:14" x14ac:dyDescent="0.35">
      <c r="N1238" s="676"/>
    </row>
    <row r="1239" spans="14:14" x14ac:dyDescent="0.35">
      <c r="N1239" s="676"/>
    </row>
    <row r="1240" spans="14:14" x14ac:dyDescent="0.35">
      <c r="N1240" s="676"/>
    </row>
    <row r="1241" spans="14:14" x14ac:dyDescent="0.35">
      <c r="N1241" s="676"/>
    </row>
    <row r="1242" spans="14:14" x14ac:dyDescent="0.35">
      <c r="N1242" s="676"/>
    </row>
    <row r="1243" spans="14:14" x14ac:dyDescent="0.35">
      <c r="N1243" s="676"/>
    </row>
    <row r="1244" spans="14:14" x14ac:dyDescent="0.35">
      <c r="N1244" s="676"/>
    </row>
    <row r="1245" spans="14:14" x14ac:dyDescent="0.35">
      <c r="N1245" s="676"/>
    </row>
    <row r="1246" spans="14:14" x14ac:dyDescent="0.35">
      <c r="N1246" s="676"/>
    </row>
    <row r="1247" spans="14:14" x14ac:dyDescent="0.35">
      <c r="N1247" s="676"/>
    </row>
    <row r="1248" spans="14:14" x14ac:dyDescent="0.35">
      <c r="N1248" s="676"/>
    </row>
    <row r="1249" spans="14:14" x14ac:dyDescent="0.35">
      <c r="N1249" s="676"/>
    </row>
    <row r="1250" spans="14:14" x14ac:dyDescent="0.35">
      <c r="N1250" s="676"/>
    </row>
    <row r="1251" spans="14:14" x14ac:dyDescent="0.35">
      <c r="N1251" s="676"/>
    </row>
    <row r="1252" spans="14:14" x14ac:dyDescent="0.35">
      <c r="N1252" s="676"/>
    </row>
    <row r="1253" spans="14:14" x14ac:dyDescent="0.35">
      <c r="N1253" s="676"/>
    </row>
    <row r="1254" spans="14:14" x14ac:dyDescent="0.35">
      <c r="N1254" s="676"/>
    </row>
    <row r="1255" spans="14:14" x14ac:dyDescent="0.35">
      <c r="N1255" s="676"/>
    </row>
    <row r="1256" spans="14:14" x14ac:dyDescent="0.35">
      <c r="N1256" s="676"/>
    </row>
    <row r="1257" spans="14:14" x14ac:dyDescent="0.35">
      <c r="N1257" s="676"/>
    </row>
    <row r="1258" spans="14:14" x14ac:dyDescent="0.35">
      <c r="N1258" s="676"/>
    </row>
    <row r="1259" spans="14:14" x14ac:dyDescent="0.35">
      <c r="N1259" s="676"/>
    </row>
    <row r="1260" spans="14:14" x14ac:dyDescent="0.35">
      <c r="N1260" s="676"/>
    </row>
    <row r="1261" spans="14:14" x14ac:dyDescent="0.35">
      <c r="N1261" s="676"/>
    </row>
    <row r="1262" spans="14:14" x14ac:dyDescent="0.35">
      <c r="N1262" s="676"/>
    </row>
    <row r="1263" spans="14:14" x14ac:dyDescent="0.35">
      <c r="N1263" s="676"/>
    </row>
    <row r="1264" spans="14:14" x14ac:dyDescent="0.35">
      <c r="N1264" s="676"/>
    </row>
    <row r="1265" spans="14:14" x14ac:dyDescent="0.35">
      <c r="N1265" s="676"/>
    </row>
    <row r="1266" spans="14:14" x14ac:dyDescent="0.35">
      <c r="N1266" s="676"/>
    </row>
    <row r="1267" spans="14:14" x14ac:dyDescent="0.35">
      <c r="N1267" s="676"/>
    </row>
    <row r="1268" spans="14:14" x14ac:dyDescent="0.35">
      <c r="N1268" s="676"/>
    </row>
    <row r="1269" spans="14:14" x14ac:dyDescent="0.35">
      <c r="N1269" s="676"/>
    </row>
    <row r="1270" spans="14:14" x14ac:dyDescent="0.35">
      <c r="N1270" s="676"/>
    </row>
    <row r="1271" spans="14:14" x14ac:dyDescent="0.35">
      <c r="N1271" s="676"/>
    </row>
    <row r="1272" spans="14:14" x14ac:dyDescent="0.35">
      <c r="N1272" s="676"/>
    </row>
    <row r="1273" spans="14:14" x14ac:dyDescent="0.35">
      <c r="N1273" s="676"/>
    </row>
    <row r="1274" spans="14:14" x14ac:dyDescent="0.35">
      <c r="N1274" s="676"/>
    </row>
    <row r="1275" spans="14:14" x14ac:dyDescent="0.35">
      <c r="N1275" s="676"/>
    </row>
    <row r="1276" spans="14:14" x14ac:dyDescent="0.35">
      <c r="N1276" s="676"/>
    </row>
    <row r="1277" spans="14:14" x14ac:dyDescent="0.35">
      <c r="N1277" s="676"/>
    </row>
    <row r="1278" spans="14:14" x14ac:dyDescent="0.35">
      <c r="N1278" s="676"/>
    </row>
    <row r="1279" spans="14:14" x14ac:dyDescent="0.35">
      <c r="N1279" s="676"/>
    </row>
    <row r="1280" spans="14:14" x14ac:dyDescent="0.35">
      <c r="N1280" s="676"/>
    </row>
    <row r="1281" spans="14:14" x14ac:dyDescent="0.35">
      <c r="N1281" s="676"/>
    </row>
    <row r="1282" spans="14:14" x14ac:dyDescent="0.35">
      <c r="N1282" s="676"/>
    </row>
    <row r="1283" spans="14:14" x14ac:dyDescent="0.35">
      <c r="N1283" s="676"/>
    </row>
    <row r="1284" spans="14:14" x14ac:dyDescent="0.35">
      <c r="N1284" s="676"/>
    </row>
    <row r="1285" spans="14:14" x14ac:dyDescent="0.35">
      <c r="N1285" s="676"/>
    </row>
    <row r="1286" spans="14:14" x14ac:dyDescent="0.35">
      <c r="N1286" s="676"/>
    </row>
    <row r="1287" spans="14:14" x14ac:dyDescent="0.35">
      <c r="N1287" s="676"/>
    </row>
    <row r="1288" spans="14:14" x14ac:dyDescent="0.35">
      <c r="N1288" s="676"/>
    </row>
    <row r="1289" spans="14:14" x14ac:dyDescent="0.35">
      <c r="N1289" s="676"/>
    </row>
    <row r="1290" spans="14:14" x14ac:dyDescent="0.35">
      <c r="N1290" s="676"/>
    </row>
    <row r="1291" spans="14:14" x14ac:dyDescent="0.35">
      <c r="N1291" s="676"/>
    </row>
    <row r="1292" spans="14:14" x14ac:dyDescent="0.35">
      <c r="N1292" s="676"/>
    </row>
    <row r="1293" spans="14:14" x14ac:dyDescent="0.35">
      <c r="N1293" s="676"/>
    </row>
    <row r="1294" spans="14:14" x14ac:dyDescent="0.35">
      <c r="N1294" s="676"/>
    </row>
    <row r="1295" spans="14:14" x14ac:dyDescent="0.35">
      <c r="N1295" s="676"/>
    </row>
    <row r="1296" spans="14:14" x14ac:dyDescent="0.35">
      <c r="N1296" s="676"/>
    </row>
    <row r="1297" spans="14:14" x14ac:dyDescent="0.35">
      <c r="N1297" s="676"/>
    </row>
    <row r="1298" spans="14:14" x14ac:dyDescent="0.35">
      <c r="N1298" s="676"/>
    </row>
    <row r="1299" spans="14:14" x14ac:dyDescent="0.35">
      <c r="N1299" s="676"/>
    </row>
    <row r="1300" spans="14:14" x14ac:dyDescent="0.35">
      <c r="N1300" s="676"/>
    </row>
    <row r="1301" spans="14:14" x14ac:dyDescent="0.35">
      <c r="N1301" s="676"/>
    </row>
    <row r="1302" spans="14:14" x14ac:dyDescent="0.35">
      <c r="N1302" s="676"/>
    </row>
    <row r="1303" spans="14:14" x14ac:dyDescent="0.35">
      <c r="N1303" s="676"/>
    </row>
    <row r="1304" spans="14:14" x14ac:dyDescent="0.35">
      <c r="N1304" s="676"/>
    </row>
    <row r="1305" spans="14:14" x14ac:dyDescent="0.35">
      <c r="N1305" s="676"/>
    </row>
    <row r="1306" spans="14:14" x14ac:dyDescent="0.35">
      <c r="N1306" s="676"/>
    </row>
    <row r="1307" spans="14:14" x14ac:dyDescent="0.35">
      <c r="N1307" s="676"/>
    </row>
    <row r="1308" spans="14:14" x14ac:dyDescent="0.35">
      <c r="N1308" s="676"/>
    </row>
    <row r="1309" spans="14:14" x14ac:dyDescent="0.35">
      <c r="N1309" s="676"/>
    </row>
    <row r="1310" spans="14:14" x14ac:dyDescent="0.35">
      <c r="N1310" s="676"/>
    </row>
    <row r="1311" spans="14:14" x14ac:dyDescent="0.35">
      <c r="N1311" s="676"/>
    </row>
    <row r="1312" spans="14:14" x14ac:dyDescent="0.35">
      <c r="N1312" s="676"/>
    </row>
    <row r="1313" spans="14:14" x14ac:dyDescent="0.35">
      <c r="N1313" s="676"/>
    </row>
    <row r="1314" spans="14:14" x14ac:dyDescent="0.35">
      <c r="N1314" s="676"/>
    </row>
    <row r="1315" spans="14:14" x14ac:dyDescent="0.35">
      <c r="N1315" s="676"/>
    </row>
    <row r="1316" spans="14:14" x14ac:dyDescent="0.35">
      <c r="N1316" s="676"/>
    </row>
    <row r="1317" spans="14:14" x14ac:dyDescent="0.35">
      <c r="N1317" s="676"/>
    </row>
    <row r="1318" spans="14:14" x14ac:dyDescent="0.35">
      <c r="N1318" s="676"/>
    </row>
    <row r="1319" spans="14:14" x14ac:dyDescent="0.35">
      <c r="N1319" s="676"/>
    </row>
    <row r="1320" spans="14:14" x14ac:dyDescent="0.35">
      <c r="N1320" s="676"/>
    </row>
    <row r="1321" spans="14:14" x14ac:dyDescent="0.35">
      <c r="N1321" s="676"/>
    </row>
    <row r="1322" spans="14:14" x14ac:dyDescent="0.35">
      <c r="N1322" s="676"/>
    </row>
    <row r="1323" spans="14:14" x14ac:dyDescent="0.35">
      <c r="N1323" s="676"/>
    </row>
    <row r="1324" spans="14:14" x14ac:dyDescent="0.35">
      <c r="N1324" s="676"/>
    </row>
    <row r="1325" spans="14:14" x14ac:dyDescent="0.35">
      <c r="N1325" s="676"/>
    </row>
    <row r="1326" spans="14:14" x14ac:dyDescent="0.35">
      <c r="N1326" s="676"/>
    </row>
    <row r="1327" spans="14:14" x14ac:dyDescent="0.35">
      <c r="N1327" s="676"/>
    </row>
    <row r="1328" spans="14:14" x14ac:dyDescent="0.35">
      <c r="N1328" s="676"/>
    </row>
    <row r="1329" spans="14:14" x14ac:dyDescent="0.35">
      <c r="N1329" s="676"/>
    </row>
    <row r="1330" spans="14:14" x14ac:dyDescent="0.35">
      <c r="N1330" s="676"/>
    </row>
    <row r="1331" spans="14:14" x14ac:dyDescent="0.35">
      <c r="N1331" s="676"/>
    </row>
    <row r="1332" spans="14:14" x14ac:dyDescent="0.35">
      <c r="N1332" s="676"/>
    </row>
    <row r="1333" spans="14:14" x14ac:dyDescent="0.35">
      <c r="N1333" s="676"/>
    </row>
    <row r="1334" spans="14:14" x14ac:dyDescent="0.35">
      <c r="N1334" s="676"/>
    </row>
    <row r="1335" spans="14:14" x14ac:dyDescent="0.35">
      <c r="N1335" s="676"/>
    </row>
    <row r="1336" spans="14:14" x14ac:dyDescent="0.35">
      <c r="N1336" s="676"/>
    </row>
    <row r="1337" spans="14:14" x14ac:dyDescent="0.35">
      <c r="N1337" s="676"/>
    </row>
    <row r="1338" spans="14:14" x14ac:dyDescent="0.35">
      <c r="N1338" s="676"/>
    </row>
    <row r="1339" spans="14:14" x14ac:dyDescent="0.35">
      <c r="N1339" s="676"/>
    </row>
    <row r="1340" spans="14:14" x14ac:dyDescent="0.35">
      <c r="N1340" s="676"/>
    </row>
    <row r="1341" spans="14:14" x14ac:dyDescent="0.35">
      <c r="N1341" s="676"/>
    </row>
    <row r="1342" spans="14:14" x14ac:dyDescent="0.35">
      <c r="N1342" s="676"/>
    </row>
    <row r="1343" spans="14:14" x14ac:dyDescent="0.35">
      <c r="N1343" s="676"/>
    </row>
    <row r="1344" spans="14:14" x14ac:dyDescent="0.35">
      <c r="N1344" s="676"/>
    </row>
    <row r="1345" spans="14:14" x14ac:dyDescent="0.35">
      <c r="N1345" s="676"/>
    </row>
    <row r="1346" spans="14:14" x14ac:dyDescent="0.35">
      <c r="N1346" s="676"/>
    </row>
    <row r="1347" spans="14:14" x14ac:dyDescent="0.35">
      <c r="N1347" s="676"/>
    </row>
    <row r="1348" spans="14:14" x14ac:dyDescent="0.35">
      <c r="N1348" s="676"/>
    </row>
    <row r="1349" spans="14:14" x14ac:dyDescent="0.35">
      <c r="N1349" s="676"/>
    </row>
    <row r="1350" spans="14:14" x14ac:dyDescent="0.35">
      <c r="N1350" s="676"/>
    </row>
    <row r="1351" spans="14:14" x14ac:dyDescent="0.35">
      <c r="N1351" s="676"/>
    </row>
    <row r="1352" spans="14:14" x14ac:dyDescent="0.35">
      <c r="N1352" s="676"/>
    </row>
    <row r="1353" spans="14:14" x14ac:dyDescent="0.35">
      <c r="N1353" s="676"/>
    </row>
    <row r="1354" spans="14:14" x14ac:dyDescent="0.35">
      <c r="N1354" s="676"/>
    </row>
    <row r="1355" spans="14:14" x14ac:dyDescent="0.35">
      <c r="N1355" s="676"/>
    </row>
    <row r="1356" spans="14:14" x14ac:dyDescent="0.35">
      <c r="N1356" s="676"/>
    </row>
    <row r="1357" spans="14:14" x14ac:dyDescent="0.35">
      <c r="N1357" s="676"/>
    </row>
    <row r="1358" spans="14:14" x14ac:dyDescent="0.35">
      <c r="N1358" s="676"/>
    </row>
    <row r="1359" spans="14:14" x14ac:dyDescent="0.35">
      <c r="N1359" s="676"/>
    </row>
    <row r="1360" spans="14:14" x14ac:dyDescent="0.35">
      <c r="N1360" s="676"/>
    </row>
    <row r="1361" spans="14:14" x14ac:dyDescent="0.35">
      <c r="N1361" s="676"/>
    </row>
    <row r="1362" spans="14:14" x14ac:dyDescent="0.35">
      <c r="N1362" s="676"/>
    </row>
    <row r="1363" spans="14:14" x14ac:dyDescent="0.35">
      <c r="N1363" s="676"/>
    </row>
    <row r="1364" spans="14:14" x14ac:dyDescent="0.35">
      <c r="N1364" s="676"/>
    </row>
    <row r="1365" spans="14:14" x14ac:dyDescent="0.35">
      <c r="N1365" s="676"/>
    </row>
    <row r="1366" spans="14:14" x14ac:dyDescent="0.35">
      <c r="N1366" s="676"/>
    </row>
    <row r="1367" spans="14:14" x14ac:dyDescent="0.35">
      <c r="N1367" s="676"/>
    </row>
    <row r="1368" spans="14:14" x14ac:dyDescent="0.35">
      <c r="N1368" s="676"/>
    </row>
    <row r="1369" spans="14:14" x14ac:dyDescent="0.35">
      <c r="N1369" s="676"/>
    </row>
    <row r="1370" spans="14:14" x14ac:dyDescent="0.35">
      <c r="N1370" s="676"/>
    </row>
    <row r="1371" spans="14:14" x14ac:dyDescent="0.35">
      <c r="N1371" s="676"/>
    </row>
    <row r="1372" spans="14:14" x14ac:dyDescent="0.35">
      <c r="N1372" s="676"/>
    </row>
    <row r="1373" spans="14:14" x14ac:dyDescent="0.35">
      <c r="N1373" s="676"/>
    </row>
    <row r="1374" spans="14:14" x14ac:dyDescent="0.35">
      <c r="N1374" s="676"/>
    </row>
    <row r="1375" spans="14:14" x14ac:dyDescent="0.35">
      <c r="N1375" s="676"/>
    </row>
    <row r="1376" spans="14:14" x14ac:dyDescent="0.35">
      <c r="N1376" s="676"/>
    </row>
    <row r="1377" spans="14:14" x14ac:dyDescent="0.35">
      <c r="N1377" s="676"/>
    </row>
    <row r="1378" spans="14:14" x14ac:dyDescent="0.35">
      <c r="N1378" s="676"/>
    </row>
    <row r="1379" spans="14:14" x14ac:dyDescent="0.35">
      <c r="N1379" s="676"/>
    </row>
    <row r="1380" spans="14:14" x14ac:dyDescent="0.35">
      <c r="N1380" s="676"/>
    </row>
    <row r="1381" spans="14:14" x14ac:dyDescent="0.35">
      <c r="N1381" s="676"/>
    </row>
    <row r="1382" spans="14:14" x14ac:dyDescent="0.35">
      <c r="N1382" s="676"/>
    </row>
    <row r="1383" spans="14:14" x14ac:dyDescent="0.35">
      <c r="N1383" s="676"/>
    </row>
    <row r="1384" spans="14:14" x14ac:dyDescent="0.35">
      <c r="N1384" s="676"/>
    </row>
    <row r="1385" spans="14:14" x14ac:dyDescent="0.35">
      <c r="N1385" s="676"/>
    </row>
    <row r="1386" spans="14:14" x14ac:dyDescent="0.35">
      <c r="N1386" s="676"/>
    </row>
    <row r="1387" spans="14:14" x14ac:dyDescent="0.35">
      <c r="N1387" s="676"/>
    </row>
    <row r="1388" spans="14:14" x14ac:dyDescent="0.35">
      <c r="N1388" s="676"/>
    </row>
    <row r="1389" spans="14:14" x14ac:dyDescent="0.35">
      <c r="N1389" s="676"/>
    </row>
    <row r="1390" spans="14:14" x14ac:dyDescent="0.35">
      <c r="N1390" s="676"/>
    </row>
    <row r="1391" spans="14:14" x14ac:dyDescent="0.35">
      <c r="N1391" s="676"/>
    </row>
    <row r="1392" spans="14:14" x14ac:dyDescent="0.35">
      <c r="N1392" s="676"/>
    </row>
    <row r="1393" spans="14:14" x14ac:dyDescent="0.35">
      <c r="N1393" s="676"/>
    </row>
    <row r="1394" spans="14:14" x14ac:dyDescent="0.35">
      <c r="N1394" s="676"/>
    </row>
    <row r="1395" spans="14:14" x14ac:dyDescent="0.35">
      <c r="N1395" s="676"/>
    </row>
    <row r="1396" spans="14:14" x14ac:dyDescent="0.35">
      <c r="N1396" s="676"/>
    </row>
    <row r="1397" spans="14:14" x14ac:dyDescent="0.35">
      <c r="N1397" s="676"/>
    </row>
    <row r="1398" spans="14:14" x14ac:dyDescent="0.35">
      <c r="N1398" s="676"/>
    </row>
    <row r="1399" spans="14:14" x14ac:dyDescent="0.35">
      <c r="N1399" s="676"/>
    </row>
    <row r="1400" spans="14:14" x14ac:dyDescent="0.35">
      <c r="N1400" s="676"/>
    </row>
    <row r="1401" spans="14:14" x14ac:dyDescent="0.35">
      <c r="N1401" s="676"/>
    </row>
    <row r="1402" spans="14:14" x14ac:dyDescent="0.35">
      <c r="N1402" s="676"/>
    </row>
    <row r="1403" spans="14:14" x14ac:dyDescent="0.35">
      <c r="N1403" s="676"/>
    </row>
    <row r="1404" spans="14:14" x14ac:dyDescent="0.35">
      <c r="N1404" s="676"/>
    </row>
    <row r="1405" spans="14:14" x14ac:dyDescent="0.35">
      <c r="N1405" s="676"/>
    </row>
    <row r="1406" spans="14:14" x14ac:dyDescent="0.35">
      <c r="N1406" s="676"/>
    </row>
    <row r="1407" spans="14:14" x14ac:dyDescent="0.35">
      <c r="N1407" s="676"/>
    </row>
    <row r="1408" spans="14:14" x14ac:dyDescent="0.35">
      <c r="N1408" s="676"/>
    </row>
    <row r="1409" spans="14:14" x14ac:dyDescent="0.35">
      <c r="N1409" s="676"/>
    </row>
    <row r="1410" spans="14:14" x14ac:dyDescent="0.35">
      <c r="N1410" s="676"/>
    </row>
    <row r="1411" spans="14:14" x14ac:dyDescent="0.35">
      <c r="N1411" s="676"/>
    </row>
    <row r="1412" spans="14:14" x14ac:dyDescent="0.35">
      <c r="N1412" s="676"/>
    </row>
    <row r="1413" spans="14:14" x14ac:dyDescent="0.35">
      <c r="N1413" s="676"/>
    </row>
    <row r="1414" spans="14:14" x14ac:dyDescent="0.35">
      <c r="N1414" s="676"/>
    </row>
    <row r="1415" spans="14:14" x14ac:dyDescent="0.35">
      <c r="N1415" s="676"/>
    </row>
    <row r="1416" spans="14:14" x14ac:dyDescent="0.35">
      <c r="N1416" s="676"/>
    </row>
    <row r="1417" spans="14:14" x14ac:dyDescent="0.35">
      <c r="N1417" s="676"/>
    </row>
    <row r="1418" spans="14:14" x14ac:dyDescent="0.35">
      <c r="N1418" s="676"/>
    </row>
    <row r="1419" spans="14:14" x14ac:dyDescent="0.35">
      <c r="N1419" s="676"/>
    </row>
    <row r="1420" spans="14:14" x14ac:dyDescent="0.35">
      <c r="N1420" s="676"/>
    </row>
    <row r="1421" spans="14:14" x14ac:dyDescent="0.35">
      <c r="N1421" s="676"/>
    </row>
    <row r="1422" spans="14:14" x14ac:dyDescent="0.35">
      <c r="N1422" s="676"/>
    </row>
    <row r="1423" spans="14:14" x14ac:dyDescent="0.35">
      <c r="N1423" s="676"/>
    </row>
    <row r="1424" spans="14:14" x14ac:dyDescent="0.35">
      <c r="N1424" s="676"/>
    </row>
    <row r="1425" spans="14:14" x14ac:dyDescent="0.35">
      <c r="N1425" s="676"/>
    </row>
    <row r="1426" spans="14:14" x14ac:dyDescent="0.35">
      <c r="N1426" s="676"/>
    </row>
    <row r="1427" spans="14:14" x14ac:dyDescent="0.35">
      <c r="N1427" s="676"/>
    </row>
    <row r="1428" spans="14:14" x14ac:dyDescent="0.35">
      <c r="N1428" s="676"/>
    </row>
    <row r="1429" spans="14:14" x14ac:dyDescent="0.35">
      <c r="N1429" s="676"/>
    </row>
    <row r="1430" spans="14:14" x14ac:dyDescent="0.35">
      <c r="N1430" s="676"/>
    </row>
    <row r="1431" spans="14:14" x14ac:dyDescent="0.35">
      <c r="N1431" s="676"/>
    </row>
    <row r="1432" spans="14:14" x14ac:dyDescent="0.35">
      <c r="N1432" s="676"/>
    </row>
    <row r="1433" spans="14:14" x14ac:dyDescent="0.35">
      <c r="N1433" s="676"/>
    </row>
    <row r="1434" spans="14:14" x14ac:dyDescent="0.35">
      <c r="N1434" s="676"/>
    </row>
    <row r="1435" spans="14:14" x14ac:dyDescent="0.35">
      <c r="N1435" s="676"/>
    </row>
    <row r="1436" spans="14:14" x14ac:dyDescent="0.35">
      <c r="N1436" s="676"/>
    </row>
    <row r="1437" spans="14:14" x14ac:dyDescent="0.35">
      <c r="N1437" s="676"/>
    </row>
    <row r="1438" spans="14:14" x14ac:dyDescent="0.35">
      <c r="N1438" s="676"/>
    </row>
    <row r="1439" spans="14:14" x14ac:dyDescent="0.35">
      <c r="N1439" s="676"/>
    </row>
    <row r="1440" spans="14:14" x14ac:dyDescent="0.35">
      <c r="N1440" s="676"/>
    </row>
    <row r="1441" spans="14:14" x14ac:dyDescent="0.35">
      <c r="N1441" s="676"/>
    </row>
    <row r="1442" spans="14:14" x14ac:dyDescent="0.35">
      <c r="N1442" s="676"/>
    </row>
    <row r="1443" spans="14:14" x14ac:dyDescent="0.35">
      <c r="N1443" s="676"/>
    </row>
    <row r="1444" spans="14:14" x14ac:dyDescent="0.35">
      <c r="N1444" s="676"/>
    </row>
    <row r="1445" spans="14:14" x14ac:dyDescent="0.35">
      <c r="N1445" s="676"/>
    </row>
    <row r="1446" spans="14:14" x14ac:dyDescent="0.35">
      <c r="N1446" s="676"/>
    </row>
    <row r="1447" spans="14:14" x14ac:dyDescent="0.35">
      <c r="N1447" s="676"/>
    </row>
    <row r="1448" spans="14:14" x14ac:dyDescent="0.35">
      <c r="N1448" s="676"/>
    </row>
    <row r="1449" spans="14:14" x14ac:dyDescent="0.35">
      <c r="N1449" s="676"/>
    </row>
    <row r="1450" spans="14:14" x14ac:dyDescent="0.35">
      <c r="N1450" s="676"/>
    </row>
    <row r="1451" spans="14:14" x14ac:dyDescent="0.35">
      <c r="N1451" s="676"/>
    </row>
    <row r="1452" spans="14:14" x14ac:dyDescent="0.35">
      <c r="N1452" s="676"/>
    </row>
    <row r="1453" spans="14:14" x14ac:dyDescent="0.35">
      <c r="N1453" s="676"/>
    </row>
    <row r="1454" spans="14:14" x14ac:dyDescent="0.35">
      <c r="N1454" s="676"/>
    </row>
    <row r="1455" spans="14:14" x14ac:dyDescent="0.35">
      <c r="N1455" s="676"/>
    </row>
    <row r="1456" spans="14:14" x14ac:dyDescent="0.35">
      <c r="N1456" s="676"/>
    </row>
    <row r="1457" spans="14:14" x14ac:dyDescent="0.35">
      <c r="N1457" s="676"/>
    </row>
    <row r="1458" spans="14:14" x14ac:dyDescent="0.35">
      <c r="N1458" s="676"/>
    </row>
    <row r="1459" spans="14:14" x14ac:dyDescent="0.35">
      <c r="N1459" s="676"/>
    </row>
    <row r="1460" spans="14:14" x14ac:dyDescent="0.35">
      <c r="N1460" s="676"/>
    </row>
    <row r="1461" spans="14:14" x14ac:dyDescent="0.35">
      <c r="N1461" s="676"/>
    </row>
    <row r="1462" spans="14:14" x14ac:dyDescent="0.35">
      <c r="N1462" s="676"/>
    </row>
    <row r="1463" spans="14:14" x14ac:dyDescent="0.35">
      <c r="N1463" s="676"/>
    </row>
    <row r="1464" spans="14:14" x14ac:dyDescent="0.35">
      <c r="N1464" s="676"/>
    </row>
    <row r="1465" spans="14:14" x14ac:dyDescent="0.35">
      <c r="N1465" s="676"/>
    </row>
    <row r="1466" spans="14:14" x14ac:dyDescent="0.35">
      <c r="N1466" s="676"/>
    </row>
    <row r="1467" spans="14:14" x14ac:dyDescent="0.35">
      <c r="N1467" s="676"/>
    </row>
    <row r="1468" spans="14:14" x14ac:dyDescent="0.35">
      <c r="N1468" s="676"/>
    </row>
    <row r="1469" spans="14:14" x14ac:dyDescent="0.35">
      <c r="N1469" s="676"/>
    </row>
    <row r="1470" spans="14:14" x14ac:dyDescent="0.35">
      <c r="N1470" s="676"/>
    </row>
    <row r="1471" spans="14:14" x14ac:dyDescent="0.35">
      <c r="N1471" s="676"/>
    </row>
    <row r="1472" spans="14:14" x14ac:dyDescent="0.35">
      <c r="N1472" s="676"/>
    </row>
    <row r="1473" spans="14:14" x14ac:dyDescent="0.35">
      <c r="N1473" s="676"/>
    </row>
    <row r="1474" spans="14:14" x14ac:dyDescent="0.35">
      <c r="N1474" s="676"/>
    </row>
    <row r="1475" spans="14:14" x14ac:dyDescent="0.35">
      <c r="N1475" s="676"/>
    </row>
    <row r="1476" spans="14:14" x14ac:dyDescent="0.35">
      <c r="N1476" s="676"/>
    </row>
    <row r="1477" spans="14:14" x14ac:dyDescent="0.35">
      <c r="N1477" s="676"/>
    </row>
    <row r="1478" spans="14:14" x14ac:dyDescent="0.35">
      <c r="N1478" s="676"/>
    </row>
    <row r="1479" spans="14:14" x14ac:dyDescent="0.35">
      <c r="N1479" s="676"/>
    </row>
    <row r="1480" spans="14:14" x14ac:dyDescent="0.35">
      <c r="N1480" s="676"/>
    </row>
    <row r="1481" spans="14:14" x14ac:dyDescent="0.35">
      <c r="N1481" s="676"/>
    </row>
    <row r="1482" spans="14:14" x14ac:dyDescent="0.35">
      <c r="N1482" s="676"/>
    </row>
    <row r="1483" spans="14:14" x14ac:dyDescent="0.35">
      <c r="N1483" s="676"/>
    </row>
    <row r="1484" spans="14:14" x14ac:dyDescent="0.35">
      <c r="N1484" s="676"/>
    </row>
    <row r="1485" spans="14:14" x14ac:dyDescent="0.35">
      <c r="N1485" s="676"/>
    </row>
    <row r="1486" spans="14:14" x14ac:dyDescent="0.35">
      <c r="N1486" s="676"/>
    </row>
    <row r="1487" spans="14:14" x14ac:dyDescent="0.35">
      <c r="N1487" s="676"/>
    </row>
    <row r="1488" spans="14:14" x14ac:dyDescent="0.35">
      <c r="N1488" s="676"/>
    </row>
    <row r="1489" spans="14:14" x14ac:dyDescent="0.35">
      <c r="N1489" s="676"/>
    </row>
    <row r="1490" spans="14:14" x14ac:dyDescent="0.35">
      <c r="N1490" s="676"/>
    </row>
    <row r="1491" spans="14:14" x14ac:dyDescent="0.35">
      <c r="N1491" s="676"/>
    </row>
    <row r="1492" spans="14:14" x14ac:dyDescent="0.35">
      <c r="N1492" s="676"/>
    </row>
    <row r="1493" spans="14:14" x14ac:dyDescent="0.35">
      <c r="N1493" s="676"/>
    </row>
    <row r="1494" spans="14:14" x14ac:dyDescent="0.35">
      <c r="N1494" s="676"/>
    </row>
    <row r="1495" spans="14:14" x14ac:dyDescent="0.35">
      <c r="N1495" s="676"/>
    </row>
    <row r="1496" spans="14:14" x14ac:dyDescent="0.35">
      <c r="N1496" s="676"/>
    </row>
    <row r="1497" spans="14:14" x14ac:dyDescent="0.35">
      <c r="N1497" s="676"/>
    </row>
    <row r="1498" spans="14:14" x14ac:dyDescent="0.35">
      <c r="N1498" s="676"/>
    </row>
    <row r="1499" spans="14:14" x14ac:dyDescent="0.35">
      <c r="N1499" s="676"/>
    </row>
    <row r="1500" spans="14:14" x14ac:dyDescent="0.35">
      <c r="N1500" s="676"/>
    </row>
    <row r="1501" spans="14:14" x14ac:dyDescent="0.35">
      <c r="N1501" s="676"/>
    </row>
    <row r="1502" spans="14:14" x14ac:dyDescent="0.35">
      <c r="N1502" s="676"/>
    </row>
    <row r="1503" spans="14:14" x14ac:dyDescent="0.35">
      <c r="N1503" s="676"/>
    </row>
    <row r="1504" spans="14:14" x14ac:dyDescent="0.35">
      <c r="N1504" s="676"/>
    </row>
    <row r="1505" spans="14:14" x14ac:dyDescent="0.35">
      <c r="N1505" s="676"/>
    </row>
    <row r="1506" spans="14:14" x14ac:dyDescent="0.35">
      <c r="N1506" s="676"/>
    </row>
    <row r="1507" spans="14:14" x14ac:dyDescent="0.35">
      <c r="N1507" s="676"/>
    </row>
    <row r="1508" spans="14:14" x14ac:dyDescent="0.35">
      <c r="N1508" s="676"/>
    </row>
    <row r="1509" spans="14:14" x14ac:dyDescent="0.35">
      <c r="N1509" s="676"/>
    </row>
    <row r="1510" spans="14:14" x14ac:dyDescent="0.35">
      <c r="N1510" s="676"/>
    </row>
    <row r="1511" spans="14:14" x14ac:dyDescent="0.35">
      <c r="N1511" s="676"/>
    </row>
    <row r="1512" spans="14:14" x14ac:dyDescent="0.35">
      <c r="N1512" s="676"/>
    </row>
    <row r="1513" spans="14:14" x14ac:dyDescent="0.35">
      <c r="N1513" s="676"/>
    </row>
    <row r="1514" spans="14:14" x14ac:dyDescent="0.35">
      <c r="N1514" s="676"/>
    </row>
    <row r="1515" spans="14:14" x14ac:dyDescent="0.35">
      <c r="N1515" s="676"/>
    </row>
    <row r="1516" spans="14:14" x14ac:dyDescent="0.35">
      <c r="N1516" s="676"/>
    </row>
    <row r="1517" spans="14:14" x14ac:dyDescent="0.35">
      <c r="N1517" s="676"/>
    </row>
    <row r="1518" spans="14:14" x14ac:dyDescent="0.35">
      <c r="N1518" s="676"/>
    </row>
    <row r="1519" spans="14:14" x14ac:dyDescent="0.35">
      <c r="N1519" s="676"/>
    </row>
    <row r="1520" spans="14:14" x14ac:dyDescent="0.35">
      <c r="N1520" s="676"/>
    </row>
    <row r="1521" spans="14:14" x14ac:dyDescent="0.35">
      <c r="N1521" s="676"/>
    </row>
    <row r="1522" spans="14:14" x14ac:dyDescent="0.35">
      <c r="N1522" s="676"/>
    </row>
    <row r="1523" spans="14:14" x14ac:dyDescent="0.35">
      <c r="N1523" s="676"/>
    </row>
    <row r="1524" spans="14:14" x14ac:dyDescent="0.35">
      <c r="N1524" s="676"/>
    </row>
    <row r="1525" spans="14:14" x14ac:dyDescent="0.35">
      <c r="N1525" s="676"/>
    </row>
    <row r="1526" spans="14:14" x14ac:dyDescent="0.35">
      <c r="N1526" s="676"/>
    </row>
    <row r="1527" spans="14:14" x14ac:dyDescent="0.35">
      <c r="N1527" s="676"/>
    </row>
    <row r="1528" spans="14:14" x14ac:dyDescent="0.35">
      <c r="N1528" s="676"/>
    </row>
    <row r="1529" spans="14:14" x14ac:dyDescent="0.35">
      <c r="N1529" s="676"/>
    </row>
    <row r="1530" spans="14:14" x14ac:dyDescent="0.35">
      <c r="N1530" s="676"/>
    </row>
    <row r="1531" spans="14:14" x14ac:dyDescent="0.35">
      <c r="N1531" s="676"/>
    </row>
    <row r="1532" spans="14:14" x14ac:dyDescent="0.35">
      <c r="N1532" s="676"/>
    </row>
    <row r="1533" spans="14:14" x14ac:dyDescent="0.35">
      <c r="N1533" s="676"/>
    </row>
    <row r="1534" spans="14:14" x14ac:dyDescent="0.35">
      <c r="N1534" s="676"/>
    </row>
    <row r="1535" spans="14:14" x14ac:dyDescent="0.35">
      <c r="N1535" s="676"/>
    </row>
    <row r="1536" spans="14:14" x14ac:dyDescent="0.35">
      <c r="N1536" s="676"/>
    </row>
    <row r="1537" spans="14:14" x14ac:dyDescent="0.35">
      <c r="N1537" s="676"/>
    </row>
    <row r="1538" spans="14:14" x14ac:dyDescent="0.35">
      <c r="N1538" s="676"/>
    </row>
    <row r="1539" spans="14:14" x14ac:dyDescent="0.35">
      <c r="N1539" s="676"/>
    </row>
    <row r="1540" spans="14:14" x14ac:dyDescent="0.35">
      <c r="N1540" s="676"/>
    </row>
    <row r="1541" spans="14:14" x14ac:dyDescent="0.35">
      <c r="N1541" s="676"/>
    </row>
    <row r="1542" spans="14:14" x14ac:dyDescent="0.35">
      <c r="N1542" s="676"/>
    </row>
    <row r="1543" spans="14:14" x14ac:dyDescent="0.35">
      <c r="N1543" s="676"/>
    </row>
    <row r="1544" spans="14:14" x14ac:dyDescent="0.35">
      <c r="N1544" s="676"/>
    </row>
    <row r="1545" spans="14:14" x14ac:dyDescent="0.35">
      <c r="N1545" s="676"/>
    </row>
    <row r="1546" spans="14:14" x14ac:dyDescent="0.35">
      <c r="N1546" s="676"/>
    </row>
    <row r="1547" spans="14:14" x14ac:dyDescent="0.35">
      <c r="N1547" s="676"/>
    </row>
    <row r="1548" spans="14:14" x14ac:dyDescent="0.35">
      <c r="N1548" s="676"/>
    </row>
    <row r="1549" spans="14:14" x14ac:dyDescent="0.35">
      <c r="N1549" s="676"/>
    </row>
    <row r="1550" spans="14:14" x14ac:dyDescent="0.35">
      <c r="N1550" s="676"/>
    </row>
    <row r="1551" spans="14:14" x14ac:dyDescent="0.35">
      <c r="N1551" s="676"/>
    </row>
    <row r="1552" spans="14:14" x14ac:dyDescent="0.35">
      <c r="N1552" s="676"/>
    </row>
    <row r="1553" spans="14:14" x14ac:dyDescent="0.35">
      <c r="N1553" s="676"/>
    </row>
    <row r="1554" spans="14:14" x14ac:dyDescent="0.35">
      <c r="N1554" s="676"/>
    </row>
    <row r="1555" spans="14:14" x14ac:dyDescent="0.35">
      <c r="N1555" s="676"/>
    </row>
    <row r="1556" spans="14:14" x14ac:dyDescent="0.35">
      <c r="N1556" s="676"/>
    </row>
    <row r="1557" spans="14:14" x14ac:dyDescent="0.35">
      <c r="N1557" s="676"/>
    </row>
    <row r="1558" spans="14:14" x14ac:dyDescent="0.35">
      <c r="N1558" s="676"/>
    </row>
    <row r="1559" spans="14:14" x14ac:dyDescent="0.35">
      <c r="N1559" s="676"/>
    </row>
    <row r="1560" spans="14:14" x14ac:dyDescent="0.35">
      <c r="N1560" s="676"/>
    </row>
    <row r="1561" spans="14:14" x14ac:dyDescent="0.35">
      <c r="N1561" s="676"/>
    </row>
    <row r="1562" spans="14:14" x14ac:dyDescent="0.35">
      <c r="N1562" s="676"/>
    </row>
    <row r="1563" spans="14:14" x14ac:dyDescent="0.35">
      <c r="N1563" s="676"/>
    </row>
    <row r="1564" spans="14:14" x14ac:dyDescent="0.35">
      <c r="N1564" s="676"/>
    </row>
    <row r="1565" spans="14:14" x14ac:dyDescent="0.35">
      <c r="N1565" s="676"/>
    </row>
    <row r="1566" spans="14:14" x14ac:dyDescent="0.35">
      <c r="N1566" s="676"/>
    </row>
    <row r="1567" spans="14:14" x14ac:dyDescent="0.35">
      <c r="N1567" s="676"/>
    </row>
    <row r="1568" spans="14:14" x14ac:dyDescent="0.35">
      <c r="N1568" s="676"/>
    </row>
    <row r="1569" spans="14:14" x14ac:dyDescent="0.35">
      <c r="N1569" s="676"/>
    </row>
    <row r="1570" spans="14:14" x14ac:dyDescent="0.35">
      <c r="N1570" s="676"/>
    </row>
    <row r="1571" spans="14:14" x14ac:dyDescent="0.35">
      <c r="N1571" s="676"/>
    </row>
    <row r="1572" spans="14:14" x14ac:dyDescent="0.35">
      <c r="N1572" s="676"/>
    </row>
    <row r="1573" spans="14:14" x14ac:dyDescent="0.35">
      <c r="N1573" s="676"/>
    </row>
    <row r="1574" spans="14:14" x14ac:dyDescent="0.35">
      <c r="N1574" s="676"/>
    </row>
    <row r="1575" spans="14:14" x14ac:dyDescent="0.35">
      <c r="N1575" s="676"/>
    </row>
    <row r="1576" spans="14:14" x14ac:dyDescent="0.35">
      <c r="N1576" s="676"/>
    </row>
    <row r="1577" spans="14:14" x14ac:dyDescent="0.35">
      <c r="N1577" s="676"/>
    </row>
    <row r="1578" spans="14:14" x14ac:dyDescent="0.35">
      <c r="N1578" s="676"/>
    </row>
    <row r="1579" spans="14:14" x14ac:dyDescent="0.35">
      <c r="N1579" s="676"/>
    </row>
    <row r="1580" spans="14:14" x14ac:dyDescent="0.35">
      <c r="N1580" s="676"/>
    </row>
    <row r="1581" spans="14:14" x14ac:dyDescent="0.35">
      <c r="N1581" s="676"/>
    </row>
    <row r="1582" spans="14:14" x14ac:dyDescent="0.35">
      <c r="N1582" s="676"/>
    </row>
    <row r="1583" spans="14:14" x14ac:dyDescent="0.35">
      <c r="N1583" s="676"/>
    </row>
    <row r="1584" spans="14:14" x14ac:dyDescent="0.35">
      <c r="N1584" s="676"/>
    </row>
    <row r="1585" spans="14:14" x14ac:dyDescent="0.35">
      <c r="N1585" s="676"/>
    </row>
    <row r="1586" spans="14:14" x14ac:dyDescent="0.35">
      <c r="N1586" s="676"/>
    </row>
    <row r="1587" spans="14:14" x14ac:dyDescent="0.35">
      <c r="N1587" s="676"/>
    </row>
    <row r="1588" spans="14:14" x14ac:dyDescent="0.35">
      <c r="N1588" s="676"/>
    </row>
    <row r="1589" spans="14:14" x14ac:dyDescent="0.35">
      <c r="N1589" s="676"/>
    </row>
    <row r="1590" spans="14:14" x14ac:dyDescent="0.35">
      <c r="N1590" s="676"/>
    </row>
    <row r="1591" spans="14:14" x14ac:dyDescent="0.35">
      <c r="N1591" s="676"/>
    </row>
    <row r="1592" spans="14:14" x14ac:dyDescent="0.35">
      <c r="N1592" s="676"/>
    </row>
    <row r="1593" spans="14:14" x14ac:dyDescent="0.35">
      <c r="N1593" s="676"/>
    </row>
    <row r="1594" spans="14:14" x14ac:dyDescent="0.35">
      <c r="N1594" s="676"/>
    </row>
    <row r="1595" spans="14:14" x14ac:dyDescent="0.35">
      <c r="N1595" s="676"/>
    </row>
    <row r="1596" spans="14:14" x14ac:dyDescent="0.35">
      <c r="N1596" s="676"/>
    </row>
    <row r="1597" spans="14:14" x14ac:dyDescent="0.35">
      <c r="N1597" s="676"/>
    </row>
    <row r="1598" spans="14:14" x14ac:dyDescent="0.35">
      <c r="N1598" s="676"/>
    </row>
    <row r="1599" spans="14:14" x14ac:dyDescent="0.35">
      <c r="N1599" s="676"/>
    </row>
    <row r="1600" spans="14:14" x14ac:dyDescent="0.35">
      <c r="N1600" s="676"/>
    </row>
    <row r="1601" spans="14:14" x14ac:dyDescent="0.35">
      <c r="N1601" s="676"/>
    </row>
    <row r="1602" spans="14:14" x14ac:dyDescent="0.35">
      <c r="N1602" s="676"/>
    </row>
    <row r="1603" spans="14:14" x14ac:dyDescent="0.35">
      <c r="N1603" s="676"/>
    </row>
    <row r="1604" spans="14:14" x14ac:dyDescent="0.35">
      <c r="N1604" s="676"/>
    </row>
    <row r="1605" spans="14:14" x14ac:dyDescent="0.35">
      <c r="N1605" s="676"/>
    </row>
    <row r="1606" spans="14:14" x14ac:dyDescent="0.35">
      <c r="N1606" s="676"/>
    </row>
    <row r="1607" spans="14:14" x14ac:dyDescent="0.35">
      <c r="N1607" s="676"/>
    </row>
    <row r="1608" spans="14:14" x14ac:dyDescent="0.35">
      <c r="N1608" s="676"/>
    </row>
    <row r="1609" spans="14:14" x14ac:dyDescent="0.35">
      <c r="N1609" s="676"/>
    </row>
    <row r="1610" spans="14:14" x14ac:dyDescent="0.35">
      <c r="N1610" s="676"/>
    </row>
    <row r="1611" spans="14:14" x14ac:dyDescent="0.35">
      <c r="N1611" s="676"/>
    </row>
    <row r="1612" spans="14:14" x14ac:dyDescent="0.35">
      <c r="N1612" s="676"/>
    </row>
    <row r="1613" spans="14:14" x14ac:dyDescent="0.35">
      <c r="N1613" s="676"/>
    </row>
    <row r="1614" spans="14:14" x14ac:dyDescent="0.35">
      <c r="N1614" s="676"/>
    </row>
    <row r="1615" spans="14:14" x14ac:dyDescent="0.35">
      <c r="N1615" s="676"/>
    </row>
    <row r="1616" spans="14:14" x14ac:dyDescent="0.35">
      <c r="N1616" s="676"/>
    </row>
    <row r="1617" spans="14:14" x14ac:dyDescent="0.35">
      <c r="N1617" s="676"/>
    </row>
    <row r="1618" spans="14:14" x14ac:dyDescent="0.35">
      <c r="N1618" s="676"/>
    </row>
    <row r="1619" spans="14:14" x14ac:dyDescent="0.35">
      <c r="N1619" s="676"/>
    </row>
    <row r="1620" spans="14:14" x14ac:dyDescent="0.35">
      <c r="N1620" s="676"/>
    </row>
    <row r="1621" spans="14:14" x14ac:dyDescent="0.35">
      <c r="N1621" s="676"/>
    </row>
    <row r="1622" spans="14:14" x14ac:dyDescent="0.35">
      <c r="N1622" s="676"/>
    </row>
    <row r="1623" spans="14:14" x14ac:dyDescent="0.35">
      <c r="N1623" s="676"/>
    </row>
    <row r="1624" spans="14:14" x14ac:dyDescent="0.35">
      <c r="N1624" s="676"/>
    </row>
    <row r="1625" spans="14:14" x14ac:dyDescent="0.35">
      <c r="N1625" s="676"/>
    </row>
    <row r="1626" spans="14:14" x14ac:dyDescent="0.35">
      <c r="N1626" s="676"/>
    </row>
    <row r="1627" spans="14:14" x14ac:dyDescent="0.35">
      <c r="N1627" s="676"/>
    </row>
    <row r="1628" spans="14:14" x14ac:dyDescent="0.35">
      <c r="N1628" s="676"/>
    </row>
    <row r="1629" spans="14:14" x14ac:dyDescent="0.35">
      <c r="N1629" s="676"/>
    </row>
    <row r="1630" spans="14:14" x14ac:dyDescent="0.35">
      <c r="N1630" s="676"/>
    </row>
    <row r="1631" spans="14:14" x14ac:dyDescent="0.35">
      <c r="N1631" s="676"/>
    </row>
    <row r="1632" spans="14:14" x14ac:dyDescent="0.35">
      <c r="N1632" s="676"/>
    </row>
    <row r="1633" spans="14:14" x14ac:dyDescent="0.35">
      <c r="N1633" s="676"/>
    </row>
    <row r="1634" spans="14:14" x14ac:dyDescent="0.35">
      <c r="N1634" s="676"/>
    </row>
    <row r="1635" spans="14:14" x14ac:dyDescent="0.35">
      <c r="N1635" s="676"/>
    </row>
    <row r="1636" spans="14:14" x14ac:dyDescent="0.35">
      <c r="N1636" s="676"/>
    </row>
    <row r="1637" spans="14:14" x14ac:dyDescent="0.35">
      <c r="N1637" s="676"/>
    </row>
    <row r="1638" spans="14:14" x14ac:dyDescent="0.35">
      <c r="N1638" s="676"/>
    </row>
    <row r="1639" spans="14:14" x14ac:dyDescent="0.35">
      <c r="N1639" s="676"/>
    </row>
    <row r="1640" spans="14:14" x14ac:dyDescent="0.35">
      <c r="N1640" s="676"/>
    </row>
    <row r="1641" spans="14:14" x14ac:dyDescent="0.35">
      <c r="N1641" s="676"/>
    </row>
    <row r="1642" spans="14:14" x14ac:dyDescent="0.35">
      <c r="N1642" s="676"/>
    </row>
    <row r="1643" spans="14:14" x14ac:dyDescent="0.35">
      <c r="N1643" s="676"/>
    </row>
    <row r="1644" spans="14:14" x14ac:dyDescent="0.35">
      <c r="N1644" s="676"/>
    </row>
    <row r="1645" spans="14:14" x14ac:dyDescent="0.35">
      <c r="N1645" s="676"/>
    </row>
    <row r="1646" spans="14:14" x14ac:dyDescent="0.35">
      <c r="N1646" s="676"/>
    </row>
    <row r="1647" spans="14:14" x14ac:dyDescent="0.35">
      <c r="N1647" s="676"/>
    </row>
    <row r="1648" spans="14:14" x14ac:dyDescent="0.35">
      <c r="N1648" s="676"/>
    </row>
    <row r="1649" spans="14:14" x14ac:dyDescent="0.35">
      <c r="N1649" s="676"/>
    </row>
    <row r="1650" spans="14:14" x14ac:dyDescent="0.35">
      <c r="N1650" s="676"/>
    </row>
    <row r="1651" spans="14:14" x14ac:dyDescent="0.35">
      <c r="N1651" s="676"/>
    </row>
    <row r="1652" spans="14:14" x14ac:dyDescent="0.35">
      <c r="N1652" s="676"/>
    </row>
    <row r="1653" spans="14:14" x14ac:dyDescent="0.35">
      <c r="N1653" s="676"/>
    </row>
    <row r="1654" spans="14:14" x14ac:dyDescent="0.35">
      <c r="N1654" s="676"/>
    </row>
    <row r="1655" spans="14:14" x14ac:dyDescent="0.35">
      <c r="N1655" s="676"/>
    </row>
    <row r="1656" spans="14:14" x14ac:dyDescent="0.35">
      <c r="N1656" s="676"/>
    </row>
    <row r="1657" spans="14:14" x14ac:dyDescent="0.35">
      <c r="N1657" s="676"/>
    </row>
    <row r="1658" spans="14:14" x14ac:dyDescent="0.35">
      <c r="N1658" s="676"/>
    </row>
    <row r="1659" spans="14:14" x14ac:dyDescent="0.35">
      <c r="N1659" s="676"/>
    </row>
    <row r="1660" spans="14:14" x14ac:dyDescent="0.35">
      <c r="N1660" s="676"/>
    </row>
    <row r="1661" spans="14:14" x14ac:dyDescent="0.35">
      <c r="N1661" s="676"/>
    </row>
    <row r="1662" spans="14:14" x14ac:dyDescent="0.35">
      <c r="N1662" s="676"/>
    </row>
    <row r="1663" spans="14:14" x14ac:dyDescent="0.35">
      <c r="N1663" s="676"/>
    </row>
    <row r="1664" spans="14:14" x14ac:dyDescent="0.35">
      <c r="N1664" s="676"/>
    </row>
    <row r="1665" spans="14:14" x14ac:dyDescent="0.35">
      <c r="N1665" s="676"/>
    </row>
    <row r="1666" spans="14:14" x14ac:dyDescent="0.35">
      <c r="N1666" s="676"/>
    </row>
    <row r="1667" spans="14:14" x14ac:dyDescent="0.35">
      <c r="N1667" s="676"/>
    </row>
    <row r="1668" spans="14:14" x14ac:dyDescent="0.35">
      <c r="N1668" s="676"/>
    </row>
    <row r="1669" spans="14:14" x14ac:dyDescent="0.35">
      <c r="N1669" s="676"/>
    </row>
    <row r="1670" spans="14:14" x14ac:dyDescent="0.35">
      <c r="N1670" s="676"/>
    </row>
    <row r="1671" spans="14:14" x14ac:dyDescent="0.35">
      <c r="N1671" s="676"/>
    </row>
    <row r="1672" spans="14:14" x14ac:dyDescent="0.35">
      <c r="N1672" s="676"/>
    </row>
    <row r="1673" spans="14:14" x14ac:dyDescent="0.35">
      <c r="N1673" s="676"/>
    </row>
    <row r="1674" spans="14:14" x14ac:dyDescent="0.35">
      <c r="N1674" s="676"/>
    </row>
    <row r="1675" spans="14:14" x14ac:dyDescent="0.35">
      <c r="N1675" s="676"/>
    </row>
    <row r="1676" spans="14:14" x14ac:dyDescent="0.35">
      <c r="N1676" s="676"/>
    </row>
    <row r="1677" spans="14:14" x14ac:dyDescent="0.35">
      <c r="N1677" s="676"/>
    </row>
    <row r="1678" spans="14:14" x14ac:dyDescent="0.35">
      <c r="N1678" s="676"/>
    </row>
    <row r="1679" spans="14:14" x14ac:dyDescent="0.35">
      <c r="N1679" s="676"/>
    </row>
    <row r="1680" spans="14:14" x14ac:dyDescent="0.35">
      <c r="N1680" s="676"/>
    </row>
    <row r="1681" spans="14:14" x14ac:dyDescent="0.35">
      <c r="N1681" s="676"/>
    </row>
    <row r="1682" spans="14:14" x14ac:dyDescent="0.35">
      <c r="N1682" s="676"/>
    </row>
    <row r="1683" spans="14:14" x14ac:dyDescent="0.35">
      <c r="N1683" s="676"/>
    </row>
    <row r="1684" spans="14:14" x14ac:dyDescent="0.35">
      <c r="N1684" s="676"/>
    </row>
    <row r="1685" spans="14:14" x14ac:dyDescent="0.35">
      <c r="N1685" s="676"/>
    </row>
    <row r="1686" spans="14:14" x14ac:dyDescent="0.35">
      <c r="N1686" s="676"/>
    </row>
    <row r="1687" spans="14:14" x14ac:dyDescent="0.35">
      <c r="N1687" s="676"/>
    </row>
    <row r="1688" spans="14:14" x14ac:dyDescent="0.35">
      <c r="N1688" s="676"/>
    </row>
    <row r="1689" spans="14:14" x14ac:dyDescent="0.35">
      <c r="N1689" s="676"/>
    </row>
    <row r="1690" spans="14:14" x14ac:dyDescent="0.35">
      <c r="N1690" s="676"/>
    </row>
    <row r="1691" spans="14:14" x14ac:dyDescent="0.35">
      <c r="N1691" s="676"/>
    </row>
    <row r="1692" spans="14:14" x14ac:dyDescent="0.35">
      <c r="N1692" s="676"/>
    </row>
    <row r="1693" spans="14:14" x14ac:dyDescent="0.35">
      <c r="N1693" s="676"/>
    </row>
    <row r="1694" spans="14:14" x14ac:dyDescent="0.35">
      <c r="N1694" s="676"/>
    </row>
    <row r="1695" spans="14:14" x14ac:dyDescent="0.35">
      <c r="N1695" s="676"/>
    </row>
    <row r="1696" spans="14:14" x14ac:dyDescent="0.35">
      <c r="N1696" s="676"/>
    </row>
    <row r="1697" spans="14:14" x14ac:dyDescent="0.35">
      <c r="N1697" s="676"/>
    </row>
    <row r="1698" spans="14:14" x14ac:dyDescent="0.35">
      <c r="N1698" s="676"/>
    </row>
    <row r="1699" spans="14:14" x14ac:dyDescent="0.35">
      <c r="N1699" s="676"/>
    </row>
    <row r="1700" spans="14:14" x14ac:dyDescent="0.35">
      <c r="N1700" s="676"/>
    </row>
    <row r="1701" spans="14:14" x14ac:dyDescent="0.35">
      <c r="N1701" s="676"/>
    </row>
    <row r="1702" spans="14:14" x14ac:dyDescent="0.35">
      <c r="N1702" s="676"/>
    </row>
    <row r="1703" spans="14:14" x14ac:dyDescent="0.35">
      <c r="N1703" s="676"/>
    </row>
    <row r="1704" spans="14:14" x14ac:dyDescent="0.35">
      <c r="N1704" s="676"/>
    </row>
    <row r="1705" spans="14:14" x14ac:dyDescent="0.35">
      <c r="N1705" s="676"/>
    </row>
    <row r="1706" spans="14:14" x14ac:dyDescent="0.35">
      <c r="N1706" s="676"/>
    </row>
    <row r="1707" spans="14:14" x14ac:dyDescent="0.35">
      <c r="N1707" s="676"/>
    </row>
    <row r="1708" spans="14:14" x14ac:dyDescent="0.35">
      <c r="N1708" s="676"/>
    </row>
    <row r="1709" spans="14:14" x14ac:dyDescent="0.35">
      <c r="N1709" s="676"/>
    </row>
    <row r="1710" spans="14:14" x14ac:dyDescent="0.35">
      <c r="N1710" s="676"/>
    </row>
    <row r="1711" spans="14:14" x14ac:dyDescent="0.35">
      <c r="N1711" s="676"/>
    </row>
    <row r="1712" spans="14:14" x14ac:dyDescent="0.35">
      <c r="N1712" s="676"/>
    </row>
    <row r="1713" spans="14:14" x14ac:dyDescent="0.35">
      <c r="N1713" s="676"/>
    </row>
    <row r="1714" spans="14:14" x14ac:dyDescent="0.35">
      <c r="N1714" s="676"/>
    </row>
    <row r="1715" spans="14:14" x14ac:dyDescent="0.35">
      <c r="N1715" s="676"/>
    </row>
    <row r="1716" spans="14:14" x14ac:dyDescent="0.35">
      <c r="N1716" s="676"/>
    </row>
    <row r="1717" spans="14:14" x14ac:dyDescent="0.35">
      <c r="N1717" s="676"/>
    </row>
    <row r="1718" spans="14:14" x14ac:dyDescent="0.35">
      <c r="N1718" s="676"/>
    </row>
    <row r="1719" spans="14:14" x14ac:dyDescent="0.35">
      <c r="N1719" s="676"/>
    </row>
    <row r="1720" spans="14:14" x14ac:dyDescent="0.35">
      <c r="N1720" s="676"/>
    </row>
    <row r="1721" spans="14:14" x14ac:dyDescent="0.35">
      <c r="N1721" s="676"/>
    </row>
    <row r="1722" spans="14:14" x14ac:dyDescent="0.35">
      <c r="N1722" s="676"/>
    </row>
    <row r="1723" spans="14:14" x14ac:dyDescent="0.35">
      <c r="N1723" s="676"/>
    </row>
    <row r="1724" spans="14:14" x14ac:dyDescent="0.35">
      <c r="N1724" s="676"/>
    </row>
    <row r="1725" spans="14:14" x14ac:dyDescent="0.35">
      <c r="N1725" s="676"/>
    </row>
    <row r="1726" spans="14:14" x14ac:dyDescent="0.35">
      <c r="N1726" s="676"/>
    </row>
    <row r="1727" spans="14:14" x14ac:dyDescent="0.35">
      <c r="N1727" s="676"/>
    </row>
    <row r="1728" spans="14:14" x14ac:dyDescent="0.35">
      <c r="N1728" s="676"/>
    </row>
    <row r="1729" spans="14:14" x14ac:dyDescent="0.35">
      <c r="N1729" s="676"/>
    </row>
    <row r="1730" spans="14:14" x14ac:dyDescent="0.35">
      <c r="N1730" s="676"/>
    </row>
    <row r="1731" spans="14:14" x14ac:dyDescent="0.35">
      <c r="N1731" s="676"/>
    </row>
    <row r="1732" spans="14:14" x14ac:dyDescent="0.35">
      <c r="N1732" s="676"/>
    </row>
    <row r="1733" spans="14:14" x14ac:dyDescent="0.35">
      <c r="N1733" s="676"/>
    </row>
    <row r="1734" spans="14:14" x14ac:dyDescent="0.35">
      <c r="N1734" s="676"/>
    </row>
    <row r="1735" spans="14:14" x14ac:dyDescent="0.35">
      <c r="N1735" s="676"/>
    </row>
    <row r="1736" spans="14:14" x14ac:dyDescent="0.35">
      <c r="N1736" s="676"/>
    </row>
    <row r="1737" spans="14:14" x14ac:dyDescent="0.35">
      <c r="N1737" s="676"/>
    </row>
    <row r="1738" spans="14:14" x14ac:dyDescent="0.35">
      <c r="N1738" s="676"/>
    </row>
    <row r="1739" spans="14:14" x14ac:dyDescent="0.35">
      <c r="N1739" s="676"/>
    </row>
    <row r="1740" spans="14:14" x14ac:dyDescent="0.35">
      <c r="N1740" s="676"/>
    </row>
    <row r="1741" spans="14:14" x14ac:dyDescent="0.35">
      <c r="N1741" s="676"/>
    </row>
    <row r="1742" spans="14:14" x14ac:dyDescent="0.35">
      <c r="N1742" s="676"/>
    </row>
    <row r="1743" spans="14:14" x14ac:dyDescent="0.35">
      <c r="N1743" s="676"/>
    </row>
    <row r="1744" spans="14:14" x14ac:dyDescent="0.35">
      <c r="N1744" s="676"/>
    </row>
    <row r="1745" spans="14:14" x14ac:dyDescent="0.35">
      <c r="N1745" s="676"/>
    </row>
    <row r="1746" spans="14:14" x14ac:dyDescent="0.35">
      <c r="N1746" s="676"/>
    </row>
    <row r="1747" spans="14:14" x14ac:dyDescent="0.35">
      <c r="N1747" s="676"/>
    </row>
    <row r="1748" spans="14:14" x14ac:dyDescent="0.35">
      <c r="N1748" s="676"/>
    </row>
    <row r="1749" spans="14:14" x14ac:dyDescent="0.35">
      <c r="N1749" s="676"/>
    </row>
    <row r="1750" spans="14:14" x14ac:dyDescent="0.35">
      <c r="N1750" s="676"/>
    </row>
    <row r="1751" spans="14:14" x14ac:dyDescent="0.35">
      <c r="N1751" s="676"/>
    </row>
    <row r="1752" spans="14:14" x14ac:dyDescent="0.35">
      <c r="N1752" s="676"/>
    </row>
    <row r="1753" spans="14:14" x14ac:dyDescent="0.35">
      <c r="N1753" s="676"/>
    </row>
    <row r="1754" spans="14:14" x14ac:dyDescent="0.35">
      <c r="N1754" s="676"/>
    </row>
    <row r="1755" spans="14:14" x14ac:dyDescent="0.35">
      <c r="N1755" s="676"/>
    </row>
    <row r="1756" spans="14:14" x14ac:dyDescent="0.35">
      <c r="N1756" s="676"/>
    </row>
    <row r="1757" spans="14:14" x14ac:dyDescent="0.35">
      <c r="N1757" s="676"/>
    </row>
    <row r="1758" spans="14:14" x14ac:dyDescent="0.35">
      <c r="N1758" s="676"/>
    </row>
    <row r="1759" spans="14:14" x14ac:dyDescent="0.35">
      <c r="N1759" s="676"/>
    </row>
    <row r="1760" spans="14:14" x14ac:dyDescent="0.35">
      <c r="N1760" s="676"/>
    </row>
    <row r="1761" spans="14:14" x14ac:dyDescent="0.35">
      <c r="N1761" s="676"/>
    </row>
    <row r="1762" spans="14:14" x14ac:dyDescent="0.35">
      <c r="N1762" s="676"/>
    </row>
    <row r="1763" spans="14:14" x14ac:dyDescent="0.35">
      <c r="N1763" s="676"/>
    </row>
    <row r="1764" spans="14:14" x14ac:dyDescent="0.35">
      <c r="N1764" s="676"/>
    </row>
    <row r="1765" spans="14:14" x14ac:dyDescent="0.35">
      <c r="N1765" s="676"/>
    </row>
    <row r="1766" spans="14:14" x14ac:dyDescent="0.35">
      <c r="N1766" s="676"/>
    </row>
    <row r="1767" spans="14:14" x14ac:dyDescent="0.35">
      <c r="N1767" s="676"/>
    </row>
    <row r="1768" spans="14:14" x14ac:dyDescent="0.35">
      <c r="N1768" s="676"/>
    </row>
    <row r="1769" spans="14:14" x14ac:dyDescent="0.35">
      <c r="N1769" s="676"/>
    </row>
    <row r="1770" spans="14:14" x14ac:dyDescent="0.35">
      <c r="N1770" s="676"/>
    </row>
    <row r="1771" spans="14:14" x14ac:dyDescent="0.35">
      <c r="N1771" s="676"/>
    </row>
    <row r="1772" spans="14:14" x14ac:dyDescent="0.35">
      <c r="N1772" s="676"/>
    </row>
    <row r="1773" spans="14:14" x14ac:dyDescent="0.35">
      <c r="N1773" s="676"/>
    </row>
    <row r="1774" spans="14:14" x14ac:dyDescent="0.35">
      <c r="N1774" s="676"/>
    </row>
    <row r="1775" spans="14:14" x14ac:dyDescent="0.35">
      <c r="N1775" s="676"/>
    </row>
    <row r="1776" spans="14:14" x14ac:dyDescent="0.35">
      <c r="N1776" s="676"/>
    </row>
    <row r="1777" spans="14:14" x14ac:dyDescent="0.35">
      <c r="N1777" s="676"/>
    </row>
    <row r="1778" spans="14:14" x14ac:dyDescent="0.35">
      <c r="N1778" s="676"/>
    </row>
    <row r="1779" spans="14:14" x14ac:dyDescent="0.35">
      <c r="N1779" s="676"/>
    </row>
    <row r="1780" spans="14:14" x14ac:dyDescent="0.35">
      <c r="N1780" s="676"/>
    </row>
    <row r="1781" spans="14:14" x14ac:dyDescent="0.35">
      <c r="N1781" s="676"/>
    </row>
    <row r="1782" spans="14:14" x14ac:dyDescent="0.35">
      <c r="N1782" s="676"/>
    </row>
    <row r="1783" spans="14:14" x14ac:dyDescent="0.35">
      <c r="N1783" s="676"/>
    </row>
    <row r="1784" spans="14:14" x14ac:dyDescent="0.35">
      <c r="N1784" s="676"/>
    </row>
    <row r="1785" spans="14:14" x14ac:dyDescent="0.35">
      <c r="N1785" s="676"/>
    </row>
    <row r="1786" spans="14:14" x14ac:dyDescent="0.35">
      <c r="N1786" s="676"/>
    </row>
    <row r="1787" spans="14:14" x14ac:dyDescent="0.35">
      <c r="N1787" s="676"/>
    </row>
    <row r="1788" spans="14:14" x14ac:dyDescent="0.35">
      <c r="N1788" s="676"/>
    </row>
    <row r="1789" spans="14:14" x14ac:dyDescent="0.35">
      <c r="N1789" s="676"/>
    </row>
    <row r="1790" spans="14:14" x14ac:dyDescent="0.35">
      <c r="N1790" s="676"/>
    </row>
    <row r="1791" spans="14:14" x14ac:dyDescent="0.35">
      <c r="N1791" s="676"/>
    </row>
    <row r="1792" spans="14:14" x14ac:dyDescent="0.35">
      <c r="N1792" s="676"/>
    </row>
    <row r="1793" spans="14:14" x14ac:dyDescent="0.35">
      <c r="N1793" s="676"/>
    </row>
    <row r="1794" spans="14:14" x14ac:dyDescent="0.35">
      <c r="N1794" s="676"/>
    </row>
    <row r="1795" spans="14:14" x14ac:dyDescent="0.35">
      <c r="N1795" s="676"/>
    </row>
    <row r="1796" spans="14:14" x14ac:dyDescent="0.35">
      <c r="N1796" s="676"/>
    </row>
    <row r="1797" spans="14:14" x14ac:dyDescent="0.35">
      <c r="N1797" s="676"/>
    </row>
    <row r="1798" spans="14:14" x14ac:dyDescent="0.35">
      <c r="N1798" s="676"/>
    </row>
    <row r="1799" spans="14:14" x14ac:dyDescent="0.35">
      <c r="N1799" s="676"/>
    </row>
    <row r="1800" spans="14:14" x14ac:dyDescent="0.35">
      <c r="N1800" s="676"/>
    </row>
    <row r="1801" spans="14:14" x14ac:dyDescent="0.35">
      <c r="N1801" s="676"/>
    </row>
    <row r="1802" spans="14:14" x14ac:dyDescent="0.35">
      <c r="N1802" s="676"/>
    </row>
    <row r="1803" spans="14:14" x14ac:dyDescent="0.35">
      <c r="N1803" s="676"/>
    </row>
    <row r="1804" spans="14:14" x14ac:dyDescent="0.35">
      <c r="N1804" s="676"/>
    </row>
    <row r="1805" spans="14:14" x14ac:dyDescent="0.35">
      <c r="N1805" s="676"/>
    </row>
    <row r="1806" spans="14:14" x14ac:dyDescent="0.35">
      <c r="N1806" s="676"/>
    </row>
    <row r="1807" spans="14:14" x14ac:dyDescent="0.35">
      <c r="N1807" s="676"/>
    </row>
    <row r="1808" spans="14:14" x14ac:dyDescent="0.35">
      <c r="N1808" s="676"/>
    </row>
    <row r="1809" spans="14:14" x14ac:dyDescent="0.35">
      <c r="N1809" s="676"/>
    </row>
    <row r="1810" spans="14:14" x14ac:dyDescent="0.35">
      <c r="N1810" s="676"/>
    </row>
    <row r="1811" spans="14:14" x14ac:dyDescent="0.35">
      <c r="N1811" s="676"/>
    </row>
    <row r="1812" spans="14:14" x14ac:dyDescent="0.35">
      <c r="N1812" s="676"/>
    </row>
    <row r="1813" spans="14:14" x14ac:dyDescent="0.35">
      <c r="N1813" s="676"/>
    </row>
    <row r="1814" spans="14:14" x14ac:dyDescent="0.35">
      <c r="N1814" s="676"/>
    </row>
    <row r="1815" spans="14:14" x14ac:dyDescent="0.35">
      <c r="N1815" s="676"/>
    </row>
    <row r="1816" spans="14:14" x14ac:dyDescent="0.35">
      <c r="N1816" s="676"/>
    </row>
    <row r="1817" spans="14:14" x14ac:dyDescent="0.35">
      <c r="N1817" s="676"/>
    </row>
    <row r="1818" spans="14:14" x14ac:dyDescent="0.35">
      <c r="N1818" s="676"/>
    </row>
    <row r="1819" spans="14:14" x14ac:dyDescent="0.35">
      <c r="N1819" s="676"/>
    </row>
    <row r="1820" spans="14:14" x14ac:dyDescent="0.35">
      <c r="N1820" s="676"/>
    </row>
    <row r="1821" spans="14:14" x14ac:dyDescent="0.35">
      <c r="N1821" s="676"/>
    </row>
    <row r="1822" spans="14:14" x14ac:dyDescent="0.35">
      <c r="N1822" s="676"/>
    </row>
    <row r="1823" spans="14:14" x14ac:dyDescent="0.35">
      <c r="N1823" s="676"/>
    </row>
    <row r="1824" spans="14:14" x14ac:dyDescent="0.35">
      <c r="N1824" s="676"/>
    </row>
    <row r="1825" spans="14:14" x14ac:dyDescent="0.35">
      <c r="N1825" s="676"/>
    </row>
    <row r="1826" spans="14:14" x14ac:dyDescent="0.35">
      <c r="N1826" s="676"/>
    </row>
    <row r="1827" spans="14:14" x14ac:dyDescent="0.35">
      <c r="N1827" s="676"/>
    </row>
    <row r="1828" spans="14:14" x14ac:dyDescent="0.35">
      <c r="N1828" s="676"/>
    </row>
    <row r="1829" spans="14:14" x14ac:dyDescent="0.35">
      <c r="N1829" s="676"/>
    </row>
    <row r="1830" spans="14:14" x14ac:dyDescent="0.35">
      <c r="N1830" s="676"/>
    </row>
    <row r="1831" spans="14:14" x14ac:dyDescent="0.35">
      <c r="N1831" s="676"/>
    </row>
    <row r="1832" spans="14:14" x14ac:dyDescent="0.35">
      <c r="N1832" s="676"/>
    </row>
    <row r="1833" spans="14:14" x14ac:dyDescent="0.35">
      <c r="N1833" s="676"/>
    </row>
    <row r="1834" spans="14:14" x14ac:dyDescent="0.35">
      <c r="N1834" s="676"/>
    </row>
    <row r="1835" spans="14:14" x14ac:dyDescent="0.35">
      <c r="N1835" s="676"/>
    </row>
    <row r="1836" spans="14:14" x14ac:dyDescent="0.35">
      <c r="N1836" s="676"/>
    </row>
    <row r="1837" spans="14:14" x14ac:dyDescent="0.35">
      <c r="N1837" s="676"/>
    </row>
    <row r="1838" spans="14:14" x14ac:dyDescent="0.35">
      <c r="N1838" s="676"/>
    </row>
    <row r="1839" spans="14:14" x14ac:dyDescent="0.35">
      <c r="N1839" s="676"/>
    </row>
    <row r="1840" spans="14:14" x14ac:dyDescent="0.35">
      <c r="N1840" s="676"/>
    </row>
    <row r="1841" spans="14:14" x14ac:dyDescent="0.35">
      <c r="N1841" s="676"/>
    </row>
    <row r="1842" spans="14:14" x14ac:dyDescent="0.35">
      <c r="N1842" s="676"/>
    </row>
    <row r="1843" spans="14:14" x14ac:dyDescent="0.35">
      <c r="N1843" s="676"/>
    </row>
    <row r="1844" spans="14:14" x14ac:dyDescent="0.35">
      <c r="N1844" s="676"/>
    </row>
    <row r="1845" spans="14:14" x14ac:dyDescent="0.35">
      <c r="N1845" s="676"/>
    </row>
    <row r="1846" spans="14:14" x14ac:dyDescent="0.35">
      <c r="N1846" s="676"/>
    </row>
    <row r="1847" spans="14:14" x14ac:dyDescent="0.35">
      <c r="N1847" s="676"/>
    </row>
    <row r="1848" spans="14:14" x14ac:dyDescent="0.35">
      <c r="N1848" s="676"/>
    </row>
    <row r="1849" spans="14:14" x14ac:dyDescent="0.35">
      <c r="N1849" s="676"/>
    </row>
    <row r="1850" spans="14:14" x14ac:dyDescent="0.35">
      <c r="N1850" s="676"/>
    </row>
    <row r="1851" spans="14:14" x14ac:dyDescent="0.35">
      <c r="N1851" s="676"/>
    </row>
    <row r="1852" spans="14:14" x14ac:dyDescent="0.35">
      <c r="N1852" s="676"/>
    </row>
    <row r="1853" spans="14:14" x14ac:dyDescent="0.35">
      <c r="N1853" s="676"/>
    </row>
    <row r="1854" spans="14:14" x14ac:dyDescent="0.35">
      <c r="N1854" s="676"/>
    </row>
    <row r="1855" spans="14:14" x14ac:dyDescent="0.35">
      <c r="N1855" s="676"/>
    </row>
    <row r="1856" spans="14:14" x14ac:dyDescent="0.35">
      <c r="N1856" s="676"/>
    </row>
    <row r="1857" spans="14:14" x14ac:dyDescent="0.35">
      <c r="N1857" s="676"/>
    </row>
    <row r="1858" spans="14:14" x14ac:dyDescent="0.35">
      <c r="N1858" s="676"/>
    </row>
    <row r="1859" spans="14:14" x14ac:dyDescent="0.35">
      <c r="N1859" s="676"/>
    </row>
    <row r="1860" spans="14:14" x14ac:dyDescent="0.35">
      <c r="N1860" s="676"/>
    </row>
    <row r="1861" spans="14:14" x14ac:dyDescent="0.35">
      <c r="N1861" s="676"/>
    </row>
    <row r="1862" spans="14:14" x14ac:dyDescent="0.35">
      <c r="N1862" s="676"/>
    </row>
    <row r="1863" spans="14:14" x14ac:dyDescent="0.35">
      <c r="N1863" s="676"/>
    </row>
    <row r="1864" spans="14:14" x14ac:dyDescent="0.35">
      <c r="N1864" s="676"/>
    </row>
    <row r="1865" spans="14:14" x14ac:dyDescent="0.35">
      <c r="N1865" s="676"/>
    </row>
    <row r="1866" spans="14:14" x14ac:dyDescent="0.35">
      <c r="N1866" s="676"/>
    </row>
    <row r="1867" spans="14:14" x14ac:dyDescent="0.35">
      <c r="N1867" s="676"/>
    </row>
    <row r="1868" spans="14:14" x14ac:dyDescent="0.35">
      <c r="N1868" s="676"/>
    </row>
    <row r="1869" spans="14:14" x14ac:dyDescent="0.35">
      <c r="N1869" s="676"/>
    </row>
    <row r="1870" spans="14:14" x14ac:dyDescent="0.35">
      <c r="N1870" s="676"/>
    </row>
    <row r="1871" spans="14:14" x14ac:dyDescent="0.35">
      <c r="N1871" s="676"/>
    </row>
    <row r="1872" spans="14:14" x14ac:dyDescent="0.35">
      <c r="N1872" s="676"/>
    </row>
    <row r="1873" spans="14:14" x14ac:dyDescent="0.35">
      <c r="N1873" s="676"/>
    </row>
    <row r="1874" spans="14:14" x14ac:dyDescent="0.35">
      <c r="N1874" s="676"/>
    </row>
    <row r="1875" spans="14:14" x14ac:dyDescent="0.35">
      <c r="N1875" s="676"/>
    </row>
    <row r="1876" spans="14:14" x14ac:dyDescent="0.35">
      <c r="N1876" s="676"/>
    </row>
    <row r="1877" spans="14:14" x14ac:dyDescent="0.35">
      <c r="N1877" s="676"/>
    </row>
    <row r="1878" spans="14:14" x14ac:dyDescent="0.35">
      <c r="N1878" s="676"/>
    </row>
    <row r="1879" spans="14:14" x14ac:dyDescent="0.35">
      <c r="N1879" s="676"/>
    </row>
    <row r="1880" spans="14:14" x14ac:dyDescent="0.35">
      <c r="N1880" s="676"/>
    </row>
    <row r="1881" spans="14:14" x14ac:dyDescent="0.35">
      <c r="N1881" s="676"/>
    </row>
    <row r="1882" spans="14:14" x14ac:dyDescent="0.35">
      <c r="N1882" s="676"/>
    </row>
    <row r="1883" spans="14:14" x14ac:dyDescent="0.35">
      <c r="N1883" s="676"/>
    </row>
    <row r="1884" spans="14:14" x14ac:dyDescent="0.35">
      <c r="N1884" s="676"/>
    </row>
    <row r="1885" spans="14:14" x14ac:dyDescent="0.35">
      <c r="N1885" s="676"/>
    </row>
    <row r="1886" spans="14:14" x14ac:dyDescent="0.35">
      <c r="N1886" s="676"/>
    </row>
    <row r="1887" spans="14:14" x14ac:dyDescent="0.35">
      <c r="N1887" s="676"/>
    </row>
    <row r="1888" spans="14:14" x14ac:dyDescent="0.35">
      <c r="N1888" s="676"/>
    </row>
    <row r="1889" spans="14:14" x14ac:dyDescent="0.35">
      <c r="N1889" s="676"/>
    </row>
    <row r="1890" spans="14:14" x14ac:dyDescent="0.35">
      <c r="N1890" s="676"/>
    </row>
    <row r="1891" spans="14:14" x14ac:dyDescent="0.35">
      <c r="N1891" s="676"/>
    </row>
    <row r="1892" spans="14:14" x14ac:dyDescent="0.35">
      <c r="N1892" s="676"/>
    </row>
    <row r="1893" spans="14:14" x14ac:dyDescent="0.35">
      <c r="N1893" s="676"/>
    </row>
    <row r="1894" spans="14:14" x14ac:dyDescent="0.35">
      <c r="N1894" s="676"/>
    </row>
    <row r="1895" spans="14:14" x14ac:dyDescent="0.35">
      <c r="N1895" s="676"/>
    </row>
    <row r="1896" spans="14:14" x14ac:dyDescent="0.35">
      <c r="N1896" s="676"/>
    </row>
    <row r="1897" spans="14:14" x14ac:dyDescent="0.35">
      <c r="N1897" s="676"/>
    </row>
    <row r="1898" spans="14:14" x14ac:dyDescent="0.35">
      <c r="N1898" s="676"/>
    </row>
    <row r="1899" spans="14:14" x14ac:dyDescent="0.35">
      <c r="N1899" s="676"/>
    </row>
    <row r="1900" spans="14:14" x14ac:dyDescent="0.35">
      <c r="N1900" s="676"/>
    </row>
    <row r="1901" spans="14:14" x14ac:dyDescent="0.35">
      <c r="N1901" s="676"/>
    </row>
    <row r="1902" spans="14:14" x14ac:dyDescent="0.35">
      <c r="N1902" s="676"/>
    </row>
    <row r="1903" spans="14:14" x14ac:dyDescent="0.35">
      <c r="N1903" s="676"/>
    </row>
    <row r="1904" spans="14:14" x14ac:dyDescent="0.35">
      <c r="N1904" s="676"/>
    </row>
    <row r="1905" spans="14:14" x14ac:dyDescent="0.35">
      <c r="N1905" s="676"/>
    </row>
    <row r="1906" spans="14:14" x14ac:dyDescent="0.35">
      <c r="N1906" s="676"/>
    </row>
    <row r="1907" spans="14:14" x14ac:dyDescent="0.35">
      <c r="N1907" s="676"/>
    </row>
    <row r="1908" spans="14:14" x14ac:dyDescent="0.35">
      <c r="N1908" s="676"/>
    </row>
    <row r="1909" spans="14:14" x14ac:dyDescent="0.35">
      <c r="N1909" s="676"/>
    </row>
    <row r="1910" spans="14:14" x14ac:dyDescent="0.35">
      <c r="N1910" s="676"/>
    </row>
    <row r="1911" spans="14:14" x14ac:dyDescent="0.35">
      <c r="N1911" s="676"/>
    </row>
    <row r="1912" spans="14:14" x14ac:dyDescent="0.35">
      <c r="N1912" s="676"/>
    </row>
    <row r="1913" spans="14:14" x14ac:dyDescent="0.35">
      <c r="N1913" s="676"/>
    </row>
    <row r="1914" spans="14:14" x14ac:dyDescent="0.35">
      <c r="N1914" s="676"/>
    </row>
    <row r="1915" spans="14:14" x14ac:dyDescent="0.35">
      <c r="N1915" s="676"/>
    </row>
    <row r="1916" spans="14:14" x14ac:dyDescent="0.35">
      <c r="N1916" s="676"/>
    </row>
    <row r="1917" spans="14:14" x14ac:dyDescent="0.35">
      <c r="N1917" s="676"/>
    </row>
    <row r="1918" spans="14:14" x14ac:dyDescent="0.35">
      <c r="N1918" s="676"/>
    </row>
    <row r="1919" spans="14:14" x14ac:dyDescent="0.35">
      <c r="N1919" s="676"/>
    </row>
    <row r="1920" spans="14:14" x14ac:dyDescent="0.35">
      <c r="N1920" s="676"/>
    </row>
    <row r="1921" spans="14:14" x14ac:dyDescent="0.35">
      <c r="N1921" s="676"/>
    </row>
    <row r="1922" spans="14:14" x14ac:dyDescent="0.35">
      <c r="N1922" s="676"/>
    </row>
    <row r="1923" spans="14:14" x14ac:dyDescent="0.35">
      <c r="N1923" s="676"/>
    </row>
    <row r="1924" spans="14:14" x14ac:dyDescent="0.35">
      <c r="N1924" s="676"/>
    </row>
    <row r="1925" spans="14:14" x14ac:dyDescent="0.35">
      <c r="N1925" s="676"/>
    </row>
    <row r="1926" spans="14:14" x14ac:dyDescent="0.35">
      <c r="N1926" s="676"/>
    </row>
    <row r="1927" spans="14:14" x14ac:dyDescent="0.35">
      <c r="N1927" s="676"/>
    </row>
    <row r="1928" spans="14:14" x14ac:dyDescent="0.35">
      <c r="N1928" s="676"/>
    </row>
    <row r="1929" spans="14:14" x14ac:dyDescent="0.35">
      <c r="N1929" s="676"/>
    </row>
    <row r="1930" spans="14:14" x14ac:dyDescent="0.35">
      <c r="N1930" s="676"/>
    </row>
    <row r="1931" spans="14:14" x14ac:dyDescent="0.35">
      <c r="N1931" s="676"/>
    </row>
    <row r="1932" spans="14:14" x14ac:dyDescent="0.35">
      <c r="N1932" s="676"/>
    </row>
    <row r="1933" spans="14:14" x14ac:dyDescent="0.35">
      <c r="N1933" s="676"/>
    </row>
    <row r="1934" spans="14:14" x14ac:dyDescent="0.35">
      <c r="N1934" s="676"/>
    </row>
    <row r="1935" spans="14:14" x14ac:dyDescent="0.35">
      <c r="N1935" s="676"/>
    </row>
    <row r="1936" spans="14:14" x14ac:dyDescent="0.35">
      <c r="N1936" s="676"/>
    </row>
    <row r="1937" spans="14:14" x14ac:dyDescent="0.35">
      <c r="N1937" s="676"/>
    </row>
    <row r="1938" spans="14:14" x14ac:dyDescent="0.35">
      <c r="N1938" s="676"/>
    </row>
    <row r="1939" spans="14:14" x14ac:dyDescent="0.35">
      <c r="N1939" s="676"/>
    </row>
    <row r="1940" spans="14:14" x14ac:dyDescent="0.35">
      <c r="N1940" s="676"/>
    </row>
    <row r="1941" spans="14:14" x14ac:dyDescent="0.35">
      <c r="N1941" s="676"/>
    </row>
    <row r="1942" spans="14:14" x14ac:dyDescent="0.35">
      <c r="N1942" s="676"/>
    </row>
    <row r="1943" spans="14:14" x14ac:dyDescent="0.35">
      <c r="N1943" s="676"/>
    </row>
    <row r="1944" spans="14:14" x14ac:dyDescent="0.35">
      <c r="N1944" s="676"/>
    </row>
    <row r="1945" spans="14:14" x14ac:dyDescent="0.35">
      <c r="N1945" s="676"/>
    </row>
    <row r="1946" spans="14:14" x14ac:dyDescent="0.35">
      <c r="N1946" s="676"/>
    </row>
    <row r="1947" spans="14:14" x14ac:dyDescent="0.35">
      <c r="N1947" s="676"/>
    </row>
    <row r="1948" spans="14:14" x14ac:dyDescent="0.35">
      <c r="N1948" s="676"/>
    </row>
    <row r="1949" spans="14:14" x14ac:dyDescent="0.35">
      <c r="N1949" s="676"/>
    </row>
    <row r="1950" spans="14:14" x14ac:dyDescent="0.35">
      <c r="N1950" s="676"/>
    </row>
    <row r="1951" spans="14:14" x14ac:dyDescent="0.35">
      <c r="N1951" s="676"/>
    </row>
    <row r="1952" spans="14:14" x14ac:dyDescent="0.35">
      <c r="N1952" s="676"/>
    </row>
    <row r="1953" spans="14:14" x14ac:dyDescent="0.35">
      <c r="N1953" s="676"/>
    </row>
    <row r="1954" spans="14:14" x14ac:dyDescent="0.35">
      <c r="N1954" s="676"/>
    </row>
    <row r="1955" spans="14:14" x14ac:dyDescent="0.35">
      <c r="N1955" s="676"/>
    </row>
    <row r="1956" spans="14:14" x14ac:dyDescent="0.35">
      <c r="N1956" s="676"/>
    </row>
    <row r="1957" spans="14:14" x14ac:dyDescent="0.35">
      <c r="N1957" s="676"/>
    </row>
    <row r="1958" spans="14:14" x14ac:dyDescent="0.35">
      <c r="N1958" s="676"/>
    </row>
    <row r="1959" spans="14:14" x14ac:dyDescent="0.35">
      <c r="N1959" s="676"/>
    </row>
    <row r="1960" spans="14:14" x14ac:dyDescent="0.35">
      <c r="N1960" s="676"/>
    </row>
    <row r="1961" spans="14:14" x14ac:dyDescent="0.35">
      <c r="N1961" s="676"/>
    </row>
    <row r="1962" spans="14:14" x14ac:dyDescent="0.35">
      <c r="N1962" s="676"/>
    </row>
    <row r="1963" spans="14:14" x14ac:dyDescent="0.35">
      <c r="N1963" s="676"/>
    </row>
    <row r="1964" spans="14:14" x14ac:dyDescent="0.35">
      <c r="N1964" s="676"/>
    </row>
    <row r="1965" spans="14:14" x14ac:dyDescent="0.35">
      <c r="N1965" s="676"/>
    </row>
    <row r="1966" spans="14:14" x14ac:dyDescent="0.35">
      <c r="N1966" s="676"/>
    </row>
    <row r="1967" spans="14:14" x14ac:dyDescent="0.35">
      <c r="N1967" s="676"/>
    </row>
    <row r="1968" spans="14:14" x14ac:dyDescent="0.35">
      <c r="N1968" s="676"/>
    </row>
    <row r="1969" spans="14:14" x14ac:dyDescent="0.35">
      <c r="N1969" s="676"/>
    </row>
    <row r="1970" spans="14:14" x14ac:dyDescent="0.35">
      <c r="N1970" s="676"/>
    </row>
    <row r="1971" spans="14:14" x14ac:dyDescent="0.35">
      <c r="N1971" s="676"/>
    </row>
    <row r="1972" spans="14:14" x14ac:dyDescent="0.35">
      <c r="N1972" s="676"/>
    </row>
    <row r="1973" spans="14:14" x14ac:dyDescent="0.35">
      <c r="N1973" s="676"/>
    </row>
    <row r="1974" spans="14:14" x14ac:dyDescent="0.35">
      <c r="N1974" s="676"/>
    </row>
    <row r="1975" spans="14:14" x14ac:dyDescent="0.35">
      <c r="N1975" s="676"/>
    </row>
    <row r="1976" spans="14:14" x14ac:dyDescent="0.35">
      <c r="N1976" s="676"/>
    </row>
    <row r="1977" spans="14:14" x14ac:dyDescent="0.35">
      <c r="N1977" s="676"/>
    </row>
    <row r="1978" spans="14:14" x14ac:dyDescent="0.35">
      <c r="N1978" s="676"/>
    </row>
    <row r="1979" spans="14:14" x14ac:dyDescent="0.35">
      <c r="N1979" s="676"/>
    </row>
    <row r="1980" spans="14:14" x14ac:dyDescent="0.35">
      <c r="N1980" s="676"/>
    </row>
    <row r="1981" spans="14:14" x14ac:dyDescent="0.35">
      <c r="N1981" s="676"/>
    </row>
    <row r="1982" spans="14:14" x14ac:dyDescent="0.35">
      <c r="N1982" s="676"/>
    </row>
    <row r="1983" spans="14:14" x14ac:dyDescent="0.35">
      <c r="N1983" s="676"/>
    </row>
    <row r="1984" spans="14:14" x14ac:dyDescent="0.35">
      <c r="N1984" s="676"/>
    </row>
    <row r="1985" spans="14:14" x14ac:dyDescent="0.35">
      <c r="N1985" s="676"/>
    </row>
    <row r="1986" spans="14:14" x14ac:dyDescent="0.35">
      <c r="N1986" s="676"/>
    </row>
    <row r="1987" spans="14:14" x14ac:dyDescent="0.35">
      <c r="N1987" s="676"/>
    </row>
    <row r="1988" spans="14:14" x14ac:dyDescent="0.35">
      <c r="N1988" s="676"/>
    </row>
    <row r="1989" spans="14:14" x14ac:dyDescent="0.35">
      <c r="N1989" s="676"/>
    </row>
    <row r="1990" spans="14:14" x14ac:dyDescent="0.35">
      <c r="N1990" s="676"/>
    </row>
    <row r="1991" spans="14:14" x14ac:dyDescent="0.35">
      <c r="N1991" s="676"/>
    </row>
    <row r="1992" spans="14:14" x14ac:dyDescent="0.35">
      <c r="N1992" s="676"/>
    </row>
    <row r="1993" spans="14:14" x14ac:dyDescent="0.35">
      <c r="N1993" s="676"/>
    </row>
    <row r="1994" spans="14:14" x14ac:dyDescent="0.35">
      <c r="N1994" s="676"/>
    </row>
    <row r="1995" spans="14:14" x14ac:dyDescent="0.35">
      <c r="N1995" s="676"/>
    </row>
    <row r="1996" spans="14:14" x14ac:dyDescent="0.35">
      <c r="N1996" s="676"/>
    </row>
    <row r="1997" spans="14:14" x14ac:dyDescent="0.35">
      <c r="N1997" s="676"/>
    </row>
    <row r="1998" spans="14:14" x14ac:dyDescent="0.35">
      <c r="N1998" s="676"/>
    </row>
    <row r="1999" spans="14:14" x14ac:dyDescent="0.35">
      <c r="N1999" s="676"/>
    </row>
    <row r="2000" spans="14:14" x14ac:dyDescent="0.35">
      <c r="N2000" s="676"/>
    </row>
    <row r="2001" spans="14:14" x14ac:dyDescent="0.35">
      <c r="N2001" s="676"/>
    </row>
    <row r="2002" spans="14:14" x14ac:dyDescent="0.35">
      <c r="N2002" s="676"/>
    </row>
    <row r="2003" spans="14:14" x14ac:dyDescent="0.35">
      <c r="N2003" s="676"/>
    </row>
    <row r="2004" spans="14:14" x14ac:dyDescent="0.35">
      <c r="N2004" s="676"/>
    </row>
    <row r="2005" spans="14:14" x14ac:dyDescent="0.35">
      <c r="N2005" s="676"/>
    </row>
    <row r="2006" spans="14:14" x14ac:dyDescent="0.35">
      <c r="N2006" s="676"/>
    </row>
    <row r="2007" spans="14:14" x14ac:dyDescent="0.35">
      <c r="N2007" s="676"/>
    </row>
    <row r="2008" spans="14:14" x14ac:dyDescent="0.35">
      <c r="N2008" s="676"/>
    </row>
    <row r="2009" spans="14:14" x14ac:dyDescent="0.35">
      <c r="N2009" s="676"/>
    </row>
    <row r="2010" spans="14:14" x14ac:dyDescent="0.35">
      <c r="N2010" s="676"/>
    </row>
    <row r="2011" spans="14:14" x14ac:dyDescent="0.35">
      <c r="N2011" s="676"/>
    </row>
    <row r="2012" spans="14:14" x14ac:dyDescent="0.35">
      <c r="N2012" s="676"/>
    </row>
    <row r="2013" spans="14:14" x14ac:dyDescent="0.35">
      <c r="N2013" s="676"/>
    </row>
    <row r="2014" spans="14:14" x14ac:dyDescent="0.35">
      <c r="N2014" s="676"/>
    </row>
    <row r="2015" spans="14:14" x14ac:dyDescent="0.35">
      <c r="N2015" s="676"/>
    </row>
    <row r="2016" spans="14:14" x14ac:dyDescent="0.35">
      <c r="N2016" s="676"/>
    </row>
    <row r="2017" spans="14:14" x14ac:dyDescent="0.35">
      <c r="N2017" s="676"/>
    </row>
    <row r="2018" spans="14:14" x14ac:dyDescent="0.35">
      <c r="N2018" s="676"/>
    </row>
    <row r="2019" spans="14:14" x14ac:dyDescent="0.35">
      <c r="N2019" s="676"/>
    </row>
    <row r="2020" spans="14:14" x14ac:dyDescent="0.35">
      <c r="N2020" s="676"/>
    </row>
    <row r="2021" spans="14:14" x14ac:dyDescent="0.35">
      <c r="N2021" s="676"/>
    </row>
    <row r="2022" spans="14:14" x14ac:dyDescent="0.35">
      <c r="N2022" s="676"/>
    </row>
    <row r="2023" spans="14:14" x14ac:dyDescent="0.35">
      <c r="N2023" s="676"/>
    </row>
    <row r="2024" spans="14:14" x14ac:dyDescent="0.35">
      <c r="N2024" s="676"/>
    </row>
    <row r="2025" spans="14:14" x14ac:dyDescent="0.35">
      <c r="N2025" s="676"/>
    </row>
    <row r="2026" spans="14:14" x14ac:dyDescent="0.35">
      <c r="N2026" s="676"/>
    </row>
    <row r="2027" spans="14:14" x14ac:dyDescent="0.35">
      <c r="N2027" s="676"/>
    </row>
    <row r="2028" spans="14:14" x14ac:dyDescent="0.35">
      <c r="N2028" s="676"/>
    </row>
    <row r="2029" spans="14:14" x14ac:dyDescent="0.35">
      <c r="N2029" s="676"/>
    </row>
    <row r="2030" spans="14:14" x14ac:dyDescent="0.35">
      <c r="N2030" s="676"/>
    </row>
    <row r="2031" spans="14:14" x14ac:dyDescent="0.35">
      <c r="N2031" s="676"/>
    </row>
    <row r="2032" spans="14:14" x14ac:dyDescent="0.35">
      <c r="N2032" s="676"/>
    </row>
    <row r="2033" spans="14:14" x14ac:dyDescent="0.35">
      <c r="N2033" s="676"/>
    </row>
    <row r="2034" spans="14:14" x14ac:dyDescent="0.35">
      <c r="N2034" s="676"/>
    </row>
    <row r="2035" spans="14:14" x14ac:dyDescent="0.35">
      <c r="N2035" s="676"/>
    </row>
    <row r="2036" spans="14:14" x14ac:dyDescent="0.35">
      <c r="N2036" s="676"/>
    </row>
    <row r="2037" spans="14:14" x14ac:dyDescent="0.35">
      <c r="N2037" s="676"/>
    </row>
    <row r="2038" spans="14:14" x14ac:dyDescent="0.35">
      <c r="N2038" s="676"/>
    </row>
    <row r="2039" spans="14:14" x14ac:dyDescent="0.35">
      <c r="N2039" s="676"/>
    </row>
    <row r="2040" spans="14:14" x14ac:dyDescent="0.35">
      <c r="N2040" s="676"/>
    </row>
    <row r="2041" spans="14:14" x14ac:dyDescent="0.35">
      <c r="N2041" s="676"/>
    </row>
    <row r="2042" spans="14:14" x14ac:dyDescent="0.35">
      <c r="N2042" s="676"/>
    </row>
    <row r="2043" spans="14:14" x14ac:dyDescent="0.35">
      <c r="N2043" s="676"/>
    </row>
    <row r="2044" spans="14:14" x14ac:dyDescent="0.35">
      <c r="N2044" s="676"/>
    </row>
    <row r="2045" spans="14:14" x14ac:dyDescent="0.35">
      <c r="N2045" s="676"/>
    </row>
    <row r="2046" spans="14:14" x14ac:dyDescent="0.35">
      <c r="N2046" s="676"/>
    </row>
    <row r="2047" spans="14:14" x14ac:dyDescent="0.35">
      <c r="N2047" s="676"/>
    </row>
    <row r="2048" spans="14:14" x14ac:dyDescent="0.35">
      <c r="N2048" s="676"/>
    </row>
    <row r="2049" spans="14:14" x14ac:dyDescent="0.35">
      <c r="N2049" s="676"/>
    </row>
    <row r="2050" spans="14:14" x14ac:dyDescent="0.35">
      <c r="N2050" s="676"/>
    </row>
    <row r="2051" spans="14:14" x14ac:dyDescent="0.35">
      <c r="N2051" s="676"/>
    </row>
    <row r="2052" spans="14:14" x14ac:dyDescent="0.35">
      <c r="N2052" s="676"/>
    </row>
    <row r="2053" spans="14:14" x14ac:dyDescent="0.35">
      <c r="N2053" s="676"/>
    </row>
    <row r="2054" spans="14:14" x14ac:dyDescent="0.35">
      <c r="N2054" s="676"/>
    </row>
    <row r="2055" spans="14:14" x14ac:dyDescent="0.35">
      <c r="N2055" s="676"/>
    </row>
    <row r="2056" spans="14:14" x14ac:dyDescent="0.35">
      <c r="N2056" s="676"/>
    </row>
    <row r="2057" spans="14:14" x14ac:dyDescent="0.35">
      <c r="N2057" s="676"/>
    </row>
    <row r="2058" spans="14:14" x14ac:dyDescent="0.35">
      <c r="N2058" s="676"/>
    </row>
    <row r="2059" spans="14:14" x14ac:dyDescent="0.35">
      <c r="N2059" s="676"/>
    </row>
    <row r="2060" spans="14:14" x14ac:dyDescent="0.35">
      <c r="N2060" s="676"/>
    </row>
    <row r="2061" spans="14:14" x14ac:dyDescent="0.35">
      <c r="N2061" s="676"/>
    </row>
    <row r="2062" spans="14:14" x14ac:dyDescent="0.35">
      <c r="N2062" s="676"/>
    </row>
    <row r="2063" spans="14:14" x14ac:dyDescent="0.35">
      <c r="N2063" s="676"/>
    </row>
    <row r="2064" spans="14:14" x14ac:dyDescent="0.35">
      <c r="N2064" s="676"/>
    </row>
    <row r="2065" spans="14:14" x14ac:dyDescent="0.35">
      <c r="N2065" s="676"/>
    </row>
    <row r="2066" spans="14:14" x14ac:dyDescent="0.35">
      <c r="N2066" s="676"/>
    </row>
    <row r="2067" spans="14:14" x14ac:dyDescent="0.35">
      <c r="N2067" s="676"/>
    </row>
    <row r="2068" spans="14:14" x14ac:dyDescent="0.35">
      <c r="N2068" s="676"/>
    </row>
    <row r="2069" spans="14:14" x14ac:dyDescent="0.35">
      <c r="N2069" s="676"/>
    </row>
    <row r="2070" spans="14:14" x14ac:dyDescent="0.35">
      <c r="N2070" s="676"/>
    </row>
    <row r="2071" spans="14:14" x14ac:dyDescent="0.35">
      <c r="N2071" s="676"/>
    </row>
    <row r="2072" spans="14:14" x14ac:dyDescent="0.35">
      <c r="N2072" s="676"/>
    </row>
    <row r="2073" spans="14:14" x14ac:dyDescent="0.35">
      <c r="N2073" s="676"/>
    </row>
    <row r="2074" spans="14:14" x14ac:dyDescent="0.35">
      <c r="N2074" s="676"/>
    </row>
    <row r="2075" spans="14:14" x14ac:dyDescent="0.35">
      <c r="N2075" s="676"/>
    </row>
    <row r="2076" spans="14:14" x14ac:dyDescent="0.35">
      <c r="N2076" s="676"/>
    </row>
    <row r="2077" spans="14:14" x14ac:dyDescent="0.35">
      <c r="N2077" s="676"/>
    </row>
    <row r="2078" spans="14:14" x14ac:dyDescent="0.35">
      <c r="N2078" s="676"/>
    </row>
    <row r="2079" spans="14:14" x14ac:dyDescent="0.35">
      <c r="N2079" s="676"/>
    </row>
    <row r="2080" spans="14:14" x14ac:dyDescent="0.35">
      <c r="N2080" s="676"/>
    </row>
    <row r="2081" spans="14:14" x14ac:dyDescent="0.35">
      <c r="N2081" s="676"/>
    </row>
    <row r="2082" spans="14:14" x14ac:dyDescent="0.35">
      <c r="N2082" s="676"/>
    </row>
    <row r="2083" spans="14:14" x14ac:dyDescent="0.35">
      <c r="N2083" s="676"/>
    </row>
    <row r="2084" spans="14:14" x14ac:dyDescent="0.35">
      <c r="N2084" s="676"/>
    </row>
    <row r="2085" spans="14:14" x14ac:dyDescent="0.35">
      <c r="N2085" s="676"/>
    </row>
    <row r="2086" spans="14:14" x14ac:dyDescent="0.35">
      <c r="N2086" s="676"/>
    </row>
    <row r="2087" spans="14:14" x14ac:dyDescent="0.35">
      <c r="N2087" s="676"/>
    </row>
    <row r="2088" spans="14:14" x14ac:dyDescent="0.35">
      <c r="N2088" s="676"/>
    </row>
    <row r="2089" spans="14:14" x14ac:dyDescent="0.35">
      <c r="N2089" s="676"/>
    </row>
    <row r="2090" spans="14:14" x14ac:dyDescent="0.35">
      <c r="N2090" s="676"/>
    </row>
    <row r="2091" spans="14:14" x14ac:dyDescent="0.35">
      <c r="N2091" s="676"/>
    </row>
    <row r="2092" spans="14:14" x14ac:dyDescent="0.35">
      <c r="N2092" s="676"/>
    </row>
    <row r="2093" spans="14:14" x14ac:dyDescent="0.35">
      <c r="N2093" s="676"/>
    </row>
    <row r="2094" spans="14:14" x14ac:dyDescent="0.35">
      <c r="N2094" s="676"/>
    </row>
    <row r="2095" spans="14:14" x14ac:dyDescent="0.35">
      <c r="N2095" s="676"/>
    </row>
    <row r="2096" spans="14:14" x14ac:dyDescent="0.35">
      <c r="N2096" s="676"/>
    </row>
    <row r="2097" spans="14:14" x14ac:dyDescent="0.35">
      <c r="N2097" s="676"/>
    </row>
    <row r="2098" spans="14:14" x14ac:dyDescent="0.35">
      <c r="N2098" s="676"/>
    </row>
    <row r="2099" spans="14:14" x14ac:dyDescent="0.35">
      <c r="N2099" s="676"/>
    </row>
    <row r="2100" spans="14:14" x14ac:dyDescent="0.35">
      <c r="N2100" s="676"/>
    </row>
    <row r="2101" spans="14:14" x14ac:dyDescent="0.35">
      <c r="N2101" s="676"/>
    </row>
    <row r="2102" spans="14:14" x14ac:dyDescent="0.35">
      <c r="N2102" s="676"/>
    </row>
    <row r="2103" spans="14:14" x14ac:dyDescent="0.35">
      <c r="N2103" s="676"/>
    </row>
    <row r="2104" spans="14:14" x14ac:dyDescent="0.35">
      <c r="N2104" s="676"/>
    </row>
    <row r="2105" spans="14:14" x14ac:dyDescent="0.35">
      <c r="N2105" s="676"/>
    </row>
    <row r="2106" spans="14:14" x14ac:dyDescent="0.35">
      <c r="N2106" s="676"/>
    </row>
    <row r="2107" spans="14:14" x14ac:dyDescent="0.35">
      <c r="N2107" s="676"/>
    </row>
    <row r="2108" spans="14:14" x14ac:dyDescent="0.35">
      <c r="N2108" s="676"/>
    </row>
    <row r="2109" spans="14:14" x14ac:dyDescent="0.35">
      <c r="N2109" s="676"/>
    </row>
    <row r="2110" spans="14:14" x14ac:dyDescent="0.35">
      <c r="N2110" s="676"/>
    </row>
    <row r="2111" spans="14:14" x14ac:dyDescent="0.35">
      <c r="N2111" s="676"/>
    </row>
    <row r="2112" spans="14:14" x14ac:dyDescent="0.35">
      <c r="N2112" s="676"/>
    </row>
    <row r="2113" spans="14:14" x14ac:dyDescent="0.35">
      <c r="N2113" s="676"/>
    </row>
    <row r="2114" spans="14:14" x14ac:dyDescent="0.35">
      <c r="N2114" s="676"/>
    </row>
    <row r="2115" spans="14:14" x14ac:dyDescent="0.35">
      <c r="N2115" s="676"/>
    </row>
    <row r="2116" spans="14:14" x14ac:dyDescent="0.35">
      <c r="N2116" s="676"/>
    </row>
    <row r="2117" spans="14:14" x14ac:dyDescent="0.35">
      <c r="N2117" s="676"/>
    </row>
    <row r="2118" spans="14:14" x14ac:dyDescent="0.35">
      <c r="N2118" s="676"/>
    </row>
    <row r="2119" spans="14:14" x14ac:dyDescent="0.35">
      <c r="N2119" s="676"/>
    </row>
    <row r="2120" spans="14:14" x14ac:dyDescent="0.35">
      <c r="N2120" s="676"/>
    </row>
    <row r="2121" spans="14:14" x14ac:dyDescent="0.35">
      <c r="N2121" s="676"/>
    </row>
    <row r="2122" spans="14:14" x14ac:dyDescent="0.35">
      <c r="N2122" s="676"/>
    </row>
    <row r="2123" spans="14:14" x14ac:dyDescent="0.35">
      <c r="N2123" s="676"/>
    </row>
    <row r="2124" spans="14:14" x14ac:dyDescent="0.35">
      <c r="N2124" s="676"/>
    </row>
    <row r="2125" spans="14:14" x14ac:dyDescent="0.35">
      <c r="N2125" s="676"/>
    </row>
    <row r="2126" spans="14:14" x14ac:dyDescent="0.35">
      <c r="N2126" s="676"/>
    </row>
    <row r="2127" spans="14:14" x14ac:dyDescent="0.35">
      <c r="N2127" s="676"/>
    </row>
    <row r="2128" spans="14:14" x14ac:dyDescent="0.35">
      <c r="N2128" s="676"/>
    </row>
    <row r="2129" spans="14:14" x14ac:dyDescent="0.35">
      <c r="N2129" s="676"/>
    </row>
    <row r="2130" spans="14:14" x14ac:dyDescent="0.35">
      <c r="N2130" s="676"/>
    </row>
    <row r="2131" spans="14:14" x14ac:dyDescent="0.35">
      <c r="N2131" s="676"/>
    </row>
    <row r="2132" spans="14:14" x14ac:dyDescent="0.35">
      <c r="N2132" s="676"/>
    </row>
    <row r="2133" spans="14:14" x14ac:dyDescent="0.35">
      <c r="N2133" s="676"/>
    </row>
    <row r="2134" spans="14:14" x14ac:dyDescent="0.35">
      <c r="N2134" s="676"/>
    </row>
    <row r="2135" spans="14:14" x14ac:dyDescent="0.35">
      <c r="N2135" s="676"/>
    </row>
    <row r="2136" spans="14:14" x14ac:dyDescent="0.35">
      <c r="N2136" s="676"/>
    </row>
    <row r="2137" spans="14:14" x14ac:dyDescent="0.35">
      <c r="N2137" s="676"/>
    </row>
    <row r="2138" spans="14:14" x14ac:dyDescent="0.35">
      <c r="N2138" s="676"/>
    </row>
    <row r="2139" spans="14:14" x14ac:dyDescent="0.35">
      <c r="N2139" s="676"/>
    </row>
    <row r="2140" spans="14:14" x14ac:dyDescent="0.35">
      <c r="N2140" s="676"/>
    </row>
    <row r="2141" spans="14:14" x14ac:dyDescent="0.35">
      <c r="N2141" s="676"/>
    </row>
    <row r="2142" spans="14:14" x14ac:dyDescent="0.35">
      <c r="N2142" s="676"/>
    </row>
    <row r="2143" spans="14:14" x14ac:dyDescent="0.35">
      <c r="N2143" s="676"/>
    </row>
    <row r="2144" spans="14:14" x14ac:dyDescent="0.35">
      <c r="N2144" s="676"/>
    </row>
    <row r="2145" spans="14:14" x14ac:dyDescent="0.35">
      <c r="N2145" s="676"/>
    </row>
    <row r="2146" spans="14:14" x14ac:dyDescent="0.35">
      <c r="N2146" s="676"/>
    </row>
    <row r="2147" spans="14:14" x14ac:dyDescent="0.35">
      <c r="N2147" s="676"/>
    </row>
    <row r="2148" spans="14:14" x14ac:dyDescent="0.35">
      <c r="N2148" s="676"/>
    </row>
    <row r="2149" spans="14:14" x14ac:dyDescent="0.35">
      <c r="N2149" s="676"/>
    </row>
    <row r="2150" spans="14:14" x14ac:dyDescent="0.35">
      <c r="N2150" s="676"/>
    </row>
    <row r="2151" spans="14:14" x14ac:dyDescent="0.35">
      <c r="N2151" s="676"/>
    </row>
    <row r="2152" spans="14:14" x14ac:dyDescent="0.35">
      <c r="N2152" s="676"/>
    </row>
    <row r="2153" spans="14:14" x14ac:dyDescent="0.35">
      <c r="N2153" s="676"/>
    </row>
    <row r="2154" spans="14:14" x14ac:dyDescent="0.35">
      <c r="N2154" s="676"/>
    </row>
    <row r="2155" spans="14:14" x14ac:dyDescent="0.35">
      <c r="N2155" s="676"/>
    </row>
    <row r="2156" spans="14:14" x14ac:dyDescent="0.35">
      <c r="N2156" s="676"/>
    </row>
    <row r="2157" spans="14:14" x14ac:dyDescent="0.35">
      <c r="N2157" s="676"/>
    </row>
    <row r="2158" spans="14:14" x14ac:dyDescent="0.35">
      <c r="N2158" s="676"/>
    </row>
    <row r="2159" spans="14:14" x14ac:dyDescent="0.35">
      <c r="N2159" s="676"/>
    </row>
    <row r="2160" spans="14:14" x14ac:dyDescent="0.35">
      <c r="N2160" s="676"/>
    </row>
    <row r="2161" spans="14:14" x14ac:dyDescent="0.35">
      <c r="N2161" s="676"/>
    </row>
    <row r="2162" spans="14:14" x14ac:dyDescent="0.35">
      <c r="N2162" s="676"/>
    </row>
    <row r="2163" spans="14:14" x14ac:dyDescent="0.35">
      <c r="N2163" s="676"/>
    </row>
    <row r="2164" spans="14:14" x14ac:dyDescent="0.35">
      <c r="N2164" s="676"/>
    </row>
    <row r="2165" spans="14:14" x14ac:dyDescent="0.35">
      <c r="N2165" s="676"/>
    </row>
    <row r="2166" spans="14:14" x14ac:dyDescent="0.35">
      <c r="N2166" s="676"/>
    </row>
    <row r="2167" spans="14:14" x14ac:dyDescent="0.35">
      <c r="N2167" s="676"/>
    </row>
    <row r="2168" spans="14:14" x14ac:dyDescent="0.35">
      <c r="N2168" s="676"/>
    </row>
    <row r="2169" spans="14:14" x14ac:dyDescent="0.35">
      <c r="N2169" s="676"/>
    </row>
    <row r="2170" spans="14:14" x14ac:dyDescent="0.35">
      <c r="N2170" s="676"/>
    </row>
    <row r="2171" spans="14:14" x14ac:dyDescent="0.35">
      <c r="N2171" s="676"/>
    </row>
    <row r="2172" spans="14:14" x14ac:dyDescent="0.35">
      <c r="N2172" s="676"/>
    </row>
    <row r="2173" spans="14:14" x14ac:dyDescent="0.35">
      <c r="N2173" s="676"/>
    </row>
    <row r="2174" spans="14:14" x14ac:dyDescent="0.35">
      <c r="N2174" s="676"/>
    </row>
    <row r="2175" spans="14:14" x14ac:dyDescent="0.35">
      <c r="N2175" s="676"/>
    </row>
    <row r="2176" spans="14:14" x14ac:dyDescent="0.35">
      <c r="N2176" s="676"/>
    </row>
    <row r="2177" spans="14:14" x14ac:dyDescent="0.35">
      <c r="N2177" s="676"/>
    </row>
    <row r="2178" spans="14:14" x14ac:dyDescent="0.35">
      <c r="N2178" s="676"/>
    </row>
    <row r="2179" spans="14:14" x14ac:dyDescent="0.35">
      <c r="N2179" s="676"/>
    </row>
    <row r="2180" spans="14:14" x14ac:dyDescent="0.35">
      <c r="N2180" s="676"/>
    </row>
    <row r="2181" spans="14:14" x14ac:dyDescent="0.35">
      <c r="N2181" s="676"/>
    </row>
    <row r="2182" spans="14:14" x14ac:dyDescent="0.35">
      <c r="N2182" s="676"/>
    </row>
    <row r="2183" spans="14:14" x14ac:dyDescent="0.35">
      <c r="N2183" s="676"/>
    </row>
    <row r="2184" spans="14:14" x14ac:dyDescent="0.35">
      <c r="N2184" s="676"/>
    </row>
    <row r="2185" spans="14:14" x14ac:dyDescent="0.35">
      <c r="N2185" s="676"/>
    </row>
    <row r="2186" spans="14:14" x14ac:dyDescent="0.35">
      <c r="N2186" s="676"/>
    </row>
    <row r="2187" spans="14:14" x14ac:dyDescent="0.35">
      <c r="N2187" s="676"/>
    </row>
    <row r="2188" spans="14:14" x14ac:dyDescent="0.35">
      <c r="N2188" s="676"/>
    </row>
    <row r="2189" spans="14:14" x14ac:dyDescent="0.35">
      <c r="N2189" s="676"/>
    </row>
    <row r="2190" spans="14:14" x14ac:dyDescent="0.35">
      <c r="N2190" s="676"/>
    </row>
    <row r="2191" spans="14:14" x14ac:dyDescent="0.35">
      <c r="N2191" s="676"/>
    </row>
    <row r="2192" spans="14:14" x14ac:dyDescent="0.35">
      <c r="N2192" s="676"/>
    </row>
    <row r="2193" spans="14:14" x14ac:dyDescent="0.35">
      <c r="N2193" s="676"/>
    </row>
    <row r="2194" spans="14:14" x14ac:dyDescent="0.35">
      <c r="N2194" s="676"/>
    </row>
    <row r="2195" spans="14:14" x14ac:dyDescent="0.35">
      <c r="N2195" s="676"/>
    </row>
    <row r="2196" spans="14:14" x14ac:dyDescent="0.35">
      <c r="N2196" s="676"/>
    </row>
    <row r="2197" spans="14:14" x14ac:dyDescent="0.35">
      <c r="N2197" s="676"/>
    </row>
    <row r="2198" spans="14:14" x14ac:dyDescent="0.35">
      <c r="N2198" s="676"/>
    </row>
    <row r="2199" spans="14:14" x14ac:dyDescent="0.35">
      <c r="N2199" s="676"/>
    </row>
    <row r="2200" spans="14:14" x14ac:dyDescent="0.35">
      <c r="N2200" s="676"/>
    </row>
    <row r="2201" spans="14:14" x14ac:dyDescent="0.35">
      <c r="N2201" s="676"/>
    </row>
    <row r="2202" spans="14:14" x14ac:dyDescent="0.35">
      <c r="N2202" s="676"/>
    </row>
    <row r="2203" spans="14:14" x14ac:dyDescent="0.35">
      <c r="N2203" s="676"/>
    </row>
    <row r="2204" spans="14:14" x14ac:dyDescent="0.35">
      <c r="N2204" s="676"/>
    </row>
    <row r="2205" spans="14:14" x14ac:dyDescent="0.35">
      <c r="N2205" s="676"/>
    </row>
    <row r="2206" spans="14:14" x14ac:dyDescent="0.35">
      <c r="N2206" s="676"/>
    </row>
    <row r="2207" spans="14:14" x14ac:dyDescent="0.35">
      <c r="N2207" s="676"/>
    </row>
    <row r="2208" spans="14:14" x14ac:dyDescent="0.35">
      <c r="N2208" s="676"/>
    </row>
    <row r="2209" spans="14:14" x14ac:dyDescent="0.35">
      <c r="N2209" s="676"/>
    </row>
    <row r="2210" spans="14:14" x14ac:dyDescent="0.35">
      <c r="N2210" s="676"/>
    </row>
    <row r="2211" spans="14:14" x14ac:dyDescent="0.35">
      <c r="N2211" s="676"/>
    </row>
    <row r="2212" spans="14:14" x14ac:dyDescent="0.35">
      <c r="N2212" s="676"/>
    </row>
    <row r="2213" spans="14:14" x14ac:dyDescent="0.35">
      <c r="N2213" s="676"/>
    </row>
    <row r="2214" spans="14:14" x14ac:dyDescent="0.35">
      <c r="N2214" s="676"/>
    </row>
    <row r="2215" spans="14:14" x14ac:dyDescent="0.35">
      <c r="N2215" s="676"/>
    </row>
    <row r="2216" spans="14:14" x14ac:dyDescent="0.35">
      <c r="N2216" s="676"/>
    </row>
    <row r="2217" spans="14:14" x14ac:dyDescent="0.35">
      <c r="N2217" s="676"/>
    </row>
    <row r="2218" spans="14:14" x14ac:dyDescent="0.35">
      <c r="N2218" s="676"/>
    </row>
    <row r="2219" spans="14:14" x14ac:dyDescent="0.35">
      <c r="N2219" s="676"/>
    </row>
    <row r="2220" spans="14:14" x14ac:dyDescent="0.35">
      <c r="N2220" s="676"/>
    </row>
    <row r="2221" spans="14:14" x14ac:dyDescent="0.35">
      <c r="N2221" s="676"/>
    </row>
    <row r="2222" spans="14:14" x14ac:dyDescent="0.35">
      <c r="N2222" s="676"/>
    </row>
    <row r="2223" spans="14:14" x14ac:dyDescent="0.35">
      <c r="N2223" s="676"/>
    </row>
    <row r="2224" spans="14:14" x14ac:dyDescent="0.35">
      <c r="N2224" s="676"/>
    </row>
    <row r="2225" spans="14:14" x14ac:dyDescent="0.35">
      <c r="N2225" s="676"/>
    </row>
    <row r="2226" spans="14:14" x14ac:dyDescent="0.35">
      <c r="N2226" s="676"/>
    </row>
    <row r="2227" spans="14:14" x14ac:dyDescent="0.35">
      <c r="N2227" s="676"/>
    </row>
    <row r="2228" spans="14:14" x14ac:dyDescent="0.35">
      <c r="N2228" s="676"/>
    </row>
    <row r="2229" spans="14:14" x14ac:dyDescent="0.35">
      <c r="N2229" s="676"/>
    </row>
    <row r="2230" spans="14:14" x14ac:dyDescent="0.35">
      <c r="N2230" s="676"/>
    </row>
    <row r="2231" spans="14:14" x14ac:dyDescent="0.35">
      <c r="N2231" s="676"/>
    </row>
    <row r="2232" spans="14:14" x14ac:dyDescent="0.35">
      <c r="N2232" s="676"/>
    </row>
    <row r="2233" spans="14:14" x14ac:dyDescent="0.35">
      <c r="N2233" s="676"/>
    </row>
    <row r="2234" spans="14:14" x14ac:dyDescent="0.35">
      <c r="N2234" s="676"/>
    </row>
    <row r="2235" spans="14:14" x14ac:dyDescent="0.35">
      <c r="N2235" s="676"/>
    </row>
    <row r="2236" spans="14:14" x14ac:dyDescent="0.35">
      <c r="N2236" s="676"/>
    </row>
    <row r="2237" spans="14:14" x14ac:dyDescent="0.35">
      <c r="N2237" s="676"/>
    </row>
    <row r="2238" spans="14:14" x14ac:dyDescent="0.35">
      <c r="N2238" s="676"/>
    </row>
    <row r="2239" spans="14:14" x14ac:dyDescent="0.35">
      <c r="N2239" s="676"/>
    </row>
    <row r="2240" spans="14:14" x14ac:dyDescent="0.35">
      <c r="N2240" s="676"/>
    </row>
    <row r="2241" spans="14:14" x14ac:dyDescent="0.35">
      <c r="N2241" s="676"/>
    </row>
    <row r="2242" spans="14:14" x14ac:dyDescent="0.35">
      <c r="N2242" s="676"/>
    </row>
    <row r="2243" spans="14:14" x14ac:dyDescent="0.35">
      <c r="N2243" s="676"/>
    </row>
    <row r="2244" spans="14:14" x14ac:dyDescent="0.35">
      <c r="N2244" s="676"/>
    </row>
    <row r="2245" spans="14:14" x14ac:dyDescent="0.35">
      <c r="N2245" s="676"/>
    </row>
    <row r="2246" spans="14:14" x14ac:dyDescent="0.35">
      <c r="N2246" s="676"/>
    </row>
    <row r="2247" spans="14:14" x14ac:dyDescent="0.35">
      <c r="N2247" s="676"/>
    </row>
    <row r="2248" spans="14:14" x14ac:dyDescent="0.35">
      <c r="N2248" s="676"/>
    </row>
    <row r="2249" spans="14:14" x14ac:dyDescent="0.35">
      <c r="N2249" s="676"/>
    </row>
    <row r="2250" spans="14:14" x14ac:dyDescent="0.35">
      <c r="N2250" s="676"/>
    </row>
    <row r="2251" spans="14:14" x14ac:dyDescent="0.35">
      <c r="N2251" s="676"/>
    </row>
    <row r="2252" spans="14:14" x14ac:dyDescent="0.35">
      <c r="N2252" s="676"/>
    </row>
    <row r="2253" spans="14:14" x14ac:dyDescent="0.35">
      <c r="N2253" s="676"/>
    </row>
    <row r="2254" spans="14:14" x14ac:dyDescent="0.35">
      <c r="N2254" s="676"/>
    </row>
    <row r="2255" spans="14:14" x14ac:dyDescent="0.35">
      <c r="N2255" s="676"/>
    </row>
    <row r="2256" spans="14:14" x14ac:dyDescent="0.35">
      <c r="N2256" s="676"/>
    </row>
    <row r="2257" spans="14:14" x14ac:dyDescent="0.35">
      <c r="N2257" s="676"/>
    </row>
    <row r="2258" spans="14:14" x14ac:dyDescent="0.35">
      <c r="N2258" s="676"/>
    </row>
    <row r="2259" spans="14:14" x14ac:dyDescent="0.35">
      <c r="N2259" s="676"/>
    </row>
    <row r="2260" spans="14:14" x14ac:dyDescent="0.35">
      <c r="N2260" s="676"/>
    </row>
    <row r="2261" spans="14:14" x14ac:dyDescent="0.35">
      <c r="N2261" s="676"/>
    </row>
    <row r="2262" spans="14:14" x14ac:dyDescent="0.35">
      <c r="N2262" s="676"/>
    </row>
    <row r="2263" spans="14:14" x14ac:dyDescent="0.35">
      <c r="N2263" s="676"/>
    </row>
    <row r="2264" spans="14:14" x14ac:dyDescent="0.35">
      <c r="N2264" s="676"/>
    </row>
    <row r="2265" spans="14:14" x14ac:dyDescent="0.35">
      <c r="N2265" s="676"/>
    </row>
    <row r="2266" spans="14:14" x14ac:dyDescent="0.35">
      <c r="N2266" s="676"/>
    </row>
    <row r="2267" spans="14:14" x14ac:dyDescent="0.35">
      <c r="N2267" s="676"/>
    </row>
    <row r="2268" spans="14:14" x14ac:dyDescent="0.35">
      <c r="N2268" s="676"/>
    </row>
    <row r="2269" spans="14:14" x14ac:dyDescent="0.35">
      <c r="N2269" s="676"/>
    </row>
    <row r="2270" spans="14:14" x14ac:dyDescent="0.35">
      <c r="N2270" s="676"/>
    </row>
    <row r="2271" spans="14:14" x14ac:dyDescent="0.35">
      <c r="N2271" s="676"/>
    </row>
    <row r="2272" spans="14:14" x14ac:dyDescent="0.35">
      <c r="N2272" s="676"/>
    </row>
    <row r="2273" spans="14:14" x14ac:dyDescent="0.35">
      <c r="N2273" s="676"/>
    </row>
    <row r="2274" spans="14:14" x14ac:dyDescent="0.35">
      <c r="N2274" s="676"/>
    </row>
    <row r="2275" spans="14:14" x14ac:dyDescent="0.35">
      <c r="N2275" s="676"/>
    </row>
    <row r="2276" spans="14:14" x14ac:dyDescent="0.35">
      <c r="N2276" s="676"/>
    </row>
    <row r="2277" spans="14:14" x14ac:dyDescent="0.35">
      <c r="N2277" s="676"/>
    </row>
    <row r="2278" spans="14:14" x14ac:dyDescent="0.35">
      <c r="N2278" s="676"/>
    </row>
    <row r="2279" spans="14:14" x14ac:dyDescent="0.35">
      <c r="N2279" s="676"/>
    </row>
    <row r="2280" spans="14:14" x14ac:dyDescent="0.35">
      <c r="N2280" s="676"/>
    </row>
    <row r="2281" spans="14:14" x14ac:dyDescent="0.35">
      <c r="N2281" s="676"/>
    </row>
    <row r="2282" spans="14:14" x14ac:dyDescent="0.35">
      <c r="N2282" s="676"/>
    </row>
    <row r="2283" spans="14:14" x14ac:dyDescent="0.35">
      <c r="N2283" s="676"/>
    </row>
    <row r="2284" spans="14:14" x14ac:dyDescent="0.35">
      <c r="N2284" s="676"/>
    </row>
    <row r="2285" spans="14:14" x14ac:dyDescent="0.35">
      <c r="N2285" s="676"/>
    </row>
    <row r="2286" spans="14:14" x14ac:dyDescent="0.35">
      <c r="N2286" s="676"/>
    </row>
    <row r="2287" spans="14:14" x14ac:dyDescent="0.35">
      <c r="N2287" s="676"/>
    </row>
    <row r="2288" spans="14:14" x14ac:dyDescent="0.35">
      <c r="N2288" s="676"/>
    </row>
    <row r="2289" spans="14:14" x14ac:dyDescent="0.35">
      <c r="N2289" s="676"/>
    </row>
    <row r="2290" spans="14:14" x14ac:dyDescent="0.35">
      <c r="N2290" s="676"/>
    </row>
    <row r="2291" spans="14:14" x14ac:dyDescent="0.35">
      <c r="N2291" s="676"/>
    </row>
    <row r="2292" spans="14:14" x14ac:dyDescent="0.35">
      <c r="N2292" s="676"/>
    </row>
    <row r="2293" spans="14:14" x14ac:dyDescent="0.35">
      <c r="N2293" s="676"/>
    </row>
    <row r="2294" spans="14:14" x14ac:dyDescent="0.35">
      <c r="N2294" s="676"/>
    </row>
    <row r="2295" spans="14:14" x14ac:dyDescent="0.35">
      <c r="N2295" s="676"/>
    </row>
    <row r="2296" spans="14:14" x14ac:dyDescent="0.35">
      <c r="N2296" s="676"/>
    </row>
    <row r="2297" spans="14:14" x14ac:dyDescent="0.35">
      <c r="N2297" s="676"/>
    </row>
    <row r="2298" spans="14:14" x14ac:dyDescent="0.35">
      <c r="N2298" s="676"/>
    </row>
    <row r="2299" spans="14:14" x14ac:dyDescent="0.35">
      <c r="N2299" s="676"/>
    </row>
    <row r="2300" spans="14:14" x14ac:dyDescent="0.35">
      <c r="N2300" s="676"/>
    </row>
    <row r="2301" spans="14:14" x14ac:dyDescent="0.35">
      <c r="N2301" s="676"/>
    </row>
    <row r="2302" spans="14:14" x14ac:dyDescent="0.35">
      <c r="N2302" s="676"/>
    </row>
    <row r="2303" spans="14:14" x14ac:dyDescent="0.35">
      <c r="N2303" s="676"/>
    </row>
    <row r="2304" spans="14:14" x14ac:dyDescent="0.35">
      <c r="N2304" s="676"/>
    </row>
    <row r="2305" spans="14:14" x14ac:dyDescent="0.35">
      <c r="N2305" s="676"/>
    </row>
    <row r="2306" spans="14:14" x14ac:dyDescent="0.35">
      <c r="N2306" s="676"/>
    </row>
    <row r="2307" spans="14:14" x14ac:dyDescent="0.35">
      <c r="N2307" s="676"/>
    </row>
    <row r="2308" spans="14:14" x14ac:dyDescent="0.35">
      <c r="N2308" s="676"/>
    </row>
    <row r="2309" spans="14:14" x14ac:dyDescent="0.35">
      <c r="N2309" s="676"/>
    </row>
    <row r="2310" spans="14:14" x14ac:dyDescent="0.35">
      <c r="N2310" s="676"/>
    </row>
    <row r="2311" spans="14:14" x14ac:dyDescent="0.35">
      <c r="N2311" s="676"/>
    </row>
    <row r="2312" spans="14:14" x14ac:dyDescent="0.35">
      <c r="N2312" s="676"/>
    </row>
    <row r="2313" spans="14:14" x14ac:dyDescent="0.35">
      <c r="N2313" s="676"/>
    </row>
    <row r="2314" spans="14:14" x14ac:dyDescent="0.35">
      <c r="N2314" s="676"/>
    </row>
    <row r="2315" spans="14:14" x14ac:dyDescent="0.35">
      <c r="N2315" s="676"/>
    </row>
    <row r="2316" spans="14:14" x14ac:dyDescent="0.35">
      <c r="N2316" s="676"/>
    </row>
    <row r="2317" spans="14:14" x14ac:dyDescent="0.35">
      <c r="N2317" s="676"/>
    </row>
    <row r="2318" spans="14:14" x14ac:dyDescent="0.35">
      <c r="N2318" s="676"/>
    </row>
    <row r="2319" spans="14:14" x14ac:dyDescent="0.35">
      <c r="N2319" s="676"/>
    </row>
    <row r="2320" spans="14:14" x14ac:dyDescent="0.35">
      <c r="N2320" s="676"/>
    </row>
    <row r="2321" spans="14:14" x14ac:dyDescent="0.35">
      <c r="N2321" s="676"/>
    </row>
    <row r="2322" spans="14:14" x14ac:dyDescent="0.35">
      <c r="N2322" s="676"/>
    </row>
    <row r="2323" spans="14:14" x14ac:dyDescent="0.35">
      <c r="N2323" s="676"/>
    </row>
    <row r="2324" spans="14:14" x14ac:dyDescent="0.35">
      <c r="N2324" s="676"/>
    </row>
    <row r="2325" spans="14:14" x14ac:dyDescent="0.35">
      <c r="N2325" s="676"/>
    </row>
    <row r="2326" spans="14:14" x14ac:dyDescent="0.35">
      <c r="N2326" s="676"/>
    </row>
    <row r="2327" spans="14:14" x14ac:dyDescent="0.35">
      <c r="N2327" s="676"/>
    </row>
    <row r="2328" spans="14:14" x14ac:dyDescent="0.35">
      <c r="N2328" s="676"/>
    </row>
    <row r="2329" spans="14:14" x14ac:dyDescent="0.35">
      <c r="N2329" s="676"/>
    </row>
    <row r="2330" spans="14:14" x14ac:dyDescent="0.35">
      <c r="N2330" s="676"/>
    </row>
    <row r="2331" spans="14:14" x14ac:dyDescent="0.35">
      <c r="N2331" s="676"/>
    </row>
    <row r="2332" spans="14:14" x14ac:dyDescent="0.35">
      <c r="N2332" s="676"/>
    </row>
    <row r="2333" spans="14:14" x14ac:dyDescent="0.35">
      <c r="N2333" s="676"/>
    </row>
    <row r="2334" spans="14:14" x14ac:dyDescent="0.35">
      <c r="N2334" s="676"/>
    </row>
    <row r="2335" spans="14:14" x14ac:dyDescent="0.35">
      <c r="N2335" s="676"/>
    </row>
    <row r="2336" spans="14:14" x14ac:dyDescent="0.35">
      <c r="N2336" s="676"/>
    </row>
    <row r="2337" spans="14:14" x14ac:dyDescent="0.35">
      <c r="N2337" s="676"/>
    </row>
    <row r="2338" spans="14:14" x14ac:dyDescent="0.35">
      <c r="N2338" s="676"/>
    </row>
    <row r="2339" spans="14:14" x14ac:dyDescent="0.35">
      <c r="N2339" s="676"/>
    </row>
    <row r="2340" spans="14:14" x14ac:dyDescent="0.35">
      <c r="N2340" s="676"/>
    </row>
    <row r="2341" spans="14:14" x14ac:dyDescent="0.35">
      <c r="N2341" s="676"/>
    </row>
    <row r="2342" spans="14:14" x14ac:dyDescent="0.35">
      <c r="N2342" s="676"/>
    </row>
    <row r="2343" spans="14:14" x14ac:dyDescent="0.35">
      <c r="N2343" s="676"/>
    </row>
    <row r="2344" spans="14:14" x14ac:dyDescent="0.35">
      <c r="N2344" s="676"/>
    </row>
    <row r="2345" spans="14:14" x14ac:dyDescent="0.35">
      <c r="N2345" s="676"/>
    </row>
    <row r="2346" spans="14:14" x14ac:dyDescent="0.35">
      <c r="N2346" s="676"/>
    </row>
    <row r="2347" spans="14:14" x14ac:dyDescent="0.35">
      <c r="N2347" s="676"/>
    </row>
    <row r="2348" spans="14:14" x14ac:dyDescent="0.35">
      <c r="N2348" s="676"/>
    </row>
    <row r="2349" spans="14:14" x14ac:dyDescent="0.35">
      <c r="N2349" s="676"/>
    </row>
    <row r="2350" spans="14:14" x14ac:dyDescent="0.35">
      <c r="N2350" s="676"/>
    </row>
    <row r="2351" spans="14:14" x14ac:dyDescent="0.35">
      <c r="N2351" s="676"/>
    </row>
    <row r="2352" spans="14:14" x14ac:dyDescent="0.35">
      <c r="N2352" s="676"/>
    </row>
    <row r="2353" spans="14:14" x14ac:dyDescent="0.35">
      <c r="N2353" s="676"/>
    </row>
    <row r="2354" spans="14:14" x14ac:dyDescent="0.35">
      <c r="N2354" s="676"/>
    </row>
    <row r="2355" spans="14:14" x14ac:dyDescent="0.35">
      <c r="N2355" s="676"/>
    </row>
    <row r="2356" spans="14:14" x14ac:dyDescent="0.35">
      <c r="N2356" s="676"/>
    </row>
    <row r="2357" spans="14:14" x14ac:dyDescent="0.35">
      <c r="N2357" s="676"/>
    </row>
    <row r="2358" spans="14:14" x14ac:dyDescent="0.35">
      <c r="N2358" s="676"/>
    </row>
    <row r="2359" spans="14:14" x14ac:dyDescent="0.35">
      <c r="N2359" s="676"/>
    </row>
    <row r="2360" spans="14:14" x14ac:dyDescent="0.35">
      <c r="N2360" s="676"/>
    </row>
    <row r="2361" spans="14:14" x14ac:dyDescent="0.35">
      <c r="N2361" s="676"/>
    </row>
    <row r="2362" spans="14:14" x14ac:dyDescent="0.35">
      <c r="N2362" s="676"/>
    </row>
    <row r="2363" spans="14:14" x14ac:dyDescent="0.35">
      <c r="N2363" s="676"/>
    </row>
    <row r="2364" spans="14:14" x14ac:dyDescent="0.35">
      <c r="N2364" s="676"/>
    </row>
    <row r="2365" spans="14:14" x14ac:dyDescent="0.35">
      <c r="N2365" s="676"/>
    </row>
    <row r="2366" spans="14:14" x14ac:dyDescent="0.35">
      <c r="N2366" s="676"/>
    </row>
    <row r="2367" spans="14:14" x14ac:dyDescent="0.35">
      <c r="N2367" s="676"/>
    </row>
    <row r="2368" spans="14:14" x14ac:dyDescent="0.35">
      <c r="N2368" s="676"/>
    </row>
    <row r="2369" spans="14:14" x14ac:dyDescent="0.35">
      <c r="N2369" s="676"/>
    </row>
    <row r="2370" spans="14:14" x14ac:dyDescent="0.35">
      <c r="N2370" s="676"/>
    </row>
    <row r="2371" spans="14:14" x14ac:dyDescent="0.35">
      <c r="N2371" s="676"/>
    </row>
    <row r="2372" spans="14:14" x14ac:dyDescent="0.35">
      <c r="N2372" s="676"/>
    </row>
    <row r="2373" spans="14:14" x14ac:dyDescent="0.35">
      <c r="N2373" s="676"/>
    </row>
    <row r="2374" spans="14:14" x14ac:dyDescent="0.35">
      <c r="N2374" s="676"/>
    </row>
    <row r="2375" spans="14:14" x14ac:dyDescent="0.35">
      <c r="N2375" s="676"/>
    </row>
    <row r="2376" spans="14:14" x14ac:dyDescent="0.35">
      <c r="N2376" s="676"/>
    </row>
    <row r="2377" spans="14:14" x14ac:dyDescent="0.35">
      <c r="N2377" s="676"/>
    </row>
    <row r="2378" spans="14:14" x14ac:dyDescent="0.35">
      <c r="N2378" s="676"/>
    </row>
    <row r="2379" spans="14:14" x14ac:dyDescent="0.35">
      <c r="N2379" s="676"/>
    </row>
    <row r="2380" spans="14:14" x14ac:dyDescent="0.35">
      <c r="N2380" s="676"/>
    </row>
    <row r="2381" spans="14:14" x14ac:dyDescent="0.35">
      <c r="N2381" s="676"/>
    </row>
    <row r="2382" spans="14:14" x14ac:dyDescent="0.35">
      <c r="N2382" s="676"/>
    </row>
    <row r="2383" spans="14:14" x14ac:dyDescent="0.35">
      <c r="N2383" s="676"/>
    </row>
    <row r="2384" spans="14:14" x14ac:dyDescent="0.35">
      <c r="N2384" s="676"/>
    </row>
    <row r="2385" spans="14:14" x14ac:dyDescent="0.35">
      <c r="N2385" s="676"/>
    </row>
    <row r="2386" spans="14:14" x14ac:dyDescent="0.35">
      <c r="N2386" s="676"/>
    </row>
    <row r="2387" spans="14:14" x14ac:dyDescent="0.35">
      <c r="N2387" s="676"/>
    </row>
    <row r="2388" spans="14:14" x14ac:dyDescent="0.35">
      <c r="N2388" s="676"/>
    </row>
    <row r="2389" spans="14:14" x14ac:dyDescent="0.35">
      <c r="N2389" s="676"/>
    </row>
    <row r="2390" spans="14:14" x14ac:dyDescent="0.35">
      <c r="N2390" s="676"/>
    </row>
    <row r="2391" spans="14:14" x14ac:dyDescent="0.35">
      <c r="N2391" s="676"/>
    </row>
    <row r="2392" spans="14:14" x14ac:dyDescent="0.35">
      <c r="N2392" s="676"/>
    </row>
    <row r="2393" spans="14:14" x14ac:dyDescent="0.35">
      <c r="N2393" s="676"/>
    </row>
    <row r="2394" spans="14:14" x14ac:dyDescent="0.35">
      <c r="N2394" s="676"/>
    </row>
    <row r="2395" spans="14:14" x14ac:dyDescent="0.35">
      <c r="N2395" s="676"/>
    </row>
    <row r="2396" spans="14:14" x14ac:dyDescent="0.35">
      <c r="N2396" s="676"/>
    </row>
    <row r="2397" spans="14:14" x14ac:dyDescent="0.35">
      <c r="N2397" s="676"/>
    </row>
    <row r="2398" spans="14:14" x14ac:dyDescent="0.35">
      <c r="N2398" s="676"/>
    </row>
    <row r="2399" spans="14:14" x14ac:dyDescent="0.35">
      <c r="N2399" s="676"/>
    </row>
    <row r="2400" spans="14:14" x14ac:dyDescent="0.35">
      <c r="N2400" s="676"/>
    </row>
    <row r="2401" spans="14:14" x14ac:dyDescent="0.35">
      <c r="N2401" s="676"/>
    </row>
    <row r="2402" spans="14:14" x14ac:dyDescent="0.35">
      <c r="N2402" s="676"/>
    </row>
    <row r="2403" spans="14:14" x14ac:dyDescent="0.35">
      <c r="N2403" s="676"/>
    </row>
    <row r="2404" spans="14:14" x14ac:dyDescent="0.35">
      <c r="N2404" s="676"/>
    </row>
    <row r="2405" spans="14:14" x14ac:dyDescent="0.35">
      <c r="N2405" s="676"/>
    </row>
    <row r="2406" spans="14:14" x14ac:dyDescent="0.35">
      <c r="N2406" s="676"/>
    </row>
    <row r="2407" spans="14:14" x14ac:dyDescent="0.35">
      <c r="N2407" s="676"/>
    </row>
    <row r="2408" spans="14:14" x14ac:dyDescent="0.35">
      <c r="N2408" s="676"/>
    </row>
    <row r="2409" spans="14:14" x14ac:dyDescent="0.35">
      <c r="N2409" s="676"/>
    </row>
    <row r="2410" spans="14:14" x14ac:dyDescent="0.35">
      <c r="N2410" s="676"/>
    </row>
    <row r="2411" spans="14:14" x14ac:dyDescent="0.35">
      <c r="N2411" s="676"/>
    </row>
    <row r="2412" spans="14:14" x14ac:dyDescent="0.35">
      <c r="N2412" s="676"/>
    </row>
    <row r="2413" spans="14:14" x14ac:dyDescent="0.35">
      <c r="N2413" s="676"/>
    </row>
    <row r="2414" spans="14:14" x14ac:dyDescent="0.35">
      <c r="N2414" s="676"/>
    </row>
    <row r="2415" spans="14:14" x14ac:dyDescent="0.35">
      <c r="N2415" s="676"/>
    </row>
    <row r="2416" spans="14:14" x14ac:dyDescent="0.35">
      <c r="N2416" s="676"/>
    </row>
    <row r="2417" spans="14:14" x14ac:dyDescent="0.35">
      <c r="N2417" s="676"/>
    </row>
    <row r="2418" spans="14:14" x14ac:dyDescent="0.35">
      <c r="N2418" s="676"/>
    </row>
    <row r="2419" spans="14:14" x14ac:dyDescent="0.35">
      <c r="N2419" s="676"/>
    </row>
    <row r="2420" spans="14:14" x14ac:dyDescent="0.35">
      <c r="N2420" s="676"/>
    </row>
    <row r="2421" spans="14:14" x14ac:dyDescent="0.35">
      <c r="N2421" s="676"/>
    </row>
    <row r="2422" spans="14:14" x14ac:dyDescent="0.35">
      <c r="N2422" s="676"/>
    </row>
    <row r="2423" spans="14:14" x14ac:dyDescent="0.35">
      <c r="N2423" s="676"/>
    </row>
    <row r="2424" spans="14:14" x14ac:dyDescent="0.35">
      <c r="N2424" s="676"/>
    </row>
    <row r="2425" spans="14:14" x14ac:dyDescent="0.35">
      <c r="N2425" s="676"/>
    </row>
    <row r="2426" spans="14:14" x14ac:dyDescent="0.35">
      <c r="N2426" s="676"/>
    </row>
    <row r="2427" spans="14:14" x14ac:dyDescent="0.35">
      <c r="N2427" s="676"/>
    </row>
    <row r="2428" spans="14:14" x14ac:dyDescent="0.35">
      <c r="N2428" s="676"/>
    </row>
    <row r="2429" spans="14:14" x14ac:dyDescent="0.35">
      <c r="N2429" s="676"/>
    </row>
    <row r="2430" spans="14:14" x14ac:dyDescent="0.35">
      <c r="N2430" s="676"/>
    </row>
    <row r="2431" spans="14:14" x14ac:dyDescent="0.35">
      <c r="N2431" s="676"/>
    </row>
    <row r="2432" spans="14:14" x14ac:dyDescent="0.35">
      <c r="N2432" s="676"/>
    </row>
    <row r="2433" spans="14:14" x14ac:dyDescent="0.35">
      <c r="N2433" s="676"/>
    </row>
    <row r="2434" spans="14:14" x14ac:dyDescent="0.35">
      <c r="N2434" s="676"/>
    </row>
    <row r="2435" spans="14:14" x14ac:dyDescent="0.35">
      <c r="N2435" s="676"/>
    </row>
    <row r="2436" spans="14:14" x14ac:dyDescent="0.35">
      <c r="N2436" s="676"/>
    </row>
    <row r="2437" spans="14:14" x14ac:dyDescent="0.35">
      <c r="N2437" s="676"/>
    </row>
    <row r="2438" spans="14:14" x14ac:dyDescent="0.35">
      <c r="N2438" s="676"/>
    </row>
    <row r="2439" spans="14:14" x14ac:dyDescent="0.35">
      <c r="N2439" s="676"/>
    </row>
    <row r="2440" spans="14:14" x14ac:dyDescent="0.35">
      <c r="N2440" s="676"/>
    </row>
    <row r="2441" spans="14:14" x14ac:dyDescent="0.35">
      <c r="N2441" s="676"/>
    </row>
    <row r="2442" spans="14:14" x14ac:dyDescent="0.35">
      <c r="N2442" s="676"/>
    </row>
    <row r="2443" spans="14:14" x14ac:dyDescent="0.35">
      <c r="N2443" s="676"/>
    </row>
    <row r="2444" spans="14:14" x14ac:dyDescent="0.35">
      <c r="N2444" s="676"/>
    </row>
    <row r="2445" spans="14:14" x14ac:dyDescent="0.35">
      <c r="N2445" s="676"/>
    </row>
    <row r="2446" spans="14:14" x14ac:dyDescent="0.35">
      <c r="N2446" s="676"/>
    </row>
    <row r="2447" spans="14:14" x14ac:dyDescent="0.35">
      <c r="N2447" s="676"/>
    </row>
    <row r="2448" spans="14:14" x14ac:dyDescent="0.35">
      <c r="N2448" s="676"/>
    </row>
    <row r="2449" spans="14:14" x14ac:dyDescent="0.35">
      <c r="N2449" s="676"/>
    </row>
    <row r="2450" spans="14:14" x14ac:dyDescent="0.35">
      <c r="N2450" s="676"/>
    </row>
    <row r="2451" spans="14:14" x14ac:dyDescent="0.35">
      <c r="N2451" s="676"/>
    </row>
    <row r="2452" spans="14:14" x14ac:dyDescent="0.35">
      <c r="N2452" s="676"/>
    </row>
    <row r="2453" spans="14:14" x14ac:dyDescent="0.35">
      <c r="N2453" s="676"/>
    </row>
    <row r="2454" spans="14:14" x14ac:dyDescent="0.35">
      <c r="N2454" s="676"/>
    </row>
    <row r="2455" spans="14:14" x14ac:dyDescent="0.35">
      <c r="N2455" s="676"/>
    </row>
    <row r="2456" spans="14:14" x14ac:dyDescent="0.35">
      <c r="N2456" s="676"/>
    </row>
    <row r="2457" spans="14:14" x14ac:dyDescent="0.35">
      <c r="N2457" s="676"/>
    </row>
    <row r="2458" spans="14:14" x14ac:dyDescent="0.35">
      <c r="N2458" s="676"/>
    </row>
    <row r="2459" spans="14:14" x14ac:dyDescent="0.35">
      <c r="N2459" s="676"/>
    </row>
    <row r="2460" spans="14:14" x14ac:dyDescent="0.35">
      <c r="N2460" s="676"/>
    </row>
    <row r="2461" spans="14:14" x14ac:dyDescent="0.35">
      <c r="N2461" s="676"/>
    </row>
    <row r="2462" spans="14:14" x14ac:dyDescent="0.35">
      <c r="N2462" s="676"/>
    </row>
    <row r="2463" spans="14:14" x14ac:dyDescent="0.35">
      <c r="N2463" s="676"/>
    </row>
    <row r="2464" spans="14:14" x14ac:dyDescent="0.35">
      <c r="N2464" s="676"/>
    </row>
    <row r="2465" spans="14:14" x14ac:dyDescent="0.35">
      <c r="N2465" s="676"/>
    </row>
    <row r="2466" spans="14:14" x14ac:dyDescent="0.35">
      <c r="N2466" s="676"/>
    </row>
    <row r="2467" spans="14:14" x14ac:dyDescent="0.35">
      <c r="N2467" s="676"/>
    </row>
    <row r="2468" spans="14:14" x14ac:dyDescent="0.35">
      <c r="N2468" s="676"/>
    </row>
    <row r="2469" spans="14:14" x14ac:dyDescent="0.35">
      <c r="N2469" s="676"/>
    </row>
    <row r="2470" spans="14:14" x14ac:dyDescent="0.35">
      <c r="N2470" s="676"/>
    </row>
    <row r="2471" spans="14:14" x14ac:dyDescent="0.35">
      <c r="N2471" s="676"/>
    </row>
    <row r="2472" spans="14:14" x14ac:dyDescent="0.35">
      <c r="N2472" s="676"/>
    </row>
    <row r="2473" spans="14:14" x14ac:dyDescent="0.35">
      <c r="N2473" s="676"/>
    </row>
    <row r="2474" spans="14:14" x14ac:dyDescent="0.35">
      <c r="N2474" s="676"/>
    </row>
    <row r="2475" spans="14:14" x14ac:dyDescent="0.35">
      <c r="N2475" s="676"/>
    </row>
    <row r="2476" spans="14:14" x14ac:dyDescent="0.35">
      <c r="N2476" s="676"/>
    </row>
    <row r="2477" spans="14:14" x14ac:dyDescent="0.35">
      <c r="N2477" s="676"/>
    </row>
    <row r="2478" spans="14:14" x14ac:dyDescent="0.35">
      <c r="N2478" s="676"/>
    </row>
    <row r="2479" spans="14:14" x14ac:dyDescent="0.35">
      <c r="N2479" s="676"/>
    </row>
    <row r="2480" spans="14:14" x14ac:dyDescent="0.35">
      <c r="N2480" s="676"/>
    </row>
    <row r="2481" spans="14:14" x14ac:dyDescent="0.35">
      <c r="N2481" s="676"/>
    </row>
    <row r="2482" spans="14:14" x14ac:dyDescent="0.35">
      <c r="N2482" s="676"/>
    </row>
    <row r="2483" spans="14:14" x14ac:dyDescent="0.35">
      <c r="N2483" s="676"/>
    </row>
    <row r="2484" spans="14:14" x14ac:dyDescent="0.35">
      <c r="N2484" s="676"/>
    </row>
    <row r="2485" spans="14:14" x14ac:dyDescent="0.35">
      <c r="N2485" s="676"/>
    </row>
    <row r="2486" spans="14:14" x14ac:dyDescent="0.35">
      <c r="N2486" s="676"/>
    </row>
    <row r="2487" spans="14:14" x14ac:dyDescent="0.35">
      <c r="N2487" s="676"/>
    </row>
    <row r="2488" spans="14:14" x14ac:dyDescent="0.35">
      <c r="N2488" s="676"/>
    </row>
    <row r="2489" spans="14:14" x14ac:dyDescent="0.35">
      <c r="N2489" s="676"/>
    </row>
    <row r="2490" spans="14:14" x14ac:dyDescent="0.35">
      <c r="N2490" s="676"/>
    </row>
    <row r="2491" spans="14:14" x14ac:dyDescent="0.35">
      <c r="N2491" s="676"/>
    </row>
    <row r="2492" spans="14:14" x14ac:dyDescent="0.35">
      <c r="N2492" s="676"/>
    </row>
    <row r="2493" spans="14:14" x14ac:dyDescent="0.35">
      <c r="N2493" s="676"/>
    </row>
    <row r="2494" spans="14:14" x14ac:dyDescent="0.35">
      <c r="N2494" s="676"/>
    </row>
    <row r="2495" spans="14:14" x14ac:dyDescent="0.35">
      <c r="N2495" s="676"/>
    </row>
    <row r="2496" spans="14:14" x14ac:dyDescent="0.35">
      <c r="N2496" s="676"/>
    </row>
    <row r="2497" spans="14:14" x14ac:dyDescent="0.35">
      <c r="N2497" s="676"/>
    </row>
    <row r="2498" spans="14:14" x14ac:dyDescent="0.35">
      <c r="N2498" s="676"/>
    </row>
    <row r="2499" spans="14:14" x14ac:dyDescent="0.35">
      <c r="N2499" s="676"/>
    </row>
    <row r="2500" spans="14:14" x14ac:dyDescent="0.35">
      <c r="N2500" s="676"/>
    </row>
    <row r="2501" spans="14:14" x14ac:dyDescent="0.35">
      <c r="N2501" s="676"/>
    </row>
    <row r="2502" spans="14:14" x14ac:dyDescent="0.35">
      <c r="N2502" s="676"/>
    </row>
    <row r="2503" spans="14:14" x14ac:dyDescent="0.35">
      <c r="N2503" s="676"/>
    </row>
    <row r="2504" spans="14:14" x14ac:dyDescent="0.35">
      <c r="N2504" s="676"/>
    </row>
    <row r="2505" spans="14:14" x14ac:dyDescent="0.35">
      <c r="N2505" s="676"/>
    </row>
    <row r="2506" spans="14:14" x14ac:dyDescent="0.35">
      <c r="N2506" s="676"/>
    </row>
    <row r="2507" spans="14:14" x14ac:dyDescent="0.35">
      <c r="N2507" s="676"/>
    </row>
    <row r="2508" spans="14:14" x14ac:dyDescent="0.35">
      <c r="N2508" s="676"/>
    </row>
    <row r="2509" spans="14:14" x14ac:dyDescent="0.35">
      <c r="N2509" s="676"/>
    </row>
    <row r="2510" spans="14:14" x14ac:dyDescent="0.35">
      <c r="N2510" s="676"/>
    </row>
    <row r="2511" spans="14:14" x14ac:dyDescent="0.35">
      <c r="N2511" s="676"/>
    </row>
    <row r="2512" spans="14:14" x14ac:dyDescent="0.35">
      <c r="N2512" s="676"/>
    </row>
    <row r="2513" spans="14:14" x14ac:dyDescent="0.35">
      <c r="N2513" s="676"/>
    </row>
    <row r="2514" spans="14:14" x14ac:dyDescent="0.35">
      <c r="N2514" s="676"/>
    </row>
    <row r="2515" spans="14:14" x14ac:dyDescent="0.35">
      <c r="N2515" s="676"/>
    </row>
    <row r="2516" spans="14:14" x14ac:dyDescent="0.35">
      <c r="N2516" s="676"/>
    </row>
    <row r="2517" spans="14:14" x14ac:dyDescent="0.35">
      <c r="N2517" s="676"/>
    </row>
    <row r="2518" spans="14:14" x14ac:dyDescent="0.35">
      <c r="N2518" s="676"/>
    </row>
    <row r="2519" spans="14:14" x14ac:dyDescent="0.35">
      <c r="N2519" s="676"/>
    </row>
    <row r="2520" spans="14:14" x14ac:dyDescent="0.35">
      <c r="N2520" s="676"/>
    </row>
    <row r="2521" spans="14:14" x14ac:dyDescent="0.35">
      <c r="N2521" s="676"/>
    </row>
    <row r="2522" spans="14:14" x14ac:dyDescent="0.35">
      <c r="N2522" s="676"/>
    </row>
    <row r="2523" spans="14:14" x14ac:dyDescent="0.35">
      <c r="N2523" s="676"/>
    </row>
    <row r="2524" spans="14:14" x14ac:dyDescent="0.35">
      <c r="N2524" s="676"/>
    </row>
    <row r="2525" spans="14:14" x14ac:dyDescent="0.35">
      <c r="N2525" s="676"/>
    </row>
    <row r="2526" spans="14:14" x14ac:dyDescent="0.35">
      <c r="N2526" s="676"/>
    </row>
    <row r="2527" spans="14:14" x14ac:dyDescent="0.35">
      <c r="N2527" s="676"/>
    </row>
    <row r="2528" spans="14:14" x14ac:dyDescent="0.35">
      <c r="N2528" s="676"/>
    </row>
    <row r="2529" spans="14:14" x14ac:dyDescent="0.35">
      <c r="N2529" s="676"/>
    </row>
    <row r="2530" spans="14:14" x14ac:dyDescent="0.35">
      <c r="N2530" s="676"/>
    </row>
    <row r="2531" spans="14:14" x14ac:dyDescent="0.35">
      <c r="N2531" s="676"/>
    </row>
    <row r="2532" spans="14:14" x14ac:dyDescent="0.35">
      <c r="N2532" s="676"/>
    </row>
    <row r="2533" spans="14:14" x14ac:dyDescent="0.35">
      <c r="N2533" s="676"/>
    </row>
    <row r="2534" spans="14:14" x14ac:dyDescent="0.35">
      <c r="N2534" s="676"/>
    </row>
    <row r="2535" spans="14:14" x14ac:dyDescent="0.35">
      <c r="N2535" s="676"/>
    </row>
    <row r="2536" spans="14:14" x14ac:dyDescent="0.35">
      <c r="N2536" s="676"/>
    </row>
    <row r="2537" spans="14:14" x14ac:dyDescent="0.35">
      <c r="N2537" s="676"/>
    </row>
    <row r="2538" spans="14:14" x14ac:dyDescent="0.35">
      <c r="N2538" s="676"/>
    </row>
    <row r="2539" spans="14:14" x14ac:dyDescent="0.35">
      <c r="N2539" s="676"/>
    </row>
    <row r="2540" spans="14:14" x14ac:dyDescent="0.35">
      <c r="N2540" s="676"/>
    </row>
    <row r="2541" spans="14:14" x14ac:dyDescent="0.35">
      <c r="N2541" s="676"/>
    </row>
    <row r="2542" spans="14:14" x14ac:dyDescent="0.35">
      <c r="N2542" s="676"/>
    </row>
    <row r="2543" spans="14:14" x14ac:dyDescent="0.35">
      <c r="N2543" s="676"/>
    </row>
    <row r="2544" spans="14:14" x14ac:dyDescent="0.35">
      <c r="N2544" s="676"/>
    </row>
    <row r="2545" spans="14:14" x14ac:dyDescent="0.35">
      <c r="N2545" s="676"/>
    </row>
    <row r="2546" spans="14:14" x14ac:dyDescent="0.35">
      <c r="N2546" s="676"/>
    </row>
    <row r="2547" spans="14:14" x14ac:dyDescent="0.35">
      <c r="N2547" s="676"/>
    </row>
    <row r="2548" spans="14:14" x14ac:dyDescent="0.35">
      <c r="N2548" s="676"/>
    </row>
    <row r="2549" spans="14:14" x14ac:dyDescent="0.35">
      <c r="N2549" s="676"/>
    </row>
    <row r="2550" spans="14:14" x14ac:dyDescent="0.35">
      <c r="N2550" s="676"/>
    </row>
    <row r="2551" spans="14:14" x14ac:dyDescent="0.35">
      <c r="N2551" s="676"/>
    </row>
    <row r="2552" spans="14:14" x14ac:dyDescent="0.35">
      <c r="N2552" s="676"/>
    </row>
    <row r="2553" spans="14:14" x14ac:dyDescent="0.35">
      <c r="N2553" s="676"/>
    </row>
    <row r="2554" spans="14:14" x14ac:dyDescent="0.35">
      <c r="N2554" s="676"/>
    </row>
    <row r="2555" spans="14:14" x14ac:dyDescent="0.35">
      <c r="N2555" s="676"/>
    </row>
    <row r="2556" spans="14:14" x14ac:dyDescent="0.35">
      <c r="N2556" s="676"/>
    </row>
    <row r="2557" spans="14:14" x14ac:dyDescent="0.35">
      <c r="N2557" s="676"/>
    </row>
    <row r="2558" spans="14:14" x14ac:dyDescent="0.35">
      <c r="N2558" s="676"/>
    </row>
    <row r="2559" spans="14:14" x14ac:dyDescent="0.35">
      <c r="N2559" s="676"/>
    </row>
    <row r="2560" spans="14:14" x14ac:dyDescent="0.35">
      <c r="N2560" s="676"/>
    </row>
    <row r="2561" spans="14:14" x14ac:dyDescent="0.35">
      <c r="N2561" s="676"/>
    </row>
    <row r="2562" spans="14:14" x14ac:dyDescent="0.35">
      <c r="N2562" s="676"/>
    </row>
    <row r="2563" spans="14:14" x14ac:dyDescent="0.35">
      <c r="N2563" s="676"/>
    </row>
    <row r="2564" spans="14:14" x14ac:dyDescent="0.35">
      <c r="N2564" s="676"/>
    </row>
    <row r="2565" spans="14:14" x14ac:dyDescent="0.35">
      <c r="N2565" s="676"/>
    </row>
    <row r="2566" spans="14:14" x14ac:dyDescent="0.35">
      <c r="N2566" s="676"/>
    </row>
    <row r="2567" spans="14:14" x14ac:dyDescent="0.35">
      <c r="N2567" s="676"/>
    </row>
    <row r="2568" spans="14:14" x14ac:dyDescent="0.35">
      <c r="N2568" s="676"/>
    </row>
    <row r="2569" spans="14:14" x14ac:dyDescent="0.35">
      <c r="N2569" s="676"/>
    </row>
    <row r="2570" spans="14:14" x14ac:dyDescent="0.35">
      <c r="N2570" s="676"/>
    </row>
    <row r="2571" spans="14:14" x14ac:dyDescent="0.35">
      <c r="N2571" s="676"/>
    </row>
    <row r="2572" spans="14:14" x14ac:dyDescent="0.35">
      <c r="N2572" s="676"/>
    </row>
    <row r="2573" spans="14:14" x14ac:dyDescent="0.35">
      <c r="N2573" s="676"/>
    </row>
    <row r="2574" spans="14:14" x14ac:dyDescent="0.35">
      <c r="N2574" s="676"/>
    </row>
    <row r="2575" spans="14:14" x14ac:dyDescent="0.35">
      <c r="N2575" s="676"/>
    </row>
    <row r="2576" spans="14:14" x14ac:dyDescent="0.35">
      <c r="N2576" s="676"/>
    </row>
    <row r="2577" spans="14:14" x14ac:dyDescent="0.35">
      <c r="N2577" s="676"/>
    </row>
    <row r="2578" spans="14:14" x14ac:dyDescent="0.35">
      <c r="N2578" s="676"/>
    </row>
    <row r="2579" spans="14:14" x14ac:dyDescent="0.35">
      <c r="N2579" s="676"/>
    </row>
    <row r="2580" spans="14:14" x14ac:dyDescent="0.35">
      <c r="N2580" s="676"/>
    </row>
    <row r="2581" spans="14:14" x14ac:dyDescent="0.35">
      <c r="N2581" s="676"/>
    </row>
    <row r="2582" spans="14:14" x14ac:dyDescent="0.35">
      <c r="N2582" s="676"/>
    </row>
    <row r="2583" spans="14:14" x14ac:dyDescent="0.35">
      <c r="N2583" s="676"/>
    </row>
    <row r="2584" spans="14:14" x14ac:dyDescent="0.35">
      <c r="N2584" s="676"/>
    </row>
    <row r="2585" spans="14:14" x14ac:dyDescent="0.35">
      <c r="N2585" s="676"/>
    </row>
    <row r="2586" spans="14:14" x14ac:dyDescent="0.35">
      <c r="N2586" s="676"/>
    </row>
    <row r="2587" spans="14:14" x14ac:dyDescent="0.35">
      <c r="N2587" s="676"/>
    </row>
    <row r="2588" spans="14:14" x14ac:dyDescent="0.35">
      <c r="N2588" s="676"/>
    </row>
    <row r="2589" spans="14:14" x14ac:dyDescent="0.35">
      <c r="N2589" s="676"/>
    </row>
    <row r="2590" spans="14:14" x14ac:dyDescent="0.35">
      <c r="N2590" s="676"/>
    </row>
    <row r="2591" spans="14:14" x14ac:dyDescent="0.35">
      <c r="N2591" s="676"/>
    </row>
    <row r="2592" spans="14:14" x14ac:dyDescent="0.35">
      <c r="N2592" s="676"/>
    </row>
    <row r="2593" spans="14:14" x14ac:dyDescent="0.35">
      <c r="N2593" s="676"/>
    </row>
    <row r="2594" spans="14:14" x14ac:dyDescent="0.35">
      <c r="N2594" s="676"/>
    </row>
    <row r="2595" spans="14:14" x14ac:dyDescent="0.35">
      <c r="N2595" s="676"/>
    </row>
    <row r="2596" spans="14:14" x14ac:dyDescent="0.35">
      <c r="N2596" s="676"/>
    </row>
    <row r="2597" spans="14:14" x14ac:dyDescent="0.35">
      <c r="N2597" s="676"/>
    </row>
    <row r="2598" spans="14:14" x14ac:dyDescent="0.35">
      <c r="N2598" s="676"/>
    </row>
    <row r="2599" spans="14:14" x14ac:dyDescent="0.35">
      <c r="N2599" s="676"/>
    </row>
    <row r="2600" spans="14:14" x14ac:dyDescent="0.35">
      <c r="N2600" s="676"/>
    </row>
    <row r="2601" spans="14:14" x14ac:dyDescent="0.35">
      <c r="N2601" s="676"/>
    </row>
    <row r="2602" spans="14:14" x14ac:dyDescent="0.35">
      <c r="N2602" s="676"/>
    </row>
    <row r="2603" spans="14:14" x14ac:dyDescent="0.35">
      <c r="N2603" s="676"/>
    </row>
    <row r="2604" spans="14:14" x14ac:dyDescent="0.35">
      <c r="N2604" s="676"/>
    </row>
    <row r="2605" spans="14:14" x14ac:dyDescent="0.35">
      <c r="N2605" s="676"/>
    </row>
    <row r="2606" spans="14:14" x14ac:dyDescent="0.35">
      <c r="N2606" s="676"/>
    </row>
    <row r="2607" spans="14:14" x14ac:dyDescent="0.35">
      <c r="N2607" s="676"/>
    </row>
    <row r="2608" spans="14:14" x14ac:dyDescent="0.35">
      <c r="N2608" s="676"/>
    </row>
    <row r="2609" spans="14:14" x14ac:dyDescent="0.35">
      <c r="N2609" s="676"/>
    </row>
    <row r="2610" spans="14:14" x14ac:dyDescent="0.35">
      <c r="N2610" s="676"/>
    </row>
    <row r="2611" spans="14:14" x14ac:dyDescent="0.35">
      <c r="N2611" s="676"/>
    </row>
    <row r="2612" spans="14:14" x14ac:dyDescent="0.35">
      <c r="N2612" s="676"/>
    </row>
    <row r="2613" spans="14:14" x14ac:dyDescent="0.35">
      <c r="N2613" s="676"/>
    </row>
    <row r="2614" spans="14:14" x14ac:dyDescent="0.35">
      <c r="N2614" s="676"/>
    </row>
    <row r="2615" spans="14:14" x14ac:dyDescent="0.35">
      <c r="N2615" s="676"/>
    </row>
    <row r="2616" spans="14:14" x14ac:dyDescent="0.35">
      <c r="N2616" s="676"/>
    </row>
    <row r="2617" spans="14:14" x14ac:dyDescent="0.35">
      <c r="N2617" s="676"/>
    </row>
    <row r="2618" spans="14:14" x14ac:dyDescent="0.35">
      <c r="N2618" s="676"/>
    </row>
    <row r="2619" spans="14:14" x14ac:dyDescent="0.35">
      <c r="N2619" s="676"/>
    </row>
    <row r="2620" spans="14:14" x14ac:dyDescent="0.35">
      <c r="N2620" s="676"/>
    </row>
    <row r="2621" spans="14:14" x14ac:dyDescent="0.35">
      <c r="N2621" s="676"/>
    </row>
    <row r="2622" spans="14:14" x14ac:dyDescent="0.35">
      <c r="N2622" s="676"/>
    </row>
    <row r="2623" spans="14:14" x14ac:dyDescent="0.35">
      <c r="N2623" s="676"/>
    </row>
    <row r="2624" spans="14:14" x14ac:dyDescent="0.35">
      <c r="N2624" s="676"/>
    </row>
    <row r="2625" spans="14:14" x14ac:dyDescent="0.35">
      <c r="N2625" s="676"/>
    </row>
    <row r="2626" spans="14:14" x14ac:dyDescent="0.35">
      <c r="N2626" s="676"/>
    </row>
    <row r="2627" spans="14:14" x14ac:dyDescent="0.35">
      <c r="N2627" s="676"/>
    </row>
    <row r="2628" spans="14:14" x14ac:dyDescent="0.35">
      <c r="N2628" s="676"/>
    </row>
    <row r="2629" spans="14:14" x14ac:dyDescent="0.35">
      <c r="N2629" s="676"/>
    </row>
    <row r="2630" spans="14:14" x14ac:dyDescent="0.35">
      <c r="N2630" s="676"/>
    </row>
    <row r="2631" spans="14:14" x14ac:dyDescent="0.35">
      <c r="N2631" s="676"/>
    </row>
    <row r="2632" spans="14:14" x14ac:dyDescent="0.35">
      <c r="N2632" s="676"/>
    </row>
    <row r="2633" spans="14:14" x14ac:dyDescent="0.35">
      <c r="N2633" s="676"/>
    </row>
    <row r="2634" spans="14:14" x14ac:dyDescent="0.35">
      <c r="N2634" s="676"/>
    </row>
    <row r="2635" spans="14:14" x14ac:dyDescent="0.35">
      <c r="N2635" s="676"/>
    </row>
    <row r="2636" spans="14:14" x14ac:dyDescent="0.35">
      <c r="N2636" s="676"/>
    </row>
    <row r="2637" spans="14:14" x14ac:dyDescent="0.35">
      <c r="N2637" s="676"/>
    </row>
    <row r="2638" spans="14:14" x14ac:dyDescent="0.35">
      <c r="N2638" s="676"/>
    </row>
    <row r="2639" spans="14:14" x14ac:dyDescent="0.35">
      <c r="N2639" s="676"/>
    </row>
    <row r="2640" spans="14:14" x14ac:dyDescent="0.35">
      <c r="N2640" s="676"/>
    </row>
    <row r="2641" spans="14:14" x14ac:dyDescent="0.35">
      <c r="N2641" s="676"/>
    </row>
    <row r="2642" spans="14:14" x14ac:dyDescent="0.35">
      <c r="N2642" s="676"/>
    </row>
    <row r="2643" spans="14:14" x14ac:dyDescent="0.35">
      <c r="N2643" s="676"/>
    </row>
    <row r="2644" spans="14:14" x14ac:dyDescent="0.35">
      <c r="N2644" s="676"/>
    </row>
    <row r="2645" spans="14:14" x14ac:dyDescent="0.35">
      <c r="N2645" s="676"/>
    </row>
    <row r="2646" spans="14:14" x14ac:dyDescent="0.35">
      <c r="N2646" s="676"/>
    </row>
    <row r="2647" spans="14:14" x14ac:dyDescent="0.35">
      <c r="N2647" s="676"/>
    </row>
    <row r="2648" spans="14:14" x14ac:dyDescent="0.35">
      <c r="N2648" s="676"/>
    </row>
    <row r="2649" spans="14:14" x14ac:dyDescent="0.35">
      <c r="N2649" s="676"/>
    </row>
    <row r="2650" spans="14:14" x14ac:dyDescent="0.35">
      <c r="N2650" s="676"/>
    </row>
    <row r="2651" spans="14:14" x14ac:dyDescent="0.35">
      <c r="N2651" s="676"/>
    </row>
    <row r="2652" spans="14:14" x14ac:dyDescent="0.35">
      <c r="N2652" s="676"/>
    </row>
    <row r="2653" spans="14:14" x14ac:dyDescent="0.35">
      <c r="N2653" s="676"/>
    </row>
    <row r="2654" spans="14:14" x14ac:dyDescent="0.35">
      <c r="N2654" s="676"/>
    </row>
    <row r="2655" spans="14:14" x14ac:dyDescent="0.35">
      <c r="N2655" s="676"/>
    </row>
    <row r="2656" spans="14:14" x14ac:dyDescent="0.35">
      <c r="N2656" s="676"/>
    </row>
    <row r="2657" spans="14:14" x14ac:dyDescent="0.35">
      <c r="N2657" s="676"/>
    </row>
    <row r="2658" spans="14:14" x14ac:dyDescent="0.35">
      <c r="N2658" s="676"/>
    </row>
    <row r="2659" spans="14:14" x14ac:dyDescent="0.35">
      <c r="N2659" s="676"/>
    </row>
    <row r="2660" spans="14:14" x14ac:dyDescent="0.35">
      <c r="N2660" s="676"/>
    </row>
    <row r="2661" spans="14:14" x14ac:dyDescent="0.35">
      <c r="N2661" s="676"/>
    </row>
    <row r="2662" spans="14:14" x14ac:dyDescent="0.35">
      <c r="N2662" s="676"/>
    </row>
    <row r="2663" spans="14:14" x14ac:dyDescent="0.35">
      <c r="N2663" s="676"/>
    </row>
    <row r="2664" spans="14:14" x14ac:dyDescent="0.35">
      <c r="N2664" s="676"/>
    </row>
    <row r="2665" spans="14:14" x14ac:dyDescent="0.35">
      <c r="N2665" s="676"/>
    </row>
    <row r="2666" spans="14:14" x14ac:dyDescent="0.35">
      <c r="N2666" s="676"/>
    </row>
    <row r="2667" spans="14:14" x14ac:dyDescent="0.35">
      <c r="N2667" s="676"/>
    </row>
    <row r="2668" spans="14:14" x14ac:dyDescent="0.35">
      <c r="N2668" s="676"/>
    </row>
    <row r="2669" spans="14:14" x14ac:dyDescent="0.35">
      <c r="N2669" s="676"/>
    </row>
    <row r="2670" spans="14:14" x14ac:dyDescent="0.35">
      <c r="N2670" s="676"/>
    </row>
    <row r="2671" spans="14:14" x14ac:dyDescent="0.35">
      <c r="N2671" s="676"/>
    </row>
    <row r="2672" spans="14:14" x14ac:dyDescent="0.35">
      <c r="N2672" s="676"/>
    </row>
    <row r="2673" spans="14:14" x14ac:dyDescent="0.35">
      <c r="N2673" s="676"/>
    </row>
    <row r="2674" spans="14:14" x14ac:dyDescent="0.35">
      <c r="N2674" s="676"/>
    </row>
    <row r="2675" spans="14:14" x14ac:dyDescent="0.35">
      <c r="N2675" s="676"/>
    </row>
    <row r="2676" spans="14:14" x14ac:dyDescent="0.35">
      <c r="N2676" s="676"/>
    </row>
    <row r="2677" spans="14:14" x14ac:dyDescent="0.35">
      <c r="N2677" s="676"/>
    </row>
    <row r="2678" spans="14:14" x14ac:dyDescent="0.35">
      <c r="N2678" s="676"/>
    </row>
    <row r="2679" spans="14:14" x14ac:dyDescent="0.35">
      <c r="N2679" s="676"/>
    </row>
    <row r="2680" spans="14:14" x14ac:dyDescent="0.35">
      <c r="N2680" s="676"/>
    </row>
    <row r="2681" spans="14:14" x14ac:dyDescent="0.35">
      <c r="N2681" s="676"/>
    </row>
    <row r="2682" spans="14:14" x14ac:dyDescent="0.35">
      <c r="N2682" s="676"/>
    </row>
    <row r="2683" spans="14:14" x14ac:dyDescent="0.35">
      <c r="N2683" s="676"/>
    </row>
    <row r="2684" spans="14:14" x14ac:dyDescent="0.35">
      <c r="N2684" s="676"/>
    </row>
    <row r="2685" spans="14:14" x14ac:dyDescent="0.35">
      <c r="N2685" s="676"/>
    </row>
    <row r="2686" spans="14:14" x14ac:dyDescent="0.35">
      <c r="N2686" s="676"/>
    </row>
    <row r="2687" spans="14:14" x14ac:dyDescent="0.35">
      <c r="N2687" s="676"/>
    </row>
    <row r="2688" spans="14:14" x14ac:dyDescent="0.35">
      <c r="N2688" s="676"/>
    </row>
    <row r="2689" spans="14:14" x14ac:dyDescent="0.35">
      <c r="N2689" s="676"/>
    </row>
    <row r="2690" spans="14:14" x14ac:dyDescent="0.35">
      <c r="N2690" s="676"/>
    </row>
    <row r="2691" spans="14:14" x14ac:dyDescent="0.35">
      <c r="N2691" s="676"/>
    </row>
    <row r="2692" spans="14:14" x14ac:dyDescent="0.35">
      <c r="N2692" s="676"/>
    </row>
    <row r="2693" spans="14:14" x14ac:dyDescent="0.35">
      <c r="N2693" s="676"/>
    </row>
    <row r="2694" spans="14:14" x14ac:dyDescent="0.35">
      <c r="N2694" s="676"/>
    </row>
    <row r="2695" spans="14:14" x14ac:dyDescent="0.35">
      <c r="N2695" s="676"/>
    </row>
    <row r="2696" spans="14:14" x14ac:dyDescent="0.35">
      <c r="N2696" s="676"/>
    </row>
    <row r="2697" spans="14:14" x14ac:dyDescent="0.35">
      <c r="N2697" s="676"/>
    </row>
    <row r="2698" spans="14:14" x14ac:dyDescent="0.35">
      <c r="N2698" s="676"/>
    </row>
    <row r="2699" spans="14:14" x14ac:dyDescent="0.35">
      <c r="N2699" s="676"/>
    </row>
    <row r="2700" spans="14:14" x14ac:dyDescent="0.35">
      <c r="N2700" s="676"/>
    </row>
    <row r="2701" spans="14:14" x14ac:dyDescent="0.35">
      <c r="N2701" s="676"/>
    </row>
    <row r="2702" spans="14:14" x14ac:dyDescent="0.35">
      <c r="N2702" s="676"/>
    </row>
    <row r="2703" spans="14:14" x14ac:dyDescent="0.35">
      <c r="N2703" s="676"/>
    </row>
    <row r="2704" spans="14:14" x14ac:dyDescent="0.35">
      <c r="N2704" s="676"/>
    </row>
    <row r="2705" spans="14:14" x14ac:dyDescent="0.35">
      <c r="N2705" s="676"/>
    </row>
    <row r="2706" spans="14:14" x14ac:dyDescent="0.35">
      <c r="N2706" s="676"/>
    </row>
    <row r="2707" spans="14:14" x14ac:dyDescent="0.35">
      <c r="N2707" s="676"/>
    </row>
    <row r="2708" spans="14:14" x14ac:dyDescent="0.35">
      <c r="N2708" s="676"/>
    </row>
    <row r="2709" spans="14:14" x14ac:dyDescent="0.35">
      <c r="N2709" s="676"/>
    </row>
    <row r="2710" spans="14:14" x14ac:dyDescent="0.35">
      <c r="N2710" s="676"/>
    </row>
    <row r="2711" spans="14:14" x14ac:dyDescent="0.35">
      <c r="N2711" s="676"/>
    </row>
    <row r="2712" spans="14:14" x14ac:dyDescent="0.35">
      <c r="N2712" s="676"/>
    </row>
    <row r="2713" spans="14:14" x14ac:dyDescent="0.35">
      <c r="N2713" s="676"/>
    </row>
    <row r="2714" spans="14:14" x14ac:dyDescent="0.35">
      <c r="N2714" s="676"/>
    </row>
    <row r="2715" spans="14:14" x14ac:dyDescent="0.35">
      <c r="N2715" s="676"/>
    </row>
    <row r="2716" spans="14:14" x14ac:dyDescent="0.35">
      <c r="N2716" s="676"/>
    </row>
    <row r="2717" spans="14:14" x14ac:dyDescent="0.35">
      <c r="N2717" s="676"/>
    </row>
    <row r="2718" spans="14:14" x14ac:dyDescent="0.35">
      <c r="N2718" s="676"/>
    </row>
    <row r="2719" spans="14:14" x14ac:dyDescent="0.35">
      <c r="N2719" s="676"/>
    </row>
    <row r="2720" spans="14:14" x14ac:dyDescent="0.35">
      <c r="N2720" s="676"/>
    </row>
    <row r="2721" spans="14:14" x14ac:dyDescent="0.35">
      <c r="N2721" s="676"/>
    </row>
    <row r="2722" spans="14:14" x14ac:dyDescent="0.35">
      <c r="N2722" s="676"/>
    </row>
    <row r="2723" spans="14:14" x14ac:dyDescent="0.35">
      <c r="N2723" s="676"/>
    </row>
    <row r="2724" spans="14:14" x14ac:dyDescent="0.35">
      <c r="N2724" s="676"/>
    </row>
    <row r="2725" spans="14:14" x14ac:dyDescent="0.35">
      <c r="N2725" s="676"/>
    </row>
    <row r="2726" spans="14:14" x14ac:dyDescent="0.35">
      <c r="N2726" s="676"/>
    </row>
    <row r="2727" spans="14:14" x14ac:dyDescent="0.35">
      <c r="N2727" s="676"/>
    </row>
    <row r="2728" spans="14:14" x14ac:dyDescent="0.35">
      <c r="N2728" s="676"/>
    </row>
    <row r="2729" spans="14:14" x14ac:dyDescent="0.35">
      <c r="N2729" s="676"/>
    </row>
    <row r="2730" spans="14:14" x14ac:dyDescent="0.35">
      <c r="N2730" s="676"/>
    </row>
    <row r="2731" spans="14:14" x14ac:dyDescent="0.35">
      <c r="N2731" s="676"/>
    </row>
    <row r="2732" spans="14:14" x14ac:dyDescent="0.35">
      <c r="N2732" s="676"/>
    </row>
    <row r="2733" spans="14:14" x14ac:dyDescent="0.35">
      <c r="N2733" s="676"/>
    </row>
    <row r="2734" spans="14:14" x14ac:dyDescent="0.35">
      <c r="N2734" s="676"/>
    </row>
    <row r="2735" spans="14:14" x14ac:dyDescent="0.35">
      <c r="N2735" s="676"/>
    </row>
    <row r="2736" spans="14:14" x14ac:dyDescent="0.35">
      <c r="N2736" s="676"/>
    </row>
    <row r="2737" spans="14:14" x14ac:dyDescent="0.35">
      <c r="N2737" s="676"/>
    </row>
    <row r="2738" spans="14:14" x14ac:dyDescent="0.35">
      <c r="N2738" s="676"/>
    </row>
    <row r="2739" spans="14:14" x14ac:dyDescent="0.35">
      <c r="N2739" s="676"/>
    </row>
    <row r="2740" spans="14:14" x14ac:dyDescent="0.35">
      <c r="N2740" s="676"/>
    </row>
    <row r="2741" spans="14:14" x14ac:dyDescent="0.35">
      <c r="N2741" s="676"/>
    </row>
    <row r="2742" spans="14:14" x14ac:dyDescent="0.35">
      <c r="N2742" s="676"/>
    </row>
    <row r="2743" spans="14:14" x14ac:dyDescent="0.35">
      <c r="N2743" s="676"/>
    </row>
    <row r="2744" spans="14:14" x14ac:dyDescent="0.35">
      <c r="N2744" s="676"/>
    </row>
    <row r="2745" spans="14:14" x14ac:dyDescent="0.35">
      <c r="N2745" s="676"/>
    </row>
    <row r="2746" spans="14:14" x14ac:dyDescent="0.35">
      <c r="N2746" s="676"/>
    </row>
    <row r="2747" spans="14:14" x14ac:dyDescent="0.35">
      <c r="N2747" s="676"/>
    </row>
    <row r="2748" spans="14:14" x14ac:dyDescent="0.35">
      <c r="N2748" s="676"/>
    </row>
    <row r="2749" spans="14:14" x14ac:dyDescent="0.35">
      <c r="N2749" s="676"/>
    </row>
    <row r="2750" spans="14:14" x14ac:dyDescent="0.35">
      <c r="N2750" s="676"/>
    </row>
    <row r="2751" spans="14:14" x14ac:dyDescent="0.35">
      <c r="N2751" s="676"/>
    </row>
    <row r="2752" spans="14:14" x14ac:dyDescent="0.35">
      <c r="N2752" s="676"/>
    </row>
    <row r="2753" spans="14:14" x14ac:dyDescent="0.35">
      <c r="N2753" s="676"/>
    </row>
    <row r="2754" spans="14:14" x14ac:dyDescent="0.35">
      <c r="N2754" s="676"/>
    </row>
    <row r="2755" spans="14:14" x14ac:dyDescent="0.35">
      <c r="N2755" s="676"/>
    </row>
    <row r="2756" spans="14:14" x14ac:dyDescent="0.35">
      <c r="N2756" s="676"/>
    </row>
    <row r="2757" spans="14:14" x14ac:dyDescent="0.35">
      <c r="N2757" s="676"/>
    </row>
    <row r="2758" spans="14:14" x14ac:dyDescent="0.35">
      <c r="N2758" s="676"/>
    </row>
    <row r="2759" spans="14:14" x14ac:dyDescent="0.35">
      <c r="N2759" s="676"/>
    </row>
    <row r="2760" spans="14:14" x14ac:dyDescent="0.35">
      <c r="N2760" s="676"/>
    </row>
    <row r="2761" spans="14:14" x14ac:dyDescent="0.35">
      <c r="N2761" s="676"/>
    </row>
    <row r="2762" spans="14:14" x14ac:dyDescent="0.35">
      <c r="N2762" s="676"/>
    </row>
    <row r="2763" spans="14:14" x14ac:dyDescent="0.35">
      <c r="N2763" s="676"/>
    </row>
    <row r="2764" spans="14:14" x14ac:dyDescent="0.35">
      <c r="N2764" s="676"/>
    </row>
    <row r="2765" spans="14:14" x14ac:dyDescent="0.35">
      <c r="N2765" s="676"/>
    </row>
    <row r="2766" spans="14:14" x14ac:dyDescent="0.35">
      <c r="N2766" s="676"/>
    </row>
    <row r="2767" spans="14:14" x14ac:dyDescent="0.35">
      <c r="N2767" s="676"/>
    </row>
    <row r="2768" spans="14:14" x14ac:dyDescent="0.35">
      <c r="N2768" s="676"/>
    </row>
    <row r="2769" spans="14:14" x14ac:dyDescent="0.35">
      <c r="N2769" s="676"/>
    </row>
    <row r="2770" spans="14:14" x14ac:dyDescent="0.35">
      <c r="N2770" s="676"/>
    </row>
    <row r="2771" spans="14:14" x14ac:dyDescent="0.35">
      <c r="N2771" s="676"/>
    </row>
    <row r="2772" spans="14:14" x14ac:dyDescent="0.35">
      <c r="N2772" s="676"/>
    </row>
    <row r="2773" spans="14:14" x14ac:dyDescent="0.35">
      <c r="N2773" s="676"/>
    </row>
    <row r="2774" spans="14:14" x14ac:dyDescent="0.35">
      <c r="N2774" s="676"/>
    </row>
    <row r="2775" spans="14:14" x14ac:dyDescent="0.35">
      <c r="N2775" s="676"/>
    </row>
    <row r="2776" spans="14:14" x14ac:dyDescent="0.35">
      <c r="N2776" s="676"/>
    </row>
    <row r="2777" spans="14:14" x14ac:dyDescent="0.35">
      <c r="N2777" s="676"/>
    </row>
    <row r="2778" spans="14:14" x14ac:dyDescent="0.35">
      <c r="N2778" s="676"/>
    </row>
    <row r="2779" spans="14:14" x14ac:dyDescent="0.35">
      <c r="N2779" s="676"/>
    </row>
    <row r="2780" spans="14:14" x14ac:dyDescent="0.35">
      <c r="N2780" s="676"/>
    </row>
    <row r="2781" spans="14:14" x14ac:dyDescent="0.35">
      <c r="N2781" s="676"/>
    </row>
    <row r="2782" spans="14:14" x14ac:dyDescent="0.35">
      <c r="N2782" s="676"/>
    </row>
    <row r="2783" spans="14:14" x14ac:dyDescent="0.35">
      <c r="N2783" s="676"/>
    </row>
    <row r="2784" spans="14:14" x14ac:dyDescent="0.35">
      <c r="N2784" s="676"/>
    </row>
    <row r="2785" spans="14:14" x14ac:dyDescent="0.35">
      <c r="N2785" s="676"/>
    </row>
    <row r="2786" spans="14:14" x14ac:dyDescent="0.35">
      <c r="N2786" s="676"/>
    </row>
    <row r="2787" spans="14:14" x14ac:dyDescent="0.35">
      <c r="N2787" s="676"/>
    </row>
    <row r="2788" spans="14:14" x14ac:dyDescent="0.35">
      <c r="N2788" s="676"/>
    </row>
    <row r="2789" spans="14:14" x14ac:dyDescent="0.35">
      <c r="N2789" s="676"/>
    </row>
    <row r="2790" spans="14:14" x14ac:dyDescent="0.35">
      <c r="N2790" s="676"/>
    </row>
    <row r="2791" spans="14:14" x14ac:dyDescent="0.35">
      <c r="N2791" s="676"/>
    </row>
    <row r="2792" spans="14:14" x14ac:dyDescent="0.35">
      <c r="N2792" s="676"/>
    </row>
    <row r="2793" spans="14:14" x14ac:dyDescent="0.35">
      <c r="N2793" s="676"/>
    </row>
    <row r="2794" spans="14:14" x14ac:dyDescent="0.35">
      <c r="N2794" s="676"/>
    </row>
    <row r="2795" spans="14:14" x14ac:dyDescent="0.35">
      <c r="N2795" s="676"/>
    </row>
    <row r="2796" spans="14:14" x14ac:dyDescent="0.35">
      <c r="N2796" s="676"/>
    </row>
    <row r="2797" spans="14:14" x14ac:dyDescent="0.35">
      <c r="N2797" s="676"/>
    </row>
    <row r="2798" spans="14:14" x14ac:dyDescent="0.35">
      <c r="N2798" s="676"/>
    </row>
    <row r="2799" spans="14:14" x14ac:dyDescent="0.35">
      <c r="N2799" s="676"/>
    </row>
    <row r="2800" spans="14:14" x14ac:dyDescent="0.35">
      <c r="N2800" s="676"/>
    </row>
    <row r="2801" spans="14:14" x14ac:dyDescent="0.35">
      <c r="N2801" s="676"/>
    </row>
    <row r="2802" spans="14:14" x14ac:dyDescent="0.35">
      <c r="N2802" s="676"/>
    </row>
    <row r="2803" spans="14:14" x14ac:dyDescent="0.35">
      <c r="N2803" s="676"/>
    </row>
    <row r="2804" spans="14:14" x14ac:dyDescent="0.35">
      <c r="N2804" s="676"/>
    </row>
    <row r="2805" spans="14:14" x14ac:dyDescent="0.35">
      <c r="N2805" s="676"/>
    </row>
    <row r="2806" spans="14:14" x14ac:dyDescent="0.35">
      <c r="N2806" s="676"/>
    </row>
    <row r="2807" spans="14:14" x14ac:dyDescent="0.35">
      <c r="N2807" s="676"/>
    </row>
    <row r="2808" spans="14:14" x14ac:dyDescent="0.35">
      <c r="N2808" s="676"/>
    </row>
    <row r="2809" spans="14:14" x14ac:dyDescent="0.35">
      <c r="N2809" s="676"/>
    </row>
    <row r="2810" spans="14:14" x14ac:dyDescent="0.35">
      <c r="N2810" s="676"/>
    </row>
    <row r="2811" spans="14:14" x14ac:dyDescent="0.35">
      <c r="N2811" s="676"/>
    </row>
    <row r="2812" spans="14:14" x14ac:dyDescent="0.35">
      <c r="N2812" s="676"/>
    </row>
    <row r="2813" spans="14:14" x14ac:dyDescent="0.35">
      <c r="N2813" s="676"/>
    </row>
    <row r="2814" spans="14:14" x14ac:dyDescent="0.35">
      <c r="N2814" s="676"/>
    </row>
    <row r="2815" spans="14:14" x14ac:dyDescent="0.35">
      <c r="N2815" s="676"/>
    </row>
    <row r="2816" spans="14:14" x14ac:dyDescent="0.35">
      <c r="N2816" s="676"/>
    </row>
    <row r="2817" spans="14:14" x14ac:dyDescent="0.35">
      <c r="N2817" s="676"/>
    </row>
    <row r="2818" spans="14:14" x14ac:dyDescent="0.35">
      <c r="N2818" s="676"/>
    </row>
    <row r="2819" spans="14:14" x14ac:dyDescent="0.35">
      <c r="N2819" s="676"/>
    </row>
    <row r="2820" spans="14:14" x14ac:dyDescent="0.35">
      <c r="N2820" s="676"/>
    </row>
    <row r="2821" spans="14:14" x14ac:dyDescent="0.35">
      <c r="N2821" s="676"/>
    </row>
    <row r="2822" spans="14:14" x14ac:dyDescent="0.35">
      <c r="N2822" s="676"/>
    </row>
    <row r="2823" spans="14:14" x14ac:dyDescent="0.35">
      <c r="N2823" s="676"/>
    </row>
    <row r="2824" spans="14:14" x14ac:dyDescent="0.35">
      <c r="N2824" s="676"/>
    </row>
    <row r="2825" spans="14:14" x14ac:dyDescent="0.35">
      <c r="N2825" s="676"/>
    </row>
    <row r="2826" spans="14:14" x14ac:dyDescent="0.35">
      <c r="N2826" s="676"/>
    </row>
    <row r="2827" spans="14:14" x14ac:dyDescent="0.35">
      <c r="N2827" s="676"/>
    </row>
    <row r="2828" spans="14:14" x14ac:dyDescent="0.35">
      <c r="N2828" s="676"/>
    </row>
    <row r="2829" spans="14:14" x14ac:dyDescent="0.35">
      <c r="N2829" s="676"/>
    </row>
    <row r="2830" spans="14:14" x14ac:dyDescent="0.35">
      <c r="N2830" s="676"/>
    </row>
    <row r="2831" spans="14:14" x14ac:dyDescent="0.35">
      <c r="N2831" s="676"/>
    </row>
    <row r="2832" spans="14:14" x14ac:dyDescent="0.35">
      <c r="N2832" s="676"/>
    </row>
    <row r="2833" spans="14:14" x14ac:dyDescent="0.35">
      <c r="N2833" s="676"/>
    </row>
    <row r="2834" spans="14:14" x14ac:dyDescent="0.35">
      <c r="N2834" s="676"/>
    </row>
    <row r="2835" spans="14:14" x14ac:dyDescent="0.35">
      <c r="N2835" s="676"/>
    </row>
    <row r="2836" spans="14:14" x14ac:dyDescent="0.35">
      <c r="N2836" s="676"/>
    </row>
    <row r="2837" spans="14:14" x14ac:dyDescent="0.35">
      <c r="N2837" s="676"/>
    </row>
    <row r="2838" spans="14:14" x14ac:dyDescent="0.35">
      <c r="N2838" s="676"/>
    </row>
    <row r="2839" spans="14:14" x14ac:dyDescent="0.35">
      <c r="N2839" s="676"/>
    </row>
    <row r="2840" spans="14:14" x14ac:dyDescent="0.35">
      <c r="N2840" s="676"/>
    </row>
    <row r="2841" spans="14:14" x14ac:dyDescent="0.35">
      <c r="N2841" s="676"/>
    </row>
    <row r="2842" spans="14:14" x14ac:dyDescent="0.35">
      <c r="N2842" s="676"/>
    </row>
    <row r="2843" spans="14:14" x14ac:dyDescent="0.35">
      <c r="N2843" s="676"/>
    </row>
    <row r="2844" spans="14:14" x14ac:dyDescent="0.35">
      <c r="N2844" s="676"/>
    </row>
    <row r="2845" spans="14:14" x14ac:dyDescent="0.35">
      <c r="N2845" s="676"/>
    </row>
    <row r="2846" spans="14:14" x14ac:dyDescent="0.35">
      <c r="N2846" s="676"/>
    </row>
    <row r="2847" spans="14:14" x14ac:dyDescent="0.35">
      <c r="N2847" s="676"/>
    </row>
    <row r="2848" spans="14:14" x14ac:dyDescent="0.35">
      <c r="N2848" s="676"/>
    </row>
    <row r="2849" spans="14:14" x14ac:dyDescent="0.35">
      <c r="N2849" s="676"/>
    </row>
    <row r="2850" spans="14:14" x14ac:dyDescent="0.35">
      <c r="N2850" s="676"/>
    </row>
    <row r="2851" spans="14:14" x14ac:dyDescent="0.35">
      <c r="N2851" s="676"/>
    </row>
    <row r="2852" spans="14:14" x14ac:dyDescent="0.35">
      <c r="N2852" s="676"/>
    </row>
    <row r="2853" spans="14:14" x14ac:dyDescent="0.35">
      <c r="N2853" s="676"/>
    </row>
    <row r="2854" spans="14:14" x14ac:dyDescent="0.35">
      <c r="N2854" s="676"/>
    </row>
    <row r="2855" spans="14:14" x14ac:dyDescent="0.35">
      <c r="N2855" s="676"/>
    </row>
    <row r="2856" spans="14:14" x14ac:dyDescent="0.35">
      <c r="N2856" s="676"/>
    </row>
    <row r="2857" spans="14:14" x14ac:dyDescent="0.35">
      <c r="N2857" s="676"/>
    </row>
    <row r="2858" spans="14:14" x14ac:dyDescent="0.35">
      <c r="N2858" s="676"/>
    </row>
    <row r="2859" spans="14:14" x14ac:dyDescent="0.35">
      <c r="N2859" s="676"/>
    </row>
    <row r="2860" spans="14:14" x14ac:dyDescent="0.35">
      <c r="N2860" s="676"/>
    </row>
    <row r="2861" spans="14:14" x14ac:dyDescent="0.35">
      <c r="N2861" s="676"/>
    </row>
    <row r="2862" spans="14:14" x14ac:dyDescent="0.35">
      <c r="N2862" s="676"/>
    </row>
    <row r="2863" spans="14:14" x14ac:dyDescent="0.35">
      <c r="N2863" s="676"/>
    </row>
    <row r="2864" spans="14:14" x14ac:dyDescent="0.35">
      <c r="N2864" s="676"/>
    </row>
    <row r="2865" spans="14:14" x14ac:dyDescent="0.35">
      <c r="N2865" s="676"/>
    </row>
    <row r="2866" spans="14:14" x14ac:dyDescent="0.35">
      <c r="N2866" s="676"/>
    </row>
    <row r="2867" spans="14:14" x14ac:dyDescent="0.35">
      <c r="N2867" s="676"/>
    </row>
    <row r="2868" spans="14:14" x14ac:dyDescent="0.35">
      <c r="N2868" s="676"/>
    </row>
    <row r="2869" spans="14:14" x14ac:dyDescent="0.35">
      <c r="N2869" s="676"/>
    </row>
    <row r="2870" spans="14:14" x14ac:dyDescent="0.35">
      <c r="N2870" s="676"/>
    </row>
    <row r="2871" spans="14:14" x14ac:dyDescent="0.35">
      <c r="N2871" s="676"/>
    </row>
    <row r="2872" spans="14:14" x14ac:dyDescent="0.35">
      <c r="N2872" s="676"/>
    </row>
    <row r="2873" spans="14:14" x14ac:dyDescent="0.35">
      <c r="N2873" s="676"/>
    </row>
    <row r="2874" spans="14:14" x14ac:dyDescent="0.35">
      <c r="N2874" s="676"/>
    </row>
    <row r="2875" spans="14:14" x14ac:dyDescent="0.35">
      <c r="N2875" s="676"/>
    </row>
    <row r="2876" spans="14:14" x14ac:dyDescent="0.35">
      <c r="N2876" s="676"/>
    </row>
    <row r="2877" spans="14:14" x14ac:dyDescent="0.35">
      <c r="N2877" s="676"/>
    </row>
    <row r="2878" spans="14:14" x14ac:dyDescent="0.35">
      <c r="N2878" s="676"/>
    </row>
    <row r="2879" spans="14:14" x14ac:dyDescent="0.35">
      <c r="N2879" s="676"/>
    </row>
    <row r="2880" spans="14:14" x14ac:dyDescent="0.35">
      <c r="N2880" s="676"/>
    </row>
    <row r="2881" spans="14:14" x14ac:dyDescent="0.35">
      <c r="N2881" s="676"/>
    </row>
    <row r="2882" spans="14:14" x14ac:dyDescent="0.35">
      <c r="N2882" s="676"/>
    </row>
    <row r="2883" spans="14:14" x14ac:dyDescent="0.35">
      <c r="N2883" s="676"/>
    </row>
    <row r="2884" spans="14:14" x14ac:dyDescent="0.35">
      <c r="N2884" s="676"/>
    </row>
    <row r="2885" spans="14:14" x14ac:dyDescent="0.35">
      <c r="N2885" s="676"/>
    </row>
    <row r="2886" spans="14:14" x14ac:dyDescent="0.35">
      <c r="N2886" s="676"/>
    </row>
    <row r="2887" spans="14:14" x14ac:dyDescent="0.35">
      <c r="N2887" s="676"/>
    </row>
    <row r="2888" spans="14:14" x14ac:dyDescent="0.35">
      <c r="N2888" s="676"/>
    </row>
    <row r="2889" spans="14:14" x14ac:dyDescent="0.35">
      <c r="N2889" s="676"/>
    </row>
    <row r="2890" spans="14:14" x14ac:dyDescent="0.35">
      <c r="N2890" s="676"/>
    </row>
    <row r="2891" spans="14:14" x14ac:dyDescent="0.35">
      <c r="N2891" s="676"/>
    </row>
    <row r="2892" spans="14:14" x14ac:dyDescent="0.35">
      <c r="N2892" s="676"/>
    </row>
    <row r="2893" spans="14:14" x14ac:dyDescent="0.35">
      <c r="N2893" s="676"/>
    </row>
    <row r="2894" spans="14:14" x14ac:dyDescent="0.35">
      <c r="N2894" s="676"/>
    </row>
    <row r="2895" spans="14:14" x14ac:dyDescent="0.35">
      <c r="N2895" s="676"/>
    </row>
    <row r="2896" spans="14:14" x14ac:dyDescent="0.35">
      <c r="N2896" s="676"/>
    </row>
    <row r="2897" spans="14:14" x14ac:dyDescent="0.35">
      <c r="N2897" s="676"/>
    </row>
    <row r="2898" spans="14:14" x14ac:dyDescent="0.35">
      <c r="N2898" s="676"/>
    </row>
    <row r="2899" spans="14:14" x14ac:dyDescent="0.35">
      <c r="N2899" s="676"/>
    </row>
    <row r="2900" spans="14:14" x14ac:dyDescent="0.35">
      <c r="N2900" s="676"/>
    </row>
    <row r="2901" spans="14:14" x14ac:dyDescent="0.35">
      <c r="N2901" s="676"/>
    </row>
    <row r="2902" spans="14:14" x14ac:dyDescent="0.35">
      <c r="N2902" s="676"/>
    </row>
    <row r="2903" spans="14:14" x14ac:dyDescent="0.35">
      <c r="N2903" s="676"/>
    </row>
    <row r="2904" spans="14:14" x14ac:dyDescent="0.35">
      <c r="N2904" s="676"/>
    </row>
    <row r="2905" spans="14:14" x14ac:dyDescent="0.35">
      <c r="N2905" s="676"/>
    </row>
    <row r="2906" spans="14:14" x14ac:dyDescent="0.35">
      <c r="N2906" s="676"/>
    </row>
    <row r="2907" spans="14:14" x14ac:dyDescent="0.35">
      <c r="N2907" s="676"/>
    </row>
    <row r="2908" spans="14:14" x14ac:dyDescent="0.35">
      <c r="N2908" s="676"/>
    </row>
    <row r="2909" spans="14:14" x14ac:dyDescent="0.35">
      <c r="N2909" s="676"/>
    </row>
    <row r="2910" spans="14:14" x14ac:dyDescent="0.35">
      <c r="N2910" s="676"/>
    </row>
    <row r="2911" spans="14:14" x14ac:dyDescent="0.35">
      <c r="N2911" s="676"/>
    </row>
    <row r="2912" spans="14:14" x14ac:dyDescent="0.35">
      <c r="N2912" s="676"/>
    </row>
    <row r="2913" spans="14:14" x14ac:dyDescent="0.35">
      <c r="N2913" s="676"/>
    </row>
    <row r="2914" spans="14:14" x14ac:dyDescent="0.35">
      <c r="N2914" s="676"/>
    </row>
    <row r="2915" spans="14:14" x14ac:dyDescent="0.35">
      <c r="N2915" s="676"/>
    </row>
    <row r="2916" spans="14:14" x14ac:dyDescent="0.35">
      <c r="N2916" s="676"/>
    </row>
    <row r="2917" spans="14:14" x14ac:dyDescent="0.35">
      <c r="N2917" s="676"/>
    </row>
    <row r="2918" spans="14:14" x14ac:dyDescent="0.35">
      <c r="N2918" s="676"/>
    </row>
    <row r="2919" spans="14:14" x14ac:dyDescent="0.35">
      <c r="N2919" s="676"/>
    </row>
    <row r="2920" spans="14:14" x14ac:dyDescent="0.35">
      <c r="N2920" s="676"/>
    </row>
    <row r="2921" spans="14:14" x14ac:dyDescent="0.35">
      <c r="N2921" s="676"/>
    </row>
    <row r="2922" spans="14:14" x14ac:dyDescent="0.35">
      <c r="N2922" s="676"/>
    </row>
    <row r="2923" spans="14:14" x14ac:dyDescent="0.35">
      <c r="N2923" s="676"/>
    </row>
    <row r="2924" spans="14:14" x14ac:dyDescent="0.35">
      <c r="N2924" s="676"/>
    </row>
    <row r="2925" spans="14:14" x14ac:dyDescent="0.35">
      <c r="N2925" s="676"/>
    </row>
    <row r="2926" spans="14:14" x14ac:dyDescent="0.35">
      <c r="N2926" s="676"/>
    </row>
    <row r="2927" spans="14:14" x14ac:dyDescent="0.35">
      <c r="N2927" s="676"/>
    </row>
    <row r="2928" spans="14:14" x14ac:dyDescent="0.35">
      <c r="N2928" s="676"/>
    </row>
    <row r="2929" spans="14:14" x14ac:dyDescent="0.35">
      <c r="N2929" s="676"/>
    </row>
    <row r="2930" spans="14:14" x14ac:dyDescent="0.35">
      <c r="N2930" s="676"/>
    </row>
    <row r="2931" spans="14:14" x14ac:dyDescent="0.35">
      <c r="N2931" s="676"/>
    </row>
    <row r="2932" spans="14:14" x14ac:dyDescent="0.35">
      <c r="N2932" s="676"/>
    </row>
    <row r="2933" spans="14:14" x14ac:dyDescent="0.35">
      <c r="N2933" s="676"/>
    </row>
    <row r="2934" spans="14:14" x14ac:dyDescent="0.35">
      <c r="N2934" s="676"/>
    </row>
    <row r="2935" spans="14:14" x14ac:dyDescent="0.35">
      <c r="N2935" s="676"/>
    </row>
    <row r="2936" spans="14:14" x14ac:dyDescent="0.35">
      <c r="N2936" s="676"/>
    </row>
    <row r="2937" spans="14:14" x14ac:dyDescent="0.35">
      <c r="N2937" s="676"/>
    </row>
    <row r="2938" spans="14:14" x14ac:dyDescent="0.35">
      <c r="N2938" s="676"/>
    </row>
    <row r="2939" spans="14:14" x14ac:dyDescent="0.35">
      <c r="N2939" s="676"/>
    </row>
    <row r="2940" spans="14:14" x14ac:dyDescent="0.35">
      <c r="N2940" s="676"/>
    </row>
    <row r="2941" spans="14:14" x14ac:dyDescent="0.35">
      <c r="N2941" s="676"/>
    </row>
    <row r="2942" spans="14:14" x14ac:dyDescent="0.35">
      <c r="N2942" s="676"/>
    </row>
    <row r="2943" spans="14:14" x14ac:dyDescent="0.35">
      <c r="N2943" s="676"/>
    </row>
    <row r="2944" spans="14:14" x14ac:dyDescent="0.35">
      <c r="N2944" s="676"/>
    </row>
    <row r="2945" spans="14:14" x14ac:dyDescent="0.35">
      <c r="N2945" s="676"/>
    </row>
    <row r="2946" spans="14:14" x14ac:dyDescent="0.35">
      <c r="N2946" s="676"/>
    </row>
    <row r="2947" spans="14:14" x14ac:dyDescent="0.35">
      <c r="N2947" s="676"/>
    </row>
    <row r="2948" spans="14:14" x14ac:dyDescent="0.35">
      <c r="N2948" s="676"/>
    </row>
    <row r="2949" spans="14:14" x14ac:dyDescent="0.35">
      <c r="N2949" s="676"/>
    </row>
    <row r="2950" spans="14:14" x14ac:dyDescent="0.35">
      <c r="N2950" s="676"/>
    </row>
    <row r="2951" spans="14:14" x14ac:dyDescent="0.35">
      <c r="N2951" s="676"/>
    </row>
    <row r="2952" spans="14:14" x14ac:dyDescent="0.35">
      <c r="N2952" s="676"/>
    </row>
    <row r="2953" spans="14:14" x14ac:dyDescent="0.35">
      <c r="N2953" s="676"/>
    </row>
    <row r="2954" spans="14:14" x14ac:dyDescent="0.35">
      <c r="N2954" s="676"/>
    </row>
    <row r="2955" spans="14:14" x14ac:dyDescent="0.35">
      <c r="N2955" s="676"/>
    </row>
    <row r="2956" spans="14:14" x14ac:dyDescent="0.35">
      <c r="N2956" s="676"/>
    </row>
    <row r="2957" spans="14:14" x14ac:dyDescent="0.35">
      <c r="N2957" s="676"/>
    </row>
    <row r="2958" spans="14:14" x14ac:dyDescent="0.35">
      <c r="N2958" s="676"/>
    </row>
    <row r="2959" spans="14:14" x14ac:dyDescent="0.35">
      <c r="N2959" s="676"/>
    </row>
    <row r="2960" spans="14:14" x14ac:dyDescent="0.35">
      <c r="N2960" s="676"/>
    </row>
    <row r="2961" spans="14:14" x14ac:dyDescent="0.35">
      <c r="N2961" s="676"/>
    </row>
    <row r="2962" spans="14:14" x14ac:dyDescent="0.35">
      <c r="N2962" s="676"/>
    </row>
    <row r="2963" spans="14:14" x14ac:dyDescent="0.35">
      <c r="N2963" s="676"/>
    </row>
    <row r="2964" spans="14:14" x14ac:dyDescent="0.35">
      <c r="N2964" s="676"/>
    </row>
    <row r="2965" spans="14:14" x14ac:dyDescent="0.35">
      <c r="N2965" s="676"/>
    </row>
    <row r="2966" spans="14:14" x14ac:dyDescent="0.35">
      <c r="N2966" s="676"/>
    </row>
    <row r="2967" spans="14:14" x14ac:dyDescent="0.35">
      <c r="N2967" s="676"/>
    </row>
    <row r="2968" spans="14:14" x14ac:dyDescent="0.35">
      <c r="N2968" s="676"/>
    </row>
    <row r="2969" spans="14:14" x14ac:dyDescent="0.35">
      <c r="N2969" s="676"/>
    </row>
    <row r="2970" spans="14:14" x14ac:dyDescent="0.35">
      <c r="N2970" s="676"/>
    </row>
    <row r="2971" spans="14:14" x14ac:dyDescent="0.35">
      <c r="N2971" s="676"/>
    </row>
    <row r="2972" spans="14:14" x14ac:dyDescent="0.35">
      <c r="N2972" s="676"/>
    </row>
    <row r="2973" spans="14:14" x14ac:dyDescent="0.35">
      <c r="N2973" s="676"/>
    </row>
    <row r="2974" spans="14:14" x14ac:dyDescent="0.35">
      <c r="N2974" s="676"/>
    </row>
    <row r="2975" spans="14:14" x14ac:dyDescent="0.35">
      <c r="N2975" s="676"/>
    </row>
    <row r="2976" spans="14:14" x14ac:dyDescent="0.35">
      <c r="N2976" s="676"/>
    </row>
    <row r="2977" spans="14:14" x14ac:dyDescent="0.35">
      <c r="N2977" s="676"/>
    </row>
    <row r="2978" spans="14:14" x14ac:dyDescent="0.35">
      <c r="N2978" s="676"/>
    </row>
    <row r="2979" spans="14:14" x14ac:dyDescent="0.35">
      <c r="N2979" s="676"/>
    </row>
    <row r="2980" spans="14:14" x14ac:dyDescent="0.35">
      <c r="N2980" s="676"/>
    </row>
    <row r="2981" spans="14:14" x14ac:dyDescent="0.35">
      <c r="N2981" s="676"/>
    </row>
    <row r="2982" spans="14:14" x14ac:dyDescent="0.35">
      <c r="N2982" s="676"/>
    </row>
    <row r="2983" spans="14:14" x14ac:dyDescent="0.35">
      <c r="N2983" s="676"/>
    </row>
    <row r="2984" spans="14:14" x14ac:dyDescent="0.35">
      <c r="N2984" s="676"/>
    </row>
    <row r="2985" spans="14:14" x14ac:dyDescent="0.35">
      <c r="N2985" s="676"/>
    </row>
    <row r="2986" spans="14:14" x14ac:dyDescent="0.35">
      <c r="N2986" s="676"/>
    </row>
    <row r="2987" spans="14:14" x14ac:dyDescent="0.35">
      <c r="N2987" s="676"/>
    </row>
    <row r="2988" spans="14:14" x14ac:dyDescent="0.35">
      <c r="N2988" s="676"/>
    </row>
    <row r="2989" spans="14:14" x14ac:dyDescent="0.35">
      <c r="N2989" s="676"/>
    </row>
    <row r="2990" spans="14:14" x14ac:dyDescent="0.35">
      <c r="N2990" s="676"/>
    </row>
    <row r="2991" spans="14:14" x14ac:dyDescent="0.35">
      <c r="N2991" s="676"/>
    </row>
    <row r="2992" spans="14:14" x14ac:dyDescent="0.35">
      <c r="N2992" s="676"/>
    </row>
    <row r="2993" spans="14:14" x14ac:dyDescent="0.35">
      <c r="N2993" s="676"/>
    </row>
    <row r="2994" spans="14:14" x14ac:dyDescent="0.35">
      <c r="N2994" s="676"/>
    </row>
    <row r="2995" spans="14:14" x14ac:dyDescent="0.35">
      <c r="N2995" s="676"/>
    </row>
    <row r="2996" spans="14:14" x14ac:dyDescent="0.35">
      <c r="N2996" s="676"/>
    </row>
    <row r="2997" spans="14:14" x14ac:dyDescent="0.35">
      <c r="N2997" s="676"/>
    </row>
    <row r="2998" spans="14:14" x14ac:dyDescent="0.35">
      <c r="N2998" s="676"/>
    </row>
    <row r="2999" spans="14:14" x14ac:dyDescent="0.35">
      <c r="N2999" s="676"/>
    </row>
    <row r="3000" spans="14:14" x14ac:dyDescent="0.35">
      <c r="N3000" s="676"/>
    </row>
    <row r="3001" spans="14:14" x14ac:dyDescent="0.35">
      <c r="N3001" s="676"/>
    </row>
    <row r="3002" spans="14:14" x14ac:dyDescent="0.35">
      <c r="N3002" s="676"/>
    </row>
    <row r="3003" spans="14:14" x14ac:dyDescent="0.35">
      <c r="N3003" s="676"/>
    </row>
    <row r="3004" spans="14:14" x14ac:dyDescent="0.35">
      <c r="N3004" s="676"/>
    </row>
    <row r="3005" spans="14:14" x14ac:dyDescent="0.35">
      <c r="N3005" s="676"/>
    </row>
    <row r="3006" spans="14:14" x14ac:dyDescent="0.35">
      <c r="N3006" s="676"/>
    </row>
    <row r="3007" spans="14:14" x14ac:dyDescent="0.35">
      <c r="N3007" s="676"/>
    </row>
    <row r="3008" spans="14:14" x14ac:dyDescent="0.35">
      <c r="N3008" s="676"/>
    </row>
    <row r="3009" spans="14:14" x14ac:dyDescent="0.35">
      <c r="N3009" s="676"/>
    </row>
    <row r="3010" spans="14:14" x14ac:dyDescent="0.35">
      <c r="N3010" s="676"/>
    </row>
    <row r="3011" spans="14:14" x14ac:dyDescent="0.35">
      <c r="N3011" s="676"/>
    </row>
    <row r="3012" spans="14:14" x14ac:dyDescent="0.35">
      <c r="N3012" s="676"/>
    </row>
    <row r="3013" spans="14:14" x14ac:dyDescent="0.35">
      <c r="N3013" s="676"/>
    </row>
    <row r="3014" spans="14:14" x14ac:dyDescent="0.35">
      <c r="N3014" s="676"/>
    </row>
    <row r="3015" spans="14:14" x14ac:dyDescent="0.35">
      <c r="N3015" s="676"/>
    </row>
    <row r="3016" spans="14:14" x14ac:dyDescent="0.35">
      <c r="N3016" s="676"/>
    </row>
    <row r="3017" spans="14:14" x14ac:dyDescent="0.35">
      <c r="N3017" s="676"/>
    </row>
    <row r="3018" spans="14:14" x14ac:dyDescent="0.35">
      <c r="N3018" s="676"/>
    </row>
    <row r="3019" spans="14:14" x14ac:dyDescent="0.35">
      <c r="N3019" s="676"/>
    </row>
    <row r="3020" spans="14:14" x14ac:dyDescent="0.35">
      <c r="N3020" s="676"/>
    </row>
    <row r="3021" spans="14:14" x14ac:dyDescent="0.35">
      <c r="N3021" s="676"/>
    </row>
    <row r="3022" spans="14:14" x14ac:dyDescent="0.35">
      <c r="N3022" s="676"/>
    </row>
    <row r="3023" spans="14:14" x14ac:dyDescent="0.35">
      <c r="N3023" s="676"/>
    </row>
    <row r="3024" spans="14:14" x14ac:dyDescent="0.35">
      <c r="N3024" s="676"/>
    </row>
    <row r="3025" spans="14:14" x14ac:dyDescent="0.35">
      <c r="N3025" s="676"/>
    </row>
    <row r="3026" spans="14:14" x14ac:dyDescent="0.35">
      <c r="N3026" s="676"/>
    </row>
    <row r="3027" spans="14:14" x14ac:dyDescent="0.35">
      <c r="N3027" s="676"/>
    </row>
    <row r="3028" spans="14:14" x14ac:dyDescent="0.35">
      <c r="N3028" s="676"/>
    </row>
    <row r="3029" spans="14:14" x14ac:dyDescent="0.35">
      <c r="N3029" s="676"/>
    </row>
    <row r="3030" spans="14:14" x14ac:dyDescent="0.35">
      <c r="N3030" s="676"/>
    </row>
    <row r="3031" spans="14:14" x14ac:dyDescent="0.35">
      <c r="N3031" s="676"/>
    </row>
    <row r="3032" spans="14:14" x14ac:dyDescent="0.35">
      <c r="N3032" s="676"/>
    </row>
    <row r="3033" spans="14:14" x14ac:dyDescent="0.35">
      <c r="N3033" s="676"/>
    </row>
    <row r="3034" spans="14:14" x14ac:dyDescent="0.35">
      <c r="N3034" s="676"/>
    </row>
    <row r="3035" spans="14:14" x14ac:dyDescent="0.35">
      <c r="N3035" s="676"/>
    </row>
    <row r="3036" spans="14:14" x14ac:dyDescent="0.35">
      <c r="N3036" s="676"/>
    </row>
    <row r="3037" spans="14:14" x14ac:dyDescent="0.35">
      <c r="N3037" s="676"/>
    </row>
    <row r="3038" spans="14:14" x14ac:dyDescent="0.35">
      <c r="N3038" s="676"/>
    </row>
    <row r="3039" spans="14:14" x14ac:dyDescent="0.35">
      <c r="N3039" s="676"/>
    </row>
    <row r="3040" spans="14:14" x14ac:dyDescent="0.35">
      <c r="N3040" s="676"/>
    </row>
    <row r="3041" spans="14:14" x14ac:dyDescent="0.35">
      <c r="N3041" s="676"/>
    </row>
    <row r="3042" spans="14:14" x14ac:dyDescent="0.35">
      <c r="N3042" s="676"/>
    </row>
    <row r="3043" spans="14:14" x14ac:dyDescent="0.35">
      <c r="N3043" s="676"/>
    </row>
    <row r="3044" spans="14:14" x14ac:dyDescent="0.35">
      <c r="N3044" s="676"/>
    </row>
    <row r="3045" spans="14:14" x14ac:dyDescent="0.35">
      <c r="N3045" s="676"/>
    </row>
    <row r="3046" spans="14:14" x14ac:dyDescent="0.35">
      <c r="N3046" s="676"/>
    </row>
    <row r="3047" spans="14:14" x14ac:dyDescent="0.35">
      <c r="N3047" s="676"/>
    </row>
    <row r="3048" spans="14:14" x14ac:dyDescent="0.35">
      <c r="N3048" s="676"/>
    </row>
    <row r="3049" spans="14:14" x14ac:dyDescent="0.35">
      <c r="N3049" s="676"/>
    </row>
    <row r="3050" spans="14:14" x14ac:dyDescent="0.35">
      <c r="N3050" s="676"/>
    </row>
    <row r="3051" spans="14:14" x14ac:dyDescent="0.35">
      <c r="N3051" s="676"/>
    </row>
    <row r="3052" spans="14:14" x14ac:dyDescent="0.35">
      <c r="N3052" s="676"/>
    </row>
    <row r="3053" spans="14:14" x14ac:dyDescent="0.35">
      <c r="N3053" s="676"/>
    </row>
    <row r="3054" spans="14:14" x14ac:dyDescent="0.35">
      <c r="N3054" s="676"/>
    </row>
    <row r="3055" spans="14:14" x14ac:dyDescent="0.35">
      <c r="N3055" s="676"/>
    </row>
    <row r="3056" spans="14:14" x14ac:dyDescent="0.35">
      <c r="N3056" s="676"/>
    </row>
    <row r="3057" spans="14:14" x14ac:dyDescent="0.35">
      <c r="N3057" s="676"/>
    </row>
    <row r="3058" spans="14:14" x14ac:dyDescent="0.35">
      <c r="N3058" s="676"/>
    </row>
    <row r="3059" spans="14:14" x14ac:dyDescent="0.35">
      <c r="N3059" s="676"/>
    </row>
    <row r="3060" spans="14:14" x14ac:dyDescent="0.35">
      <c r="N3060" s="676"/>
    </row>
    <row r="3061" spans="14:14" x14ac:dyDescent="0.35">
      <c r="N3061" s="676"/>
    </row>
    <row r="3062" spans="14:14" x14ac:dyDescent="0.35">
      <c r="N3062" s="676"/>
    </row>
    <row r="3063" spans="14:14" x14ac:dyDescent="0.35">
      <c r="N3063" s="676"/>
    </row>
    <row r="3064" spans="14:14" x14ac:dyDescent="0.35">
      <c r="N3064" s="676"/>
    </row>
    <row r="3065" spans="14:14" x14ac:dyDescent="0.35">
      <c r="N3065" s="676"/>
    </row>
    <row r="3066" spans="14:14" x14ac:dyDescent="0.35">
      <c r="N3066" s="676"/>
    </row>
    <row r="3067" spans="14:14" x14ac:dyDescent="0.35">
      <c r="N3067" s="676"/>
    </row>
    <row r="3068" spans="14:14" x14ac:dyDescent="0.35">
      <c r="N3068" s="676"/>
    </row>
    <row r="3069" spans="14:14" x14ac:dyDescent="0.35">
      <c r="N3069" s="676"/>
    </row>
    <row r="3070" spans="14:14" x14ac:dyDescent="0.35">
      <c r="N3070" s="676"/>
    </row>
    <row r="3071" spans="14:14" x14ac:dyDescent="0.35">
      <c r="N3071" s="676"/>
    </row>
    <row r="3072" spans="14:14" x14ac:dyDescent="0.35">
      <c r="N3072" s="676"/>
    </row>
    <row r="3073" spans="14:14" x14ac:dyDescent="0.35">
      <c r="N3073" s="676"/>
    </row>
    <row r="3074" spans="14:14" x14ac:dyDescent="0.35">
      <c r="N3074" s="676"/>
    </row>
    <row r="3075" spans="14:14" x14ac:dyDescent="0.35">
      <c r="N3075" s="676"/>
    </row>
    <row r="3076" spans="14:14" x14ac:dyDescent="0.35">
      <c r="N3076" s="676"/>
    </row>
    <row r="3077" spans="14:14" x14ac:dyDescent="0.35">
      <c r="N3077" s="676"/>
    </row>
    <row r="3078" spans="14:14" x14ac:dyDescent="0.35">
      <c r="N3078" s="676"/>
    </row>
    <row r="3079" spans="14:14" x14ac:dyDescent="0.35">
      <c r="N3079" s="676"/>
    </row>
    <row r="3080" spans="14:14" x14ac:dyDescent="0.35">
      <c r="N3080" s="676"/>
    </row>
    <row r="3081" spans="14:14" x14ac:dyDescent="0.35">
      <c r="N3081" s="676"/>
    </row>
    <row r="3082" spans="14:14" x14ac:dyDescent="0.35">
      <c r="N3082" s="676"/>
    </row>
    <row r="3083" spans="14:14" x14ac:dyDescent="0.35">
      <c r="N3083" s="676"/>
    </row>
    <row r="3084" spans="14:14" x14ac:dyDescent="0.35">
      <c r="N3084" s="676"/>
    </row>
    <row r="3085" spans="14:14" x14ac:dyDescent="0.35">
      <c r="N3085" s="676"/>
    </row>
    <row r="3086" spans="14:14" x14ac:dyDescent="0.35">
      <c r="N3086" s="676"/>
    </row>
    <row r="3087" spans="14:14" x14ac:dyDescent="0.35">
      <c r="N3087" s="676"/>
    </row>
    <row r="3088" spans="14:14" x14ac:dyDescent="0.35">
      <c r="N3088" s="676"/>
    </row>
    <row r="3089" spans="14:14" x14ac:dyDescent="0.35">
      <c r="N3089" s="676"/>
    </row>
    <row r="3090" spans="14:14" x14ac:dyDescent="0.35">
      <c r="N3090" s="676"/>
    </row>
    <row r="3091" spans="14:14" x14ac:dyDescent="0.35">
      <c r="N3091" s="676"/>
    </row>
    <row r="3092" spans="14:14" x14ac:dyDescent="0.35">
      <c r="N3092" s="676"/>
    </row>
    <row r="3093" spans="14:14" x14ac:dyDescent="0.35">
      <c r="N3093" s="676"/>
    </row>
    <row r="3094" spans="14:14" x14ac:dyDescent="0.35">
      <c r="N3094" s="676"/>
    </row>
    <row r="3095" spans="14:14" x14ac:dyDescent="0.35">
      <c r="N3095" s="676"/>
    </row>
    <row r="3096" spans="14:14" x14ac:dyDescent="0.35">
      <c r="N3096" s="676"/>
    </row>
    <row r="3097" spans="14:14" x14ac:dyDescent="0.35">
      <c r="N3097" s="676"/>
    </row>
    <row r="3098" spans="14:14" x14ac:dyDescent="0.35">
      <c r="N3098" s="676"/>
    </row>
    <row r="3099" spans="14:14" x14ac:dyDescent="0.35">
      <c r="N3099" s="676"/>
    </row>
    <row r="3100" spans="14:14" x14ac:dyDescent="0.35">
      <c r="N3100" s="676"/>
    </row>
    <row r="3101" spans="14:14" x14ac:dyDescent="0.35">
      <c r="N3101" s="676"/>
    </row>
    <row r="3102" spans="14:14" x14ac:dyDescent="0.35">
      <c r="N3102" s="676"/>
    </row>
    <row r="3103" spans="14:14" x14ac:dyDescent="0.35">
      <c r="N3103" s="676"/>
    </row>
    <row r="3104" spans="14:14" x14ac:dyDescent="0.35">
      <c r="N3104" s="676"/>
    </row>
    <row r="3105" spans="14:14" x14ac:dyDescent="0.35">
      <c r="N3105" s="676"/>
    </row>
    <row r="3106" spans="14:14" x14ac:dyDescent="0.35">
      <c r="N3106" s="676"/>
    </row>
    <row r="3107" spans="14:14" x14ac:dyDescent="0.35">
      <c r="N3107" s="676"/>
    </row>
    <row r="3108" spans="14:14" x14ac:dyDescent="0.35">
      <c r="N3108" s="676"/>
    </row>
    <row r="3109" spans="14:14" x14ac:dyDescent="0.35">
      <c r="N3109" s="676"/>
    </row>
    <row r="3110" spans="14:14" x14ac:dyDescent="0.35">
      <c r="N3110" s="676"/>
    </row>
    <row r="3111" spans="14:14" x14ac:dyDescent="0.35">
      <c r="N3111" s="676"/>
    </row>
    <row r="3112" spans="14:14" x14ac:dyDescent="0.35">
      <c r="N3112" s="676"/>
    </row>
    <row r="3113" spans="14:14" x14ac:dyDescent="0.35">
      <c r="N3113" s="676"/>
    </row>
    <row r="3114" spans="14:14" x14ac:dyDescent="0.35">
      <c r="N3114" s="676"/>
    </row>
    <row r="3115" spans="14:14" x14ac:dyDescent="0.35">
      <c r="N3115" s="676"/>
    </row>
    <row r="3116" spans="14:14" x14ac:dyDescent="0.35">
      <c r="N3116" s="676"/>
    </row>
    <row r="3117" spans="14:14" x14ac:dyDescent="0.35">
      <c r="N3117" s="676"/>
    </row>
    <row r="3118" spans="14:14" x14ac:dyDescent="0.35">
      <c r="N3118" s="676"/>
    </row>
    <row r="3119" spans="14:14" x14ac:dyDescent="0.35">
      <c r="N3119" s="676"/>
    </row>
    <row r="3120" spans="14:14" x14ac:dyDescent="0.35">
      <c r="N3120" s="676"/>
    </row>
    <row r="3121" spans="14:14" x14ac:dyDescent="0.35">
      <c r="N3121" s="676"/>
    </row>
    <row r="3122" spans="14:14" x14ac:dyDescent="0.35">
      <c r="N3122" s="676"/>
    </row>
    <row r="3123" spans="14:14" x14ac:dyDescent="0.35">
      <c r="N3123" s="676"/>
    </row>
    <row r="3124" spans="14:14" x14ac:dyDescent="0.35">
      <c r="N3124" s="676"/>
    </row>
    <row r="3125" spans="14:14" x14ac:dyDescent="0.35">
      <c r="N3125" s="676"/>
    </row>
    <row r="3126" spans="14:14" x14ac:dyDescent="0.35">
      <c r="N3126" s="676"/>
    </row>
    <row r="3127" spans="14:14" x14ac:dyDescent="0.35">
      <c r="N3127" s="676"/>
    </row>
    <row r="3128" spans="14:14" x14ac:dyDescent="0.35">
      <c r="N3128" s="676"/>
    </row>
    <row r="3129" spans="14:14" x14ac:dyDescent="0.35">
      <c r="N3129" s="676"/>
    </row>
    <row r="3130" spans="14:14" x14ac:dyDescent="0.35">
      <c r="N3130" s="676"/>
    </row>
    <row r="3131" spans="14:14" x14ac:dyDescent="0.35">
      <c r="N3131" s="676"/>
    </row>
    <row r="3132" spans="14:14" x14ac:dyDescent="0.35">
      <c r="N3132" s="676"/>
    </row>
    <row r="3133" spans="14:14" x14ac:dyDescent="0.35">
      <c r="N3133" s="676"/>
    </row>
    <row r="3134" spans="14:14" x14ac:dyDescent="0.35">
      <c r="N3134" s="676"/>
    </row>
    <row r="3135" spans="14:14" x14ac:dyDescent="0.35">
      <c r="N3135" s="676"/>
    </row>
    <row r="3136" spans="14:14" x14ac:dyDescent="0.35">
      <c r="N3136" s="676"/>
    </row>
    <row r="3137" spans="14:14" x14ac:dyDescent="0.35">
      <c r="N3137" s="676"/>
    </row>
    <row r="3138" spans="14:14" x14ac:dyDescent="0.35">
      <c r="N3138" s="676"/>
    </row>
    <row r="3139" spans="14:14" x14ac:dyDescent="0.35">
      <c r="N3139" s="676"/>
    </row>
    <row r="3140" spans="14:14" x14ac:dyDescent="0.35">
      <c r="N3140" s="676"/>
    </row>
    <row r="3141" spans="14:14" x14ac:dyDescent="0.35">
      <c r="N3141" s="676"/>
    </row>
    <row r="3142" spans="14:14" x14ac:dyDescent="0.35">
      <c r="N3142" s="676"/>
    </row>
    <row r="3143" spans="14:14" x14ac:dyDescent="0.35">
      <c r="N3143" s="676"/>
    </row>
    <row r="3144" spans="14:14" x14ac:dyDescent="0.35">
      <c r="N3144" s="676"/>
    </row>
    <row r="3145" spans="14:14" x14ac:dyDescent="0.35">
      <c r="N3145" s="676"/>
    </row>
    <row r="3146" spans="14:14" x14ac:dyDescent="0.35">
      <c r="N3146" s="676"/>
    </row>
    <row r="3147" spans="14:14" x14ac:dyDescent="0.35">
      <c r="N3147" s="676"/>
    </row>
    <row r="3148" spans="14:14" x14ac:dyDescent="0.35">
      <c r="N3148" s="676"/>
    </row>
    <row r="3149" spans="14:14" x14ac:dyDescent="0.35">
      <c r="N3149" s="676"/>
    </row>
    <row r="3150" spans="14:14" x14ac:dyDescent="0.35">
      <c r="N3150" s="676"/>
    </row>
    <row r="3151" spans="14:14" x14ac:dyDescent="0.35">
      <c r="N3151" s="676"/>
    </row>
    <row r="3152" spans="14:14" x14ac:dyDescent="0.35">
      <c r="N3152" s="676"/>
    </row>
    <row r="3153" spans="14:14" x14ac:dyDescent="0.35">
      <c r="N3153" s="676"/>
    </row>
    <row r="3154" spans="14:14" x14ac:dyDescent="0.35">
      <c r="N3154" s="676"/>
    </row>
    <row r="3155" spans="14:14" x14ac:dyDescent="0.35">
      <c r="N3155" s="676"/>
    </row>
    <row r="3156" spans="14:14" x14ac:dyDescent="0.35">
      <c r="N3156" s="676"/>
    </row>
    <row r="3157" spans="14:14" x14ac:dyDescent="0.35">
      <c r="N3157" s="676"/>
    </row>
    <row r="3158" spans="14:14" x14ac:dyDescent="0.35">
      <c r="N3158" s="676"/>
    </row>
    <row r="3159" spans="14:14" x14ac:dyDescent="0.35">
      <c r="N3159" s="676"/>
    </row>
    <row r="3160" spans="14:14" x14ac:dyDescent="0.35">
      <c r="N3160" s="676"/>
    </row>
    <row r="3161" spans="14:14" x14ac:dyDescent="0.35">
      <c r="N3161" s="676"/>
    </row>
    <row r="3162" spans="14:14" x14ac:dyDescent="0.35">
      <c r="N3162" s="676"/>
    </row>
    <row r="3163" spans="14:14" x14ac:dyDescent="0.35">
      <c r="N3163" s="676"/>
    </row>
    <row r="3164" spans="14:14" x14ac:dyDescent="0.35">
      <c r="N3164" s="676"/>
    </row>
    <row r="3165" spans="14:14" x14ac:dyDescent="0.35">
      <c r="N3165" s="676"/>
    </row>
    <row r="3166" spans="14:14" x14ac:dyDescent="0.35">
      <c r="N3166" s="676"/>
    </row>
    <row r="3167" spans="14:14" x14ac:dyDescent="0.35">
      <c r="N3167" s="676"/>
    </row>
    <row r="3168" spans="14:14" x14ac:dyDescent="0.35">
      <c r="N3168" s="676"/>
    </row>
    <row r="3169" spans="14:14" x14ac:dyDescent="0.35">
      <c r="N3169" s="676"/>
    </row>
    <row r="3170" spans="14:14" x14ac:dyDescent="0.35">
      <c r="N3170" s="676"/>
    </row>
    <row r="3171" spans="14:14" x14ac:dyDescent="0.35">
      <c r="N3171" s="676"/>
    </row>
    <row r="3172" spans="14:14" x14ac:dyDescent="0.35">
      <c r="N3172" s="676"/>
    </row>
    <row r="3173" spans="14:14" x14ac:dyDescent="0.35">
      <c r="N3173" s="676"/>
    </row>
    <row r="3174" spans="14:14" x14ac:dyDescent="0.35">
      <c r="N3174" s="676"/>
    </row>
    <row r="3175" spans="14:14" x14ac:dyDescent="0.35">
      <c r="N3175" s="676"/>
    </row>
    <row r="3176" spans="14:14" x14ac:dyDescent="0.35">
      <c r="N3176" s="676"/>
    </row>
    <row r="3177" spans="14:14" x14ac:dyDescent="0.35">
      <c r="N3177" s="676"/>
    </row>
    <row r="3178" spans="14:14" x14ac:dyDescent="0.35">
      <c r="N3178" s="676"/>
    </row>
    <row r="3179" spans="14:14" x14ac:dyDescent="0.35">
      <c r="N3179" s="676"/>
    </row>
    <row r="3180" spans="14:14" x14ac:dyDescent="0.35">
      <c r="N3180" s="676"/>
    </row>
    <row r="3181" spans="14:14" x14ac:dyDescent="0.35">
      <c r="N3181" s="676"/>
    </row>
    <row r="3182" spans="14:14" x14ac:dyDescent="0.35">
      <c r="N3182" s="676"/>
    </row>
    <row r="3183" spans="14:14" x14ac:dyDescent="0.35">
      <c r="N3183" s="676"/>
    </row>
    <row r="3184" spans="14:14" x14ac:dyDescent="0.35">
      <c r="N3184" s="676"/>
    </row>
    <row r="3185" spans="14:14" x14ac:dyDescent="0.35">
      <c r="N3185" s="676"/>
    </row>
    <row r="3186" spans="14:14" x14ac:dyDescent="0.35">
      <c r="N3186" s="676"/>
    </row>
    <row r="3187" spans="14:14" x14ac:dyDescent="0.35">
      <c r="N3187" s="676"/>
    </row>
    <row r="3188" spans="14:14" x14ac:dyDescent="0.35">
      <c r="N3188" s="676"/>
    </row>
    <row r="3189" spans="14:14" x14ac:dyDescent="0.35">
      <c r="N3189" s="676"/>
    </row>
    <row r="3190" spans="14:14" x14ac:dyDescent="0.35">
      <c r="N3190" s="676"/>
    </row>
    <row r="3191" spans="14:14" x14ac:dyDescent="0.35">
      <c r="N3191" s="676"/>
    </row>
    <row r="3192" spans="14:14" x14ac:dyDescent="0.35">
      <c r="N3192" s="676"/>
    </row>
    <row r="3193" spans="14:14" x14ac:dyDescent="0.35">
      <c r="N3193" s="676"/>
    </row>
    <row r="3194" spans="14:14" x14ac:dyDescent="0.35">
      <c r="N3194" s="676"/>
    </row>
    <row r="3195" spans="14:14" x14ac:dyDescent="0.35">
      <c r="N3195" s="676"/>
    </row>
    <row r="3196" spans="14:14" x14ac:dyDescent="0.35">
      <c r="N3196" s="676"/>
    </row>
    <row r="3197" spans="14:14" x14ac:dyDescent="0.35">
      <c r="N3197" s="676"/>
    </row>
    <row r="3198" spans="14:14" x14ac:dyDescent="0.35">
      <c r="N3198" s="676"/>
    </row>
    <row r="3199" spans="14:14" x14ac:dyDescent="0.35">
      <c r="N3199" s="676"/>
    </row>
    <row r="3200" spans="14:14" x14ac:dyDescent="0.35">
      <c r="N3200" s="676"/>
    </row>
    <row r="3201" spans="14:14" x14ac:dyDescent="0.35">
      <c r="N3201" s="676"/>
    </row>
    <row r="3202" spans="14:14" x14ac:dyDescent="0.35">
      <c r="N3202" s="676"/>
    </row>
    <row r="3203" spans="14:14" x14ac:dyDescent="0.35">
      <c r="N3203" s="676"/>
    </row>
    <row r="3204" spans="14:14" x14ac:dyDescent="0.35">
      <c r="N3204" s="676"/>
    </row>
    <row r="3205" spans="14:14" x14ac:dyDescent="0.35">
      <c r="N3205" s="676"/>
    </row>
    <row r="3206" spans="14:14" x14ac:dyDescent="0.35">
      <c r="N3206" s="676"/>
    </row>
    <row r="3207" spans="14:14" x14ac:dyDescent="0.35">
      <c r="N3207" s="676"/>
    </row>
    <row r="3208" spans="14:14" x14ac:dyDescent="0.35">
      <c r="N3208" s="676"/>
    </row>
    <row r="3209" spans="14:14" x14ac:dyDescent="0.35">
      <c r="N3209" s="676"/>
    </row>
    <row r="3210" spans="14:14" x14ac:dyDescent="0.35">
      <c r="N3210" s="676"/>
    </row>
    <row r="3211" spans="14:14" x14ac:dyDescent="0.35">
      <c r="N3211" s="676"/>
    </row>
    <row r="3212" spans="14:14" x14ac:dyDescent="0.35">
      <c r="N3212" s="676"/>
    </row>
    <row r="3213" spans="14:14" x14ac:dyDescent="0.35">
      <c r="N3213" s="676"/>
    </row>
    <row r="3214" spans="14:14" x14ac:dyDescent="0.35">
      <c r="N3214" s="676"/>
    </row>
    <row r="3215" spans="14:14" x14ac:dyDescent="0.35">
      <c r="N3215" s="676"/>
    </row>
    <row r="3216" spans="14:14" x14ac:dyDescent="0.35">
      <c r="N3216" s="676"/>
    </row>
    <row r="3217" spans="14:14" x14ac:dyDescent="0.35">
      <c r="N3217" s="676"/>
    </row>
    <row r="3218" spans="14:14" x14ac:dyDescent="0.35">
      <c r="N3218" s="676"/>
    </row>
    <row r="3219" spans="14:14" x14ac:dyDescent="0.35">
      <c r="N3219" s="676"/>
    </row>
    <row r="3220" spans="14:14" x14ac:dyDescent="0.35">
      <c r="N3220" s="676"/>
    </row>
    <row r="3221" spans="14:14" x14ac:dyDescent="0.35">
      <c r="N3221" s="676"/>
    </row>
    <row r="3222" spans="14:14" x14ac:dyDescent="0.35">
      <c r="N3222" s="676"/>
    </row>
    <row r="3223" spans="14:14" x14ac:dyDescent="0.35">
      <c r="N3223" s="676"/>
    </row>
    <row r="3224" spans="14:14" x14ac:dyDescent="0.35">
      <c r="N3224" s="676"/>
    </row>
    <row r="3225" spans="14:14" x14ac:dyDescent="0.35">
      <c r="N3225" s="676"/>
    </row>
    <row r="3226" spans="14:14" x14ac:dyDescent="0.35">
      <c r="N3226" s="676"/>
    </row>
    <row r="3227" spans="14:14" x14ac:dyDescent="0.35">
      <c r="N3227" s="676"/>
    </row>
    <row r="3228" spans="14:14" x14ac:dyDescent="0.35">
      <c r="N3228" s="676"/>
    </row>
    <row r="3229" spans="14:14" x14ac:dyDescent="0.35">
      <c r="N3229" s="676"/>
    </row>
    <row r="3230" spans="14:14" x14ac:dyDescent="0.35">
      <c r="N3230" s="676"/>
    </row>
    <row r="3231" spans="14:14" x14ac:dyDescent="0.35">
      <c r="N3231" s="676"/>
    </row>
    <row r="3232" spans="14:14" x14ac:dyDescent="0.35">
      <c r="N3232" s="676"/>
    </row>
    <row r="3233" spans="14:14" x14ac:dyDescent="0.35">
      <c r="N3233" s="676"/>
    </row>
    <row r="3234" spans="14:14" x14ac:dyDescent="0.35">
      <c r="N3234" s="676"/>
    </row>
    <row r="3235" spans="14:14" x14ac:dyDescent="0.35">
      <c r="N3235" s="676"/>
    </row>
    <row r="3236" spans="14:14" x14ac:dyDescent="0.35">
      <c r="N3236" s="676"/>
    </row>
    <row r="3237" spans="14:14" x14ac:dyDescent="0.35">
      <c r="N3237" s="676"/>
    </row>
    <row r="3238" spans="14:14" x14ac:dyDescent="0.35">
      <c r="N3238" s="676"/>
    </row>
    <row r="3239" spans="14:14" x14ac:dyDescent="0.35">
      <c r="N3239" s="676"/>
    </row>
    <row r="3240" spans="14:14" x14ac:dyDescent="0.35">
      <c r="N3240" s="676"/>
    </row>
    <row r="3241" spans="14:14" x14ac:dyDescent="0.35">
      <c r="N3241" s="676"/>
    </row>
    <row r="3242" spans="14:14" x14ac:dyDescent="0.35">
      <c r="N3242" s="676"/>
    </row>
    <row r="3243" spans="14:14" x14ac:dyDescent="0.35">
      <c r="N3243" s="676"/>
    </row>
    <row r="3244" spans="14:14" x14ac:dyDescent="0.35">
      <c r="N3244" s="676"/>
    </row>
    <row r="3245" spans="14:14" x14ac:dyDescent="0.35">
      <c r="N3245" s="676"/>
    </row>
    <row r="3246" spans="14:14" x14ac:dyDescent="0.35">
      <c r="N3246" s="676"/>
    </row>
    <row r="3247" spans="14:14" x14ac:dyDescent="0.35">
      <c r="N3247" s="676"/>
    </row>
    <row r="3248" spans="14:14" x14ac:dyDescent="0.35">
      <c r="N3248" s="676"/>
    </row>
    <row r="3249" spans="14:14" x14ac:dyDescent="0.35">
      <c r="N3249" s="676"/>
    </row>
    <row r="3250" spans="14:14" x14ac:dyDescent="0.35">
      <c r="N3250" s="676"/>
    </row>
    <row r="3251" spans="14:14" x14ac:dyDescent="0.35">
      <c r="N3251" s="676"/>
    </row>
    <row r="3252" spans="14:14" x14ac:dyDescent="0.35">
      <c r="N3252" s="676"/>
    </row>
    <row r="3253" spans="14:14" x14ac:dyDescent="0.35">
      <c r="N3253" s="676"/>
    </row>
    <row r="3254" spans="14:14" x14ac:dyDescent="0.35">
      <c r="N3254" s="676"/>
    </row>
    <row r="3255" spans="14:14" x14ac:dyDescent="0.35">
      <c r="N3255" s="676"/>
    </row>
    <row r="3256" spans="14:14" x14ac:dyDescent="0.35">
      <c r="N3256" s="676"/>
    </row>
    <row r="3257" spans="14:14" x14ac:dyDescent="0.35">
      <c r="N3257" s="676"/>
    </row>
    <row r="3258" spans="14:14" x14ac:dyDescent="0.35">
      <c r="N3258" s="676"/>
    </row>
    <row r="3259" spans="14:14" x14ac:dyDescent="0.35">
      <c r="N3259" s="676"/>
    </row>
    <row r="3260" spans="14:14" x14ac:dyDescent="0.35">
      <c r="N3260" s="676"/>
    </row>
    <row r="3261" spans="14:14" x14ac:dyDescent="0.35">
      <c r="N3261" s="676"/>
    </row>
    <row r="3262" spans="14:14" x14ac:dyDescent="0.35">
      <c r="N3262" s="676"/>
    </row>
    <row r="3263" spans="14:14" x14ac:dyDescent="0.35">
      <c r="N3263" s="676"/>
    </row>
    <row r="3264" spans="14:14" x14ac:dyDescent="0.35">
      <c r="N3264" s="676"/>
    </row>
    <row r="3265" spans="14:14" x14ac:dyDescent="0.35">
      <c r="N3265" s="676"/>
    </row>
    <row r="3266" spans="14:14" x14ac:dyDescent="0.35">
      <c r="N3266" s="676"/>
    </row>
    <row r="3267" spans="14:14" x14ac:dyDescent="0.35">
      <c r="N3267" s="676"/>
    </row>
    <row r="3268" spans="14:14" x14ac:dyDescent="0.35">
      <c r="N3268" s="676"/>
    </row>
    <row r="3269" spans="14:14" x14ac:dyDescent="0.35">
      <c r="N3269" s="676"/>
    </row>
    <row r="3270" spans="14:14" x14ac:dyDescent="0.35">
      <c r="N3270" s="676"/>
    </row>
    <row r="3271" spans="14:14" x14ac:dyDescent="0.35">
      <c r="N3271" s="676"/>
    </row>
    <row r="3272" spans="14:14" x14ac:dyDescent="0.35">
      <c r="N3272" s="676"/>
    </row>
    <row r="3273" spans="14:14" x14ac:dyDescent="0.35">
      <c r="N3273" s="676"/>
    </row>
    <row r="3274" spans="14:14" x14ac:dyDescent="0.35">
      <c r="N3274" s="676"/>
    </row>
    <row r="3275" spans="14:14" x14ac:dyDescent="0.35">
      <c r="N3275" s="676"/>
    </row>
    <row r="3276" spans="14:14" x14ac:dyDescent="0.35">
      <c r="N3276" s="676"/>
    </row>
    <row r="3277" spans="14:14" x14ac:dyDescent="0.35">
      <c r="N3277" s="676"/>
    </row>
    <row r="3278" spans="14:14" x14ac:dyDescent="0.35">
      <c r="N3278" s="676"/>
    </row>
    <row r="3279" spans="14:14" x14ac:dyDescent="0.35">
      <c r="N3279" s="676"/>
    </row>
    <row r="3280" spans="14:14" x14ac:dyDescent="0.35">
      <c r="N3280" s="676"/>
    </row>
    <row r="3281" spans="14:14" x14ac:dyDescent="0.35">
      <c r="N3281" s="676"/>
    </row>
    <row r="3282" spans="14:14" x14ac:dyDescent="0.35">
      <c r="N3282" s="676"/>
    </row>
    <row r="3283" spans="14:14" x14ac:dyDescent="0.35">
      <c r="N3283" s="676"/>
    </row>
    <row r="3284" spans="14:14" x14ac:dyDescent="0.35">
      <c r="N3284" s="676"/>
    </row>
    <row r="3285" spans="14:14" x14ac:dyDescent="0.35">
      <c r="N3285" s="676"/>
    </row>
    <row r="3286" spans="14:14" x14ac:dyDescent="0.35">
      <c r="N3286" s="676"/>
    </row>
    <row r="3287" spans="14:14" x14ac:dyDescent="0.35">
      <c r="N3287" s="676"/>
    </row>
    <row r="3288" spans="14:14" x14ac:dyDescent="0.35">
      <c r="N3288" s="676"/>
    </row>
    <row r="3289" spans="14:14" x14ac:dyDescent="0.35">
      <c r="N3289" s="676"/>
    </row>
    <row r="3290" spans="14:14" x14ac:dyDescent="0.35">
      <c r="N3290" s="676"/>
    </row>
    <row r="3291" spans="14:14" x14ac:dyDescent="0.35">
      <c r="N3291" s="676"/>
    </row>
    <row r="3292" spans="14:14" x14ac:dyDescent="0.35">
      <c r="N3292" s="676"/>
    </row>
    <row r="3293" spans="14:14" x14ac:dyDescent="0.35">
      <c r="N3293" s="676"/>
    </row>
    <row r="3294" spans="14:14" x14ac:dyDescent="0.35">
      <c r="N3294" s="676"/>
    </row>
    <row r="3295" spans="14:14" x14ac:dyDescent="0.35">
      <c r="N3295" s="676"/>
    </row>
    <row r="3296" spans="14:14" x14ac:dyDescent="0.35">
      <c r="N3296" s="676"/>
    </row>
    <row r="3297" spans="14:14" x14ac:dyDescent="0.35">
      <c r="N3297" s="676"/>
    </row>
    <row r="3298" spans="14:14" x14ac:dyDescent="0.35">
      <c r="N3298" s="676"/>
    </row>
    <row r="3299" spans="14:14" x14ac:dyDescent="0.35">
      <c r="N3299" s="676"/>
    </row>
    <row r="3300" spans="14:14" x14ac:dyDescent="0.35">
      <c r="N3300" s="676"/>
    </row>
    <row r="3301" spans="14:14" x14ac:dyDescent="0.35">
      <c r="N3301" s="676"/>
    </row>
    <row r="3302" spans="14:14" x14ac:dyDescent="0.35">
      <c r="N3302" s="676"/>
    </row>
    <row r="3303" spans="14:14" x14ac:dyDescent="0.35">
      <c r="N3303" s="676"/>
    </row>
    <row r="3304" spans="14:14" x14ac:dyDescent="0.35">
      <c r="N3304" s="676"/>
    </row>
    <row r="3305" spans="14:14" x14ac:dyDescent="0.35">
      <c r="N3305" s="676"/>
    </row>
    <row r="3306" spans="14:14" x14ac:dyDescent="0.35">
      <c r="N3306" s="676"/>
    </row>
    <row r="3307" spans="14:14" x14ac:dyDescent="0.35">
      <c r="N3307" s="676"/>
    </row>
    <row r="3308" spans="14:14" x14ac:dyDescent="0.35">
      <c r="N3308" s="676"/>
    </row>
    <row r="3309" spans="14:14" x14ac:dyDescent="0.35">
      <c r="N3309" s="676"/>
    </row>
    <row r="3310" spans="14:14" x14ac:dyDescent="0.35">
      <c r="N3310" s="676"/>
    </row>
    <row r="3311" spans="14:14" x14ac:dyDescent="0.35">
      <c r="N3311" s="676"/>
    </row>
    <row r="3312" spans="14:14" x14ac:dyDescent="0.35">
      <c r="N3312" s="676"/>
    </row>
    <row r="3313" spans="14:14" x14ac:dyDescent="0.35">
      <c r="N3313" s="676"/>
    </row>
    <row r="3314" spans="14:14" x14ac:dyDescent="0.35">
      <c r="N3314" s="676"/>
    </row>
    <row r="3315" spans="14:14" x14ac:dyDescent="0.35">
      <c r="N3315" s="676"/>
    </row>
    <row r="3316" spans="14:14" x14ac:dyDescent="0.35">
      <c r="N3316" s="676"/>
    </row>
    <row r="3317" spans="14:14" x14ac:dyDescent="0.35">
      <c r="N3317" s="676"/>
    </row>
    <row r="3318" spans="14:14" x14ac:dyDescent="0.35">
      <c r="N3318" s="676"/>
    </row>
    <row r="3319" spans="14:14" x14ac:dyDescent="0.35">
      <c r="N3319" s="676"/>
    </row>
    <row r="3320" spans="14:14" x14ac:dyDescent="0.35">
      <c r="N3320" s="676"/>
    </row>
    <row r="3321" spans="14:14" x14ac:dyDescent="0.35">
      <c r="N3321" s="676"/>
    </row>
    <row r="3322" spans="14:14" x14ac:dyDescent="0.35">
      <c r="N3322" s="676"/>
    </row>
    <row r="3323" spans="14:14" x14ac:dyDescent="0.35">
      <c r="N3323" s="676"/>
    </row>
    <row r="3324" spans="14:14" x14ac:dyDescent="0.35">
      <c r="N3324" s="676"/>
    </row>
    <row r="3325" spans="14:14" x14ac:dyDescent="0.35">
      <c r="N3325" s="676"/>
    </row>
    <row r="3326" spans="14:14" x14ac:dyDescent="0.35">
      <c r="N3326" s="676"/>
    </row>
    <row r="3327" spans="14:14" x14ac:dyDescent="0.35">
      <c r="N3327" s="676"/>
    </row>
    <row r="3328" spans="14:14" x14ac:dyDescent="0.35">
      <c r="N3328" s="676"/>
    </row>
    <row r="3329" spans="14:14" x14ac:dyDescent="0.35">
      <c r="N3329" s="676"/>
    </row>
    <row r="3330" spans="14:14" x14ac:dyDescent="0.35">
      <c r="N3330" s="676"/>
    </row>
    <row r="3331" spans="14:14" x14ac:dyDescent="0.35">
      <c r="N3331" s="676"/>
    </row>
    <row r="3332" spans="14:14" x14ac:dyDescent="0.35">
      <c r="N3332" s="676"/>
    </row>
    <row r="3333" spans="14:14" x14ac:dyDescent="0.35">
      <c r="N3333" s="676"/>
    </row>
    <row r="3334" spans="14:14" x14ac:dyDescent="0.35">
      <c r="N3334" s="676"/>
    </row>
    <row r="3335" spans="14:14" x14ac:dyDescent="0.35">
      <c r="N3335" s="676"/>
    </row>
    <row r="3336" spans="14:14" x14ac:dyDescent="0.35">
      <c r="N3336" s="676"/>
    </row>
    <row r="3337" spans="14:14" x14ac:dyDescent="0.35">
      <c r="N3337" s="676"/>
    </row>
    <row r="3338" spans="14:14" x14ac:dyDescent="0.35">
      <c r="N3338" s="676"/>
    </row>
    <row r="3339" spans="14:14" x14ac:dyDescent="0.35">
      <c r="N3339" s="676"/>
    </row>
    <row r="3340" spans="14:14" x14ac:dyDescent="0.35">
      <c r="N3340" s="676"/>
    </row>
    <row r="3341" spans="14:14" x14ac:dyDescent="0.35">
      <c r="N3341" s="676"/>
    </row>
    <row r="3342" spans="14:14" x14ac:dyDescent="0.35">
      <c r="N3342" s="676"/>
    </row>
    <row r="3343" spans="14:14" x14ac:dyDescent="0.35">
      <c r="N3343" s="676"/>
    </row>
    <row r="3344" spans="14:14" x14ac:dyDescent="0.35">
      <c r="N3344" s="676"/>
    </row>
    <row r="3345" spans="14:14" x14ac:dyDescent="0.35">
      <c r="N3345" s="676"/>
    </row>
    <row r="3346" spans="14:14" x14ac:dyDescent="0.35">
      <c r="N3346" s="676"/>
    </row>
    <row r="3347" spans="14:14" x14ac:dyDescent="0.35">
      <c r="N3347" s="676"/>
    </row>
    <row r="3348" spans="14:14" x14ac:dyDescent="0.35">
      <c r="N3348" s="676"/>
    </row>
    <row r="3349" spans="14:14" x14ac:dyDescent="0.35">
      <c r="N3349" s="676"/>
    </row>
    <row r="3350" spans="14:14" x14ac:dyDescent="0.35">
      <c r="N3350" s="676"/>
    </row>
    <row r="3351" spans="14:14" x14ac:dyDescent="0.35">
      <c r="N3351" s="676"/>
    </row>
    <row r="3352" spans="14:14" x14ac:dyDescent="0.35">
      <c r="N3352" s="676"/>
    </row>
    <row r="3353" spans="14:14" x14ac:dyDescent="0.35">
      <c r="N3353" s="676"/>
    </row>
    <row r="3354" spans="14:14" x14ac:dyDescent="0.35">
      <c r="N3354" s="676"/>
    </row>
    <row r="3355" spans="14:14" x14ac:dyDescent="0.35">
      <c r="N3355" s="676"/>
    </row>
    <row r="3356" spans="14:14" x14ac:dyDescent="0.35">
      <c r="N3356" s="676"/>
    </row>
    <row r="3357" spans="14:14" x14ac:dyDescent="0.35">
      <c r="N3357" s="676"/>
    </row>
    <row r="3358" spans="14:14" x14ac:dyDescent="0.35">
      <c r="N3358" s="676"/>
    </row>
    <row r="3359" spans="14:14" x14ac:dyDescent="0.35">
      <c r="N3359" s="676"/>
    </row>
    <row r="3360" spans="14:14" x14ac:dyDescent="0.35">
      <c r="N3360" s="676"/>
    </row>
    <row r="3361" spans="14:14" x14ac:dyDescent="0.35">
      <c r="N3361" s="676"/>
    </row>
    <row r="3362" spans="14:14" x14ac:dyDescent="0.35">
      <c r="N3362" s="676"/>
    </row>
    <row r="3363" spans="14:14" x14ac:dyDescent="0.35">
      <c r="N3363" s="676"/>
    </row>
    <row r="3364" spans="14:14" x14ac:dyDescent="0.35">
      <c r="N3364" s="676"/>
    </row>
    <row r="3365" spans="14:14" x14ac:dyDescent="0.35">
      <c r="N3365" s="676"/>
    </row>
    <row r="3366" spans="14:14" x14ac:dyDescent="0.35">
      <c r="N3366" s="676"/>
    </row>
    <row r="3367" spans="14:14" x14ac:dyDescent="0.35">
      <c r="N3367" s="676"/>
    </row>
    <row r="3368" spans="14:14" x14ac:dyDescent="0.35">
      <c r="N3368" s="676"/>
    </row>
    <row r="3369" spans="14:14" x14ac:dyDescent="0.35">
      <c r="N3369" s="676"/>
    </row>
    <row r="3370" spans="14:14" x14ac:dyDescent="0.35">
      <c r="N3370" s="676"/>
    </row>
    <row r="3371" spans="14:14" x14ac:dyDescent="0.35">
      <c r="N3371" s="676"/>
    </row>
    <row r="3372" spans="14:14" x14ac:dyDescent="0.35">
      <c r="N3372" s="676"/>
    </row>
    <row r="3373" spans="14:14" x14ac:dyDescent="0.35">
      <c r="N3373" s="676"/>
    </row>
    <row r="3374" spans="14:14" x14ac:dyDescent="0.35">
      <c r="N3374" s="676"/>
    </row>
    <row r="3375" spans="14:14" x14ac:dyDescent="0.35">
      <c r="N3375" s="676"/>
    </row>
    <row r="3376" spans="14:14" x14ac:dyDescent="0.35">
      <c r="N3376" s="676"/>
    </row>
    <row r="3377" spans="14:14" x14ac:dyDescent="0.35">
      <c r="N3377" s="676"/>
    </row>
    <row r="3378" spans="14:14" x14ac:dyDescent="0.35">
      <c r="N3378" s="676"/>
    </row>
    <row r="3379" spans="14:14" x14ac:dyDescent="0.35">
      <c r="N3379" s="676"/>
    </row>
    <row r="3380" spans="14:14" x14ac:dyDescent="0.35">
      <c r="N3380" s="676"/>
    </row>
    <row r="3381" spans="14:14" x14ac:dyDescent="0.35">
      <c r="N3381" s="676"/>
    </row>
    <row r="3382" spans="14:14" x14ac:dyDescent="0.35">
      <c r="N3382" s="676"/>
    </row>
    <row r="3383" spans="14:14" x14ac:dyDescent="0.35">
      <c r="N3383" s="676"/>
    </row>
    <row r="3384" spans="14:14" x14ac:dyDescent="0.35">
      <c r="N3384" s="676"/>
    </row>
    <row r="3385" spans="14:14" x14ac:dyDescent="0.35">
      <c r="N3385" s="676"/>
    </row>
    <row r="3386" spans="14:14" x14ac:dyDescent="0.35">
      <c r="N3386" s="676"/>
    </row>
    <row r="3387" spans="14:14" x14ac:dyDescent="0.35">
      <c r="N3387" s="676"/>
    </row>
    <row r="3388" spans="14:14" x14ac:dyDescent="0.35">
      <c r="N3388" s="676"/>
    </row>
    <row r="3389" spans="14:14" x14ac:dyDescent="0.35">
      <c r="N3389" s="676"/>
    </row>
    <row r="3390" spans="14:14" x14ac:dyDescent="0.35">
      <c r="N3390" s="676"/>
    </row>
    <row r="3391" spans="14:14" x14ac:dyDescent="0.35">
      <c r="N3391" s="676"/>
    </row>
    <row r="3392" spans="14:14" x14ac:dyDescent="0.35">
      <c r="N3392" s="676"/>
    </row>
    <row r="3393" spans="14:14" x14ac:dyDescent="0.35">
      <c r="N3393" s="676"/>
    </row>
    <row r="3394" spans="14:14" x14ac:dyDescent="0.35">
      <c r="N3394" s="676"/>
    </row>
    <row r="3395" spans="14:14" x14ac:dyDescent="0.35">
      <c r="N3395" s="676"/>
    </row>
    <row r="3396" spans="14:14" x14ac:dyDescent="0.35">
      <c r="N3396" s="676"/>
    </row>
    <row r="3397" spans="14:14" x14ac:dyDescent="0.35">
      <c r="N3397" s="676"/>
    </row>
    <row r="3398" spans="14:14" x14ac:dyDescent="0.35">
      <c r="N3398" s="676"/>
    </row>
    <row r="3399" spans="14:14" x14ac:dyDescent="0.35">
      <c r="N3399" s="676"/>
    </row>
    <row r="3400" spans="14:14" x14ac:dyDescent="0.35">
      <c r="N3400" s="676"/>
    </row>
    <row r="3401" spans="14:14" x14ac:dyDescent="0.35">
      <c r="N3401" s="676"/>
    </row>
    <row r="3402" spans="14:14" x14ac:dyDescent="0.35">
      <c r="N3402" s="676"/>
    </row>
    <row r="3403" spans="14:14" x14ac:dyDescent="0.35">
      <c r="N3403" s="676"/>
    </row>
    <row r="3404" spans="14:14" x14ac:dyDescent="0.35">
      <c r="N3404" s="676"/>
    </row>
    <row r="3405" spans="14:14" x14ac:dyDescent="0.35">
      <c r="N3405" s="676"/>
    </row>
    <row r="3406" spans="14:14" x14ac:dyDescent="0.35">
      <c r="N3406" s="676"/>
    </row>
    <row r="3407" spans="14:14" x14ac:dyDescent="0.35">
      <c r="N3407" s="676"/>
    </row>
    <row r="3408" spans="14:14" x14ac:dyDescent="0.35">
      <c r="N3408" s="676"/>
    </row>
    <row r="3409" spans="14:14" x14ac:dyDescent="0.35">
      <c r="N3409" s="676"/>
    </row>
    <row r="3410" spans="14:14" x14ac:dyDescent="0.35">
      <c r="N3410" s="676"/>
    </row>
    <row r="3411" spans="14:14" x14ac:dyDescent="0.35">
      <c r="N3411" s="676"/>
    </row>
    <row r="3412" spans="14:14" x14ac:dyDescent="0.35">
      <c r="N3412" s="676"/>
    </row>
    <row r="3413" spans="14:14" x14ac:dyDescent="0.35">
      <c r="N3413" s="676"/>
    </row>
    <row r="3414" spans="14:14" x14ac:dyDescent="0.35">
      <c r="N3414" s="676"/>
    </row>
    <row r="3415" spans="14:14" x14ac:dyDescent="0.35">
      <c r="N3415" s="676"/>
    </row>
    <row r="3416" spans="14:14" x14ac:dyDescent="0.35">
      <c r="N3416" s="676"/>
    </row>
    <row r="3417" spans="14:14" x14ac:dyDescent="0.35">
      <c r="N3417" s="676"/>
    </row>
    <row r="3418" spans="14:14" x14ac:dyDescent="0.35">
      <c r="N3418" s="676"/>
    </row>
    <row r="3419" spans="14:14" x14ac:dyDescent="0.35">
      <c r="N3419" s="676"/>
    </row>
    <row r="3420" spans="14:14" x14ac:dyDescent="0.35">
      <c r="N3420" s="676"/>
    </row>
    <row r="3421" spans="14:14" x14ac:dyDescent="0.35">
      <c r="N3421" s="676"/>
    </row>
    <row r="3422" spans="14:14" x14ac:dyDescent="0.35">
      <c r="N3422" s="676"/>
    </row>
    <row r="3423" spans="14:14" x14ac:dyDescent="0.35">
      <c r="N3423" s="676"/>
    </row>
    <row r="3424" spans="14:14" x14ac:dyDescent="0.35">
      <c r="N3424" s="676"/>
    </row>
    <row r="3425" spans="14:14" x14ac:dyDescent="0.35">
      <c r="N3425" s="676"/>
    </row>
    <row r="3426" spans="14:14" x14ac:dyDescent="0.35">
      <c r="N3426" s="676"/>
    </row>
    <row r="3427" spans="14:14" x14ac:dyDescent="0.35">
      <c r="N3427" s="676"/>
    </row>
    <row r="3428" spans="14:14" x14ac:dyDescent="0.35">
      <c r="N3428" s="676"/>
    </row>
    <row r="3429" spans="14:14" x14ac:dyDescent="0.35">
      <c r="N3429" s="676"/>
    </row>
    <row r="3430" spans="14:14" x14ac:dyDescent="0.35">
      <c r="N3430" s="676"/>
    </row>
    <row r="3431" spans="14:14" x14ac:dyDescent="0.35">
      <c r="N3431" s="676"/>
    </row>
    <row r="3432" spans="14:14" x14ac:dyDescent="0.35">
      <c r="N3432" s="676"/>
    </row>
    <row r="3433" spans="14:14" x14ac:dyDescent="0.35">
      <c r="N3433" s="676"/>
    </row>
    <row r="3434" spans="14:14" x14ac:dyDescent="0.35">
      <c r="N3434" s="676"/>
    </row>
    <row r="3435" spans="14:14" x14ac:dyDescent="0.35">
      <c r="N3435" s="676"/>
    </row>
    <row r="3436" spans="14:14" x14ac:dyDescent="0.35">
      <c r="N3436" s="676"/>
    </row>
    <row r="3437" spans="14:14" x14ac:dyDescent="0.35">
      <c r="N3437" s="676"/>
    </row>
    <row r="3438" spans="14:14" x14ac:dyDescent="0.35">
      <c r="N3438" s="676"/>
    </row>
    <row r="3439" spans="14:14" x14ac:dyDescent="0.35">
      <c r="N3439" s="676"/>
    </row>
    <row r="3440" spans="14:14" x14ac:dyDescent="0.35">
      <c r="N3440" s="676"/>
    </row>
    <row r="3441" spans="14:14" x14ac:dyDescent="0.35">
      <c r="N3441" s="676"/>
    </row>
    <row r="3442" spans="14:14" x14ac:dyDescent="0.35">
      <c r="N3442" s="676"/>
    </row>
    <row r="3443" spans="14:14" x14ac:dyDescent="0.35">
      <c r="N3443" s="676"/>
    </row>
    <row r="3444" spans="14:14" x14ac:dyDescent="0.35">
      <c r="N3444" s="676"/>
    </row>
    <row r="3445" spans="14:14" x14ac:dyDescent="0.35">
      <c r="N3445" s="676"/>
    </row>
    <row r="3446" spans="14:14" x14ac:dyDescent="0.35">
      <c r="N3446" s="676"/>
    </row>
    <row r="3447" spans="14:14" x14ac:dyDescent="0.35">
      <c r="N3447" s="676"/>
    </row>
    <row r="3448" spans="14:14" x14ac:dyDescent="0.35">
      <c r="N3448" s="676"/>
    </row>
    <row r="3449" spans="14:14" x14ac:dyDescent="0.35">
      <c r="N3449" s="676"/>
    </row>
    <row r="3450" spans="14:14" x14ac:dyDescent="0.35">
      <c r="N3450" s="676"/>
    </row>
    <row r="3451" spans="14:14" x14ac:dyDescent="0.35">
      <c r="N3451" s="676"/>
    </row>
    <row r="3452" spans="14:14" x14ac:dyDescent="0.35">
      <c r="N3452" s="676"/>
    </row>
    <row r="3453" spans="14:14" x14ac:dyDescent="0.35">
      <c r="N3453" s="676"/>
    </row>
    <row r="3454" spans="14:14" x14ac:dyDescent="0.35">
      <c r="N3454" s="676"/>
    </row>
    <row r="3455" spans="14:14" x14ac:dyDescent="0.35">
      <c r="N3455" s="676"/>
    </row>
    <row r="3456" spans="14:14" x14ac:dyDescent="0.35">
      <c r="N3456" s="676"/>
    </row>
    <row r="3457" spans="14:14" x14ac:dyDescent="0.35">
      <c r="N3457" s="676"/>
    </row>
    <row r="3458" spans="14:14" x14ac:dyDescent="0.35">
      <c r="N3458" s="676"/>
    </row>
    <row r="3459" spans="14:14" x14ac:dyDescent="0.35">
      <c r="N3459" s="676"/>
    </row>
    <row r="3460" spans="14:14" x14ac:dyDescent="0.35">
      <c r="N3460" s="676"/>
    </row>
    <row r="3461" spans="14:14" x14ac:dyDescent="0.35">
      <c r="N3461" s="676"/>
    </row>
    <row r="3462" spans="14:14" x14ac:dyDescent="0.35">
      <c r="N3462" s="676"/>
    </row>
    <row r="3463" spans="14:14" x14ac:dyDescent="0.35">
      <c r="N3463" s="676"/>
    </row>
    <row r="3464" spans="14:14" x14ac:dyDescent="0.35">
      <c r="N3464" s="676"/>
    </row>
    <row r="3465" spans="14:14" x14ac:dyDescent="0.35">
      <c r="N3465" s="676"/>
    </row>
    <row r="3466" spans="14:14" x14ac:dyDescent="0.35">
      <c r="N3466" s="676"/>
    </row>
    <row r="3467" spans="14:14" x14ac:dyDescent="0.35">
      <c r="N3467" s="676"/>
    </row>
    <row r="3468" spans="14:14" x14ac:dyDescent="0.35">
      <c r="N3468" s="676"/>
    </row>
    <row r="3469" spans="14:14" x14ac:dyDescent="0.35">
      <c r="N3469" s="676"/>
    </row>
    <row r="3470" spans="14:14" x14ac:dyDescent="0.35">
      <c r="N3470" s="676"/>
    </row>
    <row r="3471" spans="14:14" x14ac:dyDescent="0.35">
      <c r="N3471" s="676"/>
    </row>
    <row r="3472" spans="14:14" x14ac:dyDescent="0.35">
      <c r="N3472" s="676"/>
    </row>
    <row r="3473" spans="14:14" x14ac:dyDescent="0.35">
      <c r="N3473" s="676"/>
    </row>
    <row r="3474" spans="14:14" x14ac:dyDescent="0.35">
      <c r="N3474" s="676"/>
    </row>
    <row r="3475" spans="14:14" x14ac:dyDescent="0.35">
      <c r="N3475" s="676"/>
    </row>
    <row r="3476" spans="14:14" x14ac:dyDescent="0.35">
      <c r="N3476" s="676"/>
    </row>
    <row r="3477" spans="14:14" x14ac:dyDescent="0.35">
      <c r="N3477" s="676"/>
    </row>
    <row r="3478" spans="14:14" x14ac:dyDescent="0.35">
      <c r="N3478" s="676"/>
    </row>
    <row r="3479" spans="14:14" x14ac:dyDescent="0.35">
      <c r="N3479" s="676"/>
    </row>
    <row r="3480" spans="14:14" x14ac:dyDescent="0.35">
      <c r="N3480" s="676"/>
    </row>
    <row r="3481" spans="14:14" x14ac:dyDescent="0.35">
      <c r="N3481" s="676"/>
    </row>
    <row r="3482" spans="14:14" x14ac:dyDescent="0.35">
      <c r="N3482" s="676"/>
    </row>
    <row r="3483" spans="14:14" x14ac:dyDescent="0.35">
      <c r="N3483" s="676"/>
    </row>
    <row r="3484" spans="14:14" x14ac:dyDescent="0.35">
      <c r="N3484" s="676"/>
    </row>
    <row r="3485" spans="14:14" x14ac:dyDescent="0.35">
      <c r="N3485" s="676"/>
    </row>
    <row r="3486" spans="14:14" x14ac:dyDescent="0.35">
      <c r="N3486" s="676"/>
    </row>
    <row r="3487" spans="14:14" x14ac:dyDescent="0.35">
      <c r="N3487" s="676"/>
    </row>
    <row r="3488" spans="14:14" x14ac:dyDescent="0.35">
      <c r="N3488" s="676"/>
    </row>
    <row r="3489" spans="14:14" x14ac:dyDescent="0.35">
      <c r="N3489" s="676"/>
    </row>
    <row r="3490" spans="14:14" x14ac:dyDescent="0.35">
      <c r="N3490" s="676"/>
    </row>
    <row r="3491" spans="14:14" x14ac:dyDescent="0.35">
      <c r="N3491" s="676"/>
    </row>
    <row r="3492" spans="14:14" x14ac:dyDescent="0.35">
      <c r="N3492" s="676"/>
    </row>
    <row r="3493" spans="14:14" x14ac:dyDescent="0.35">
      <c r="N3493" s="676"/>
    </row>
    <row r="3494" spans="14:14" x14ac:dyDescent="0.35">
      <c r="N3494" s="676"/>
    </row>
    <row r="3495" spans="14:14" x14ac:dyDescent="0.35">
      <c r="N3495" s="676"/>
    </row>
    <row r="3496" spans="14:14" x14ac:dyDescent="0.35">
      <c r="N3496" s="676"/>
    </row>
    <row r="3497" spans="14:14" x14ac:dyDescent="0.35">
      <c r="N3497" s="676"/>
    </row>
    <row r="3498" spans="14:14" x14ac:dyDescent="0.35">
      <c r="N3498" s="676"/>
    </row>
    <row r="3499" spans="14:14" x14ac:dyDescent="0.35">
      <c r="N3499" s="676"/>
    </row>
    <row r="3500" spans="14:14" x14ac:dyDescent="0.35">
      <c r="N3500" s="676"/>
    </row>
    <row r="3501" spans="14:14" x14ac:dyDescent="0.35">
      <c r="N3501" s="676"/>
    </row>
    <row r="3502" spans="14:14" x14ac:dyDescent="0.35">
      <c r="N3502" s="676"/>
    </row>
    <row r="3503" spans="14:14" x14ac:dyDescent="0.35">
      <c r="N3503" s="676"/>
    </row>
    <row r="3504" spans="14:14" x14ac:dyDescent="0.35">
      <c r="N3504" s="676"/>
    </row>
    <row r="3505" spans="14:14" x14ac:dyDescent="0.35">
      <c r="N3505" s="676"/>
    </row>
    <row r="3506" spans="14:14" x14ac:dyDescent="0.35">
      <c r="N3506" s="676"/>
    </row>
    <row r="3507" spans="14:14" x14ac:dyDescent="0.35">
      <c r="N3507" s="676"/>
    </row>
    <row r="3508" spans="14:14" x14ac:dyDescent="0.35">
      <c r="N3508" s="676"/>
    </row>
    <row r="3509" spans="14:14" x14ac:dyDescent="0.35">
      <c r="N3509" s="676"/>
    </row>
    <row r="3510" spans="14:14" x14ac:dyDescent="0.35">
      <c r="N3510" s="676"/>
    </row>
    <row r="3511" spans="14:14" x14ac:dyDescent="0.35">
      <c r="N3511" s="676"/>
    </row>
    <row r="3512" spans="14:14" x14ac:dyDescent="0.35">
      <c r="N3512" s="676"/>
    </row>
    <row r="3513" spans="14:14" x14ac:dyDescent="0.35">
      <c r="N3513" s="676"/>
    </row>
    <row r="3514" spans="14:14" x14ac:dyDescent="0.35">
      <c r="N3514" s="676"/>
    </row>
    <row r="3515" spans="14:14" x14ac:dyDescent="0.35">
      <c r="N3515" s="676"/>
    </row>
    <row r="3516" spans="14:14" x14ac:dyDescent="0.35">
      <c r="N3516" s="676"/>
    </row>
    <row r="3517" spans="14:14" x14ac:dyDescent="0.35">
      <c r="N3517" s="676"/>
    </row>
    <row r="3518" spans="14:14" x14ac:dyDescent="0.35">
      <c r="N3518" s="676"/>
    </row>
    <row r="3519" spans="14:14" x14ac:dyDescent="0.35">
      <c r="N3519" s="676"/>
    </row>
    <row r="3520" spans="14:14" x14ac:dyDescent="0.35">
      <c r="N3520" s="676"/>
    </row>
    <row r="3521" spans="14:14" x14ac:dyDescent="0.35">
      <c r="N3521" s="676"/>
    </row>
    <row r="3522" spans="14:14" x14ac:dyDescent="0.35">
      <c r="N3522" s="676"/>
    </row>
    <row r="3523" spans="14:14" x14ac:dyDescent="0.35">
      <c r="N3523" s="676"/>
    </row>
    <row r="3524" spans="14:14" x14ac:dyDescent="0.35">
      <c r="N3524" s="676"/>
    </row>
    <row r="3525" spans="14:14" x14ac:dyDescent="0.35">
      <c r="N3525" s="676"/>
    </row>
    <row r="3526" spans="14:14" x14ac:dyDescent="0.35">
      <c r="N3526" s="676"/>
    </row>
    <row r="3527" spans="14:14" x14ac:dyDescent="0.35">
      <c r="N3527" s="676"/>
    </row>
    <row r="3528" spans="14:14" x14ac:dyDescent="0.35">
      <c r="N3528" s="676"/>
    </row>
    <row r="3529" spans="14:14" x14ac:dyDescent="0.35">
      <c r="N3529" s="676"/>
    </row>
    <row r="3530" spans="14:14" x14ac:dyDescent="0.35">
      <c r="N3530" s="676"/>
    </row>
    <row r="3531" spans="14:14" x14ac:dyDescent="0.35">
      <c r="N3531" s="676"/>
    </row>
    <row r="3532" spans="14:14" x14ac:dyDescent="0.35">
      <c r="N3532" s="676"/>
    </row>
    <row r="3533" spans="14:14" x14ac:dyDescent="0.35">
      <c r="N3533" s="676"/>
    </row>
    <row r="3534" spans="14:14" x14ac:dyDescent="0.35">
      <c r="N3534" s="676"/>
    </row>
    <row r="3535" spans="14:14" x14ac:dyDescent="0.35">
      <c r="N3535" s="676"/>
    </row>
    <row r="3536" spans="14:14" x14ac:dyDescent="0.35">
      <c r="N3536" s="676"/>
    </row>
    <row r="3537" spans="14:14" x14ac:dyDescent="0.35">
      <c r="N3537" s="676"/>
    </row>
    <row r="3538" spans="14:14" x14ac:dyDescent="0.35">
      <c r="N3538" s="676"/>
    </row>
    <row r="3539" spans="14:14" x14ac:dyDescent="0.35">
      <c r="N3539" s="676"/>
    </row>
    <row r="3540" spans="14:14" x14ac:dyDescent="0.35">
      <c r="N3540" s="676"/>
    </row>
    <row r="3541" spans="14:14" x14ac:dyDescent="0.35">
      <c r="N3541" s="676"/>
    </row>
    <row r="3542" spans="14:14" x14ac:dyDescent="0.35">
      <c r="N3542" s="676"/>
    </row>
    <row r="3543" spans="14:14" x14ac:dyDescent="0.35">
      <c r="N3543" s="676"/>
    </row>
    <row r="3544" spans="14:14" x14ac:dyDescent="0.35">
      <c r="N3544" s="676"/>
    </row>
    <row r="3545" spans="14:14" x14ac:dyDescent="0.35">
      <c r="N3545" s="676"/>
    </row>
    <row r="3546" spans="14:14" x14ac:dyDescent="0.35">
      <c r="N3546" s="676"/>
    </row>
    <row r="3547" spans="14:14" x14ac:dyDescent="0.35">
      <c r="N3547" s="676"/>
    </row>
    <row r="3548" spans="14:14" x14ac:dyDescent="0.35">
      <c r="N3548" s="676"/>
    </row>
    <row r="3549" spans="14:14" x14ac:dyDescent="0.35">
      <c r="N3549" s="676"/>
    </row>
    <row r="3550" spans="14:14" x14ac:dyDescent="0.35">
      <c r="N3550" s="676"/>
    </row>
    <row r="3551" spans="14:14" x14ac:dyDescent="0.35">
      <c r="N3551" s="676"/>
    </row>
    <row r="3552" spans="14:14" x14ac:dyDescent="0.35">
      <c r="N3552" s="676"/>
    </row>
    <row r="3553" spans="14:14" x14ac:dyDescent="0.35">
      <c r="N3553" s="676"/>
    </row>
    <row r="3554" spans="14:14" x14ac:dyDescent="0.35">
      <c r="N3554" s="676"/>
    </row>
    <row r="3555" spans="14:14" x14ac:dyDescent="0.35">
      <c r="N3555" s="676"/>
    </row>
    <row r="3556" spans="14:14" x14ac:dyDescent="0.35">
      <c r="N3556" s="676"/>
    </row>
    <row r="3557" spans="14:14" x14ac:dyDescent="0.35">
      <c r="N3557" s="676"/>
    </row>
    <row r="3558" spans="14:14" x14ac:dyDescent="0.35">
      <c r="N3558" s="676"/>
    </row>
    <row r="3559" spans="14:14" x14ac:dyDescent="0.35">
      <c r="N3559" s="676"/>
    </row>
    <row r="3560" spans="14:14" x14ac:dyDescent="0.35">
      <c r="N3560" s="676"/>
    </row>
    <row r="3561" spans="14:14" x14ac:dyDescent="0.35">
      <c r="N3561" s="676"/>
    </row>
    <row r="3562" spans="14:14" x14ac:dyDescent="0.35">
      <c r="N3562" s="676"/>
    </row>
    <row r="3563" spans="14:14" x14ac:dyDescent="0.35">
      <c r="N3563" s="676"/>
    </row>
    <row r="3564" spans="14:14" x14ac:dyDescent="0.35">
      <c r="N3564" s="676"/>
    </row>
    <row r="3565" spans="14:14" x14ac:dyDescent="0.35">
      <c r="N3565" s="676"/>
    </row>
    <row r="3566" spans="14:14" x14ac:dyDescent="0.35">
      <c r="N3566" s="676"/>
    </row>
    <row r="3567" spans="14:14" x14ac:dyDescent="0.35">
      <c r="N3567" s="676"/>
    </row>
    <row r="3568" spans="14:14" x14ac:dyDescent="0.35">
      <c r="N3568" s="676"/>
    </row>
    <row r="3569" spans="14:14" x14ac:dyDescent="0.35">
      <c r="N3569" s="676"/>
    </row>
    <row r="3570" spans="14:14" x14ac:dyDescent="0.35">
      <c r="N3570" s="676"/>
    </row>
    <row r="3571" spans="14:14" x14ac:dyDescent="0.35">
      <c r="N3571" s="676"/>
    </row>
    <row r="3572" spans="14:14" x14ac:dyDescent="0.35">
      <c r="N3572" s="676"/>
    </row>
    <row r="3573" spans="14:14" x14ac:dyDescent="0.35">
      <c r="N3573" s="676"/>
    </row>
    <row r="3574" spans="14:14" x14ac:dyDescent="0.35">
      <c r="N3574" s="676"/>
    </row>
    <row r="3575" spans="14:14" x14ac:dyDescent="0.35">
      <c r="N3575" s="676"/>
    </row>
    <row r="3576" spans="14:14" x14ac:dyDescent="0.35">
      <c r="N3576" s="676"/>
    </row>
    <row r="3577" spans="14:14" x14ac:dyDescent="0.35">
      <c r="N3577" s="676"/>
    </row>
    <row r="3578" spans="14:14" x14ac:dyDescent="0.35">
      <c r="N3578" s="676"/>
    </row>
    <row r="3579" spans="14:14" x14ac:dyDescent="0.35">
      <c r="N3579" s="676"/>
    </row>
    <row r="3580" spans="14:14" x14ac:dyDescent="0.35">
      <c r="N3580" s="676"/>
    </row>
    <row r="3581" spans="14:14" x14ac:dyDescent="0.35">
      <c r="N3581" s="676"/>
    </row>
    <row r="3582" spans="14:14" x14ac:dyDescent="0.35">
      <c r="N3582" s="676"/>
    </row>
    <row r="3583" spans="14:14" x14ac:dyDescent="0.35">
      <c r="N3583" s="676"/>
    </row>
    <row r="3584" spans="14:14" x14ac:dyDescent="0.35">
      <c r="N3584" s="676"/>
    </row>
    <row r="3585" spans="14:14" x14ac:dyDescent="0.35">
      <c r="N3585" s="676"/>
    </row>
    <row r="3586" spans="14:14" x14ac:dyDescent="0.35">
      <c r="N3586" s="676"/>
    </row>
    <row r="3587" spans="14:14" x14ac:dyDescent="0.35">
      <c r="N3587" s="676"/>
    </row>
    <row r="3588" spans="14:14" x14ac:dyDescent="0.35">
      <c r="N3588" s="676"/>
    </row>
    <row r="3589" spans="14:14" x14ac:dyDescent="0.35">
      <c r="N3589" s="676"/>
    </row>
    <row r="3590" spans="14:14" x14ac:dyDescent="0.35">
      <c r="N3590" s="676"/>
    </row>
    <row r="3591" spans="14:14" x14ac:dyDescent="0.35">
      <c r="N3591" s="676"/>
    </row>
    <row r="3592" spans="14:14" x14ac:dyDescent="0.35">
      <c r="N3592" s="676"/>
    </row>
    <row r="3593" spans="14:14" x14ac:dyDescent="0.35">
      <c r="N3593" s="676"/>
    </row>
    <row r="3594" spans="14:14" x14ac:dyDescent="0.35">
      <c r="N3594" s="676"/>
    </row>
    <row r="3595" spans="14:14" x14ac:dyDescent="0.35">
      <c r="N3595" s="676"/>
    </row>
    <row r="3596" spans="14:14" x14ac:dyDescent="0.35">
      <c r="N3596" s="676"/>
    </row>
    <row r="3597" spans="14:14" x14ac:dyDescent="0.35">
      <c r="N3597" s="676"/>
    </row>
    <row r="3598" spans="14:14" x14ac:dyDescent="0.35">
      <c r="N3598" s="676"/>
    </row>
    <row r="3599" spans="14:14" x14ac:dyDescent="0.35">
      <c r="N3599" s="676"/>
    </row>
    <row r="3600" spans="14:14" x14ac:dyDescent="0.35">
      <c r="N3600" s="676"/>
    </row>
    <row r="3601" spans="14:14" x14ac:dyDescent="0.35">
      <c r="N3601" s="676"/>
    </row>
    <row r="3602" spans="14:14" x14ac:dyDescent="0.35">
      <c r="N3602" s="676"/>
    </row>
    <row r="3603" spans="14:14" x14ac:dyDescent="0.35">
      <c r="N3603" s="676"/>
    </row>
    <row r="3604" spans="14:14" x14ac:dyDescent="0.35">
      <c r="N3604" s="676"/>
    </row>
    <row r="3605" spans="14:14" x14ac:dyDescent="0.35">
      <c r="N3605" s="676"/>
    </row>
    <row r="3606" spans="14:14" x14ac:dyDescent="0.35">
      <c r="N3606" s="676"/>
    </row>
    <row r="3607" spans="14:14" x14ac:dyDescent="0.35">
      <c r="N3607" s="676"/>
    </row>
    <row r="3608" spans="14:14" x14ac:dyDescent="0.35">
      <c r="N3608" s="676"/>
    </row>
    <row r="3609" spans="14:14" x14ac:dyDescent="0.35">
      <c r="N3609" s="676"/>
    </row>
    <row r="3610" spans="14:14" x14ac:dyDescent="0.35">
      <c r="N3610" s="676"/>
    </row>
    <row r="3611" spans="14:14" x14ac:dyDescent="0.35">
      <c r="N3611" s="676"/>
    </row>
    <row r="3612" spans="14:14" x14ac:dyDescent="0.35">
      <c r="N3612" s="676"/>
    </row>
    <row r="3613" spans="14:14" x14ac:dyDescent="0.35">
      <c r="N3613" s="676"/>
    </row>
    <row r="3614" spans="14:14" x14ac:dyDescent="0.35">
      <c r="N3614" s="676"/>
    </row>
    <row r="3615" spans="14:14" x14ac:dyDescent="0.35">
      <c r="N3615" s="676"/>
    </row>
    <row r="3616" spans="14:14" x14ac:dyDescent="0.35">
      <c r="N3616" s="676"/>
    </row>
    <row r="3617" spans="14:14" x14ac:dyDescent="0.35">
      <c r="N3617" s="676"/>
    </row>
    <row r="3618" spans="14:14" x14ac:dyDescent="0.35">
      <c r="N3618" s="676"/>
    </row>
    <row r="3619" spans="14:14" x14ac:dyDescent="0.35">
      <c r="N3619" s="676"/>
    </row>
    <row r="3620" spans="14:14" x14ac:dyDescent="0.35">
      <c r="N3620" s="676"/>
    </row>
    <row r="3621" spans="14:14" x14ac:dyDescent="0.35">
      <c r="N3621" s="676"/>
    </row>
    <row r="3622" spans="14:14" x14ac:dyDescent="0.35">
      <c r="N3622" s="676"/>
    </row>
    <row r="3623" spans="14:14" x14ac:dyDescent="0.35">
      <c r="N3623" s="676"/>
    </row>
    <row r="3624" spans="14:14" x14ac:dyDescent="0.35">
      <c r="N3624" s="676"/>
    </row>
    <row r="3625" spans="14:14" x14ac:dyDescent="0.35">
      <c r="N3625" s="676"/>
    </row>
    <row r="3626" spans="14:14" x14ac:dyDescent="0.35">
      <c r="N3626" s="676"/>
    </row>
    <row r="3627" spans="14:14" x14ac:dyDescent="0.35">
      <c r="N3627" s="676"/>
    </row>
    <row r="3628" spans="14:14" x14ac:dyDescent="0.35">
      <c r="N3628" s="676"/>
    </row>
    <row r="3629" spans="14:14" x14ac:dyDescent="0.35">
      <c r="N3629" s="676"/>
    </row>
    <row r="3630" spans="14:14" x14ac:dyDescent="0.35">
      <c r="N3630" s="676"/>
    </row>
    <row r="3631" spans="14:14" x14ac:dyDescent="0.35">
      <c r="N3631" s="676"/>
    </row>
    <row r="3632" spans="14:14" x14ac:dyDescent="0.35">
      <c r="N3632" s="676"/>
    </row>
    <row r="3633" spans="14:14" x14ac:dyDescent="0.35">
      <c r="N3633" s="676"/>
    </row>
    <row r="3634" spans="14:14" x14ac:dyDescent="0.35">
      <c r="N3634" s="676"/>
    </row>
    <row r="3635" spans="14:14" x14ac:dyDescent="0.35">
      <c r="N3635" s="676"/>
    </row>
    <row r="3636" spans="14:14" x14ac:dyDescent="0.35">
      <c r="N3636" s="676"/>
    </row>
    <row r="3637" spans="14:14" x14ac:dyDescent="0.35">
      <c r="N3637" s="676"/>
    </row>
    <row r="3638" spans="14:14" x14ac:dyDescent="0.35">
      <c r="N3638" s="676"/>
    </row>
    <row r="3639" spans="14:14" x14ac:dyDescent="0.35">
      <c r="N3639" s="676"/>
    </row>
    <row r="3640" spans="14:14" x14ac:dyDescent="0.35">
      <c r="N3640" s="676"/>
    </row>
    <row r="3641" spans="14:14" x14ac:dyDescent="0.35">
      <c r="N3641" s="676"/>
    </row>
    <row r="3642" spans="14:14" x14ac:dyDescent="0.35">
      <c r="N3642" s="676"/>
    </row>
    <row r="3643" spans="14:14" x14ac:dyDescent="0.35">
      <c r="N3643" s="676"/>
    </row>
    <row r="3644" spans="14:14" x14ac:dyDescent="0.35">
      <c r="N3644" s="676"/>
    </row>
    <row r="3645" spans="14:14" x14ac:dyDescent="0.35">
      <c r="N3645" s="676"/>
    </row>
    <row r="3646" spans="14:14" x14ac:dyDescent="0.35">
      <c r="N3646" s="676"/>
    </row>
    <row r="3647" spans="14:14" x14ac:dyDescent="0.35">
      <c r="N3647" s="676"/>
    </row>
    <row r="3648" spans="14:14" x14ac:dyDescent="0.35">
      <c r="N3648" s="676"/>
    </row>
    <row r="3649" spans="14:14" x14ac:dyDescent="0.35">
      <c r="N3649" s="676"/>
    </row>
    <row r="3650" spans="14:14" x14ac:dyDescent="0.35">
      <c r="N3650" s="676"/>
    </row>
    <row r="3651" spans="14:14" x14ac:dyDescent="0.35">
      <c r="N3651" s="676"/>
    </row>
    <row r="3652" spans="14:14" x14ac:dyDescent="0.35">
      <c r="N3652" s="676"/>
    </row>
    <row r="3653" spans="14:14" x14ac:dyDescent="0.35">
      <c r="N3653" s="676"/>
    </row>
    <row r="3654" spans="14:14" x14ac:dyDescent="0.35">
      <c r="N3654" s="676"/>
    </row>
    <row r="3655" spans="14:14" x14ac:dyDescent="0.35">
      <c r="N3655" s="676"/>
    </row>
    <row r="3656" spans="14:14" x14ac:dyDescent="0.35">
      <c r="N3656" s="676"/>
    </row>
    <row r="3657" spans="14:14" x14ac:dyDescent="0.35">
      <c r="N3657" s="676"/>
    </row>
    <row r="3658" spans="14:14" x14ac:dyDescent="0.35">
      <c r="N3658" s="676"/>
    </row>
    <row r="3659" spans="14:14" x14ac:dyDescent="0.35">
      <c r="N3659" s="676"/>
    </row>
    <row r="3660" spans="14:14" x14ac:dyDescent="0.35">
      <c r="N3660" s="676"/>
    </row>
    <row r="3661" spans="14:14" x14ac:dyDescent="0.35">
      <c r="N3661" s="676"/>
    </row>
    <row r="3662" spans="14:14" x14ac:dyDescent="0.35">
      <c r="N3662" s="676"/>
    </row>
    <row r="3663" spans="14:14" x14ac:dyDescent="0.35">
      <c r="N3663" s="676"/>
    </row>
    <row r="3664" spans="14:14" x14ac:dyDescent="0.35">
      <c r="N3664" s="676"/>
    </row>
    <row r="3665" spans="14:14" x14ac:dyDescent="0.35">
      <c r="N3665" s="676"/>
    </row>
    <row r="3666" spans="14:14" x14ac:dyDescent="0.35">
      <c r="N3666" s="676"/>
    </row>
    <row r="3667" spans="14:14" x14ac:dyDescent="0.35">
      <c r="N3667" s="676"/>
    </row>
    <row r="3668" spans="14:14" x14ac:dyDescent="0.35">
      <c r="N3668" s="676"/>
    </row>
    <row r="3669" spans="14:14" x14ac:dyDescent="0.35">
      <c r="N3669" s="676"/>
    </row>
    <row r="3670" spans="14:14" x14ac:dyDescent="0.35">
      <c r="N3670" s="676"/>
    </row>
    <row r="3671" spans="14:14" x14ac:dyDescent="0.35">
      <c r="N3671" s="676"/>
    </row>
    <row r="3672" spans="14:14" x14ac:dyDescent="0.35">
      <c r="N3672" s="676"/>
    </row>
    <row r="3673" spans="14:14" x14ac:dyDescent="0.35">
      <c r="N3673" s="676"/>
    </row>
    <row r="3674" spans="14:14" x14ac:dyDescent="0.35">
      <c r="N3674" s="676"/>
    </row>
    <row r="3675" spans="14:14" x14ac:dyDescent="0.35">
      <c r="N3675" s="676"/>
    </row>
    <row r="3676" spans="14:14" x14ac:dyDescent="0.35">
      <c r="N3676" s="676"/>
    </row>
    <row r="3677" spans="14:14" x14ac:dyDescent="0.35">
      <c r="N3677" s="676"/>
    </row>
    <row r="3678" spans="14:14" x14ac:dyDescent="0.35">
      <c r="N3678" s="676"/>
    </row>
    <row r="3679" spans="14:14" x14ac:dyDescent="0.35">
      <c r="N3679" s="676"/>
    </row>
    <row r="3680" spans="14:14" x14ac:dyDescent="0.35">
      <c r="N3680" s="676"/>
    </row>
    <row r="3681" spans="14:14" x14ac:dyDescent="0.35">
      <c r="N3681" s="676"/>
    </row>
    <row r="3682" spans="14:14" x14ac:dyDescent="0.35">
      <c r="N3682" s="676"/>
    </row>
    <row r="3683" spans="14:14" x14ac:dyDescent="0.35">
      <c r="N3683" s="676"/>
    </row>
    <row r="3684" spans="14:14" x14ac:dyDescent="0.35">
      <c r="N3684" s="676"/>
    </row>
    <row r="3685" spans="14:14" x14ac:dyDescent="0.35">
      <c r="N3685" s="676"/>
    </row>
    <row r="3686" spans="14:14" x14ac:dyDescent="0.35">
      <c r="N3686" s="676"/>
    </row>
    <row r="3687" spans="14:14" x14ac:dyDescent="0.35">
      <c r="N3687" s="676"/>
    </row>
    <row r="3688" spans="14:14" x14ac:dyDescent="0.35">
      <c r="N3688" s="676"/>
    </row>
    <row r="3689" spans="14:14" x14ac:dyDescent="0.35">
      <c r="N3689" s="676"/>
    </row>
    <row r="3690" spans="14:14" x14ac:dyDescent="0.35">
      <c r="N3690" s="676"/>
    </row>
    <row r="3691" spans="14:14" x14ac:dyDescent="0.35">
      <c r="N3691" s="676"/>
    </row>
    <row r="3692" spans="14:14" x14ac:dyDescent="0.35">
      <c r="N3692" s="676"/>
    </row>
    <row r="3693" spans="14:14" x14ac:dyDescent="0.35">
      <c r="N3693" s="676"/>
    </row>
    <row r="3694" spans="14:14" x14ac:dyDescent="0.35">
      <c r="N3694" s="676"/>
    </row>
    <row r="3695" spans="14:14" x14ac:dyDescent="0.35">
      <c r="N3695" s="676"/>
    </row>
    <row r="3696" spans="14:14" x14ac:dyDescent="0.35">
      <c r="N3696" s="676"/>
    </row>
    <row r="3697" spans="14:14" x14ac:dyDescent="0.35">
      <c r="N3697" s="676"/>
    </row>
    <row r="3698" spans="14:14" x14ac:dyDescent="0.35">
      <c r="N3698" s="676"/>
    </row>
    <row r="3699" spans="14:14" x14ac:dyDescent="0.35">
      <c r="N3699" s="676"/>
    </row>
    <row r="3700" spans="14:14" x14ac:dyDescent="0.35">
      <c r="N3700" s="676"/>
    </row>
    <row r="3701" spans="14:14" x14ac:dyDescent="0.35">
      <c r="N3701" s="676"/>
    </row>
    <row r="3702" spans="14:14" x14ac:dyDescent="0.35">
      <c r="N3702" s="676"/>
    </row>
    <row r="3703" spans="14:14" x14ac:dyDescent="0.35">
      <c r="N3703" s="676"/>
    </row>
    <row r="3704" spans="14:14" x14ac:dyDescent="0.35">
      <c r="N3704" s="676"/>
    </row>
    <row r="3705" spans="14:14" x14ac:dyDescent="0.35">
      <c r="N3705" s="676"/>
    </row>
    <row r="3706" spans="14:14" x14ac:dyDescent="0.35">
      <c r="N3706" s="676"/>
    </row>
    <row r="3707" spans="14:14" x14ac:dyDescent="0.35">
      <c r="N3707" s="676"/>
    </row>
    <row r="3708" spans="14:14" x14ac:dyDescent="0.35">
      <c r="N3708" s="676"/>
    </row>
    <row r="3709" spans="14:14" x14ac:dyDescent="0.35">
      <c r="N3709" s="676"/>
    </row>
    <row r="3710" spans="14:14" x14ac:dyDescent="0.35">
      <c r="N3710" s="676"/>
    </row>
    <row r="3711" spans="14:14" x14ac:dyDescent="0.35">
      <c r="N3711" s="676"/>
    </row>
    <row r="3712" spans="14:14" x14ac:dyDescent="0.35">
      <c r="N3712" s="676"/>
    </row>
    <row r="3713" spans="14:14" x14ac:dyDescent="0.35">
      <c r="N3713" s="676"/>
    </row>
    <row r="3714" spans="14:14" x14ac:dyDescent="0.35">
      <c r="N3714" s="676"/>
    </row>
    <row r="3715" spans="14:14" x14ac:dyDescent="0.35">
      <c r="N3715" s="676"/>
    </row>
    <row r="3716" spans="14:14" x14ac:dyDescent="0.35">
      <c r="N3716" s="676"/>
    </row>
    <row r="3717" spans="14:14" x14ac:dyDescent="0.35">
      <c r="N3717" s="676"/>
    </row>
    <row r="3718" spans="14:14" x14ac:dyDescent="0.35">
      <c r="N3718" s="676"/>
    </row>
    <row r="3719" spans="14:14" x14ac:dyDescent="0.35">
      <c r="N3719" s="676"/>
    </row>
    <row r="3720" spans="14:14" x14ac:dyDescent="0.35">
      <c r="N3720" s="676"/>
    </row>
    <row r="3721" spans="14:14" x14ac:dyDescent="0.35">
      <c r="N3721" s="676"/>
    </row>
    <row r="3722" spans="14:14" x14ac:dyDescent="0.35">
      <c r="N3722" s="676"/>
    </row>
    <row r="3723" spans="14:14" x14ac:dyDescent="0.35">
      <c r="N3723" s="676"/>
    </row>
    <row r="3724" spans="14:14" x14ac:dyDescent="0.35">
      <c r="N3724" s="676"/>
    </row>
    <row r="3725" spans="14:14" x14ac:dyDescent="0.35">
      <c r="N3725" s="676"/>
    </row>
    <row r="3726" spans="14:14" x14ac:dyDescent="0.35">
      <c r="N3726" s="676"/>
    </row>
    <row r="3727" spans="14:14" x14ac:dyDescent="0.35">
      <c r="N3727" s="676"/>
    </row>
    <row r="3728" spans="14:14" x14ac:dyDescent="0.35">
      <c r="N3728" s="676"/>
    </row>
    <row r="3729" spans="14:14" x14ac:dyDescent="0.35">
      <c r="N3729" s="676"/>
    </row>
    <row r="3730" spans="14:14" x14ac:dyDescent="0.35">
      <c r="N3730" s="676"/>
    </row>
    <row r="3731" spans="14:14" x14ac:dyDescent="0.35">
      <c r="N3731" s="676"/>
    </row>
    <row r="3732" spans="14:14" x14ac:dyDescent="0.35">
      <c r="N3732" s="676"/>
    </row>
    <row r="3733" spans="14:14" x14ac:dyDescent="0.35">
      <c r="N3733" s="676"/>
    </row>
    <row r="3734" spans="14:14" x14ac:dyDescent="0.35">
      <c r="N3734" s="676"/>
    </row>
    <row r="3735" spans="14:14" x14ac:dyDescent="0.35">
      <c r="N3735" s="676"/>
    </row>
    <row r="3736" spans="14:14" x14ac:dyDescent="0.35">
      <c r="N3736" s="676"/>
    </row>
    <row r="3737" spans="14:14" x14ac:dyDescent="0.35">
      <c r="N3737" s="676"/>
    </row>
    <row r="3738" spans="14:14" x14ac:dyDescent="0.35">
      <c r="N3738" s="676"/>
    </row>
    <row r="3739" spans="14:14" x14ac:dyDescent="0.35">
      <c r="N3739" s="676"/>
    </row>
    <row r="3740" spans="14:14" x14ac:dyDescent="0.35">
      <c r="N3740" s="676"/>
    </row>
    <row r="3741" spans="14:14" x14ac:dyDescent="0.35">
      <c r="N3741" s="676"/>
    </row>
    <row r="3742" spans="14:14" x14ac:dyDescent="0.35">
      <c r="N3742" s="676"/>
    </row>
    <row r="3743" spans="14:14" x14ac:dyDescent="0.35">
      <c r="N3743" s="676"/>
    </row>
    <row r="3744" spans="14:14" x14ac:dyDescent="0.35">
      <c r="N3744" s="676"/>
    </row>
    <row r="3745" spans="14:14" x14ac:dyDescent="0.35">
      <c r="N3745" s="676"/>
    </row>
    <row r="3746" spans="14:14" x14ac:dyDescent="0.35">
      <c r="N3746" s="676"/>
    </row>
    <row r="3747" spans="14:14" x14ac:dyDescent="0.35">
      <c r="N3747" s="676"/>
    </row>
    <row r="3748" spans="14:14" x14ac:dyDescent="0.35">
      <c r="N3748" s="676"/>
    </row>
    <row r="3749" spans="14:14" x14ac:dyDescent="0.35">
      <c r="N3749" s="676"/>
    </row>
    <row r="3750" spans="14:14" x14ac:dyDescent="0.35">
      <c r="N3750" s="676"/>
    </row>
    <row r="3751" spans="14:14" x14ac:dyDescent="0.35">
      <c r="N3751" s="676"/>
    </row>
    <row r="3752" spans="14:14" x14ac:dyDescent="0.35">
      <c r="N3752" s="676"/>
    </row>
    <row r="3753" spans="14:14" x14ac:dyDescent="0.35">
      <c r="N3753" s="676"/>
    </row>
    <row r="3754" spans="14:14" x14ac:dyDescent="0.35">
      <c r="N3754" s="676"/>
    </row>
    <row r="3755" spans="14:14" x14ac:dyDescent="0.35">
      <c r="N3755" s="676"/>
    </row>
    <row r="3756" spans="14:14" x14ac:dyDescent="0.35">
      <c r="N3756" s="676"/>
    </row>
    <row r="3757" spans="14:14" x14ac:dyDescent="0.35">
      <c r="N3757" s="676"/>
    </row>
    <row r="3758" spans="14:14" x14ac:dyDescent="0.35">
      <c r="N3758" s="676"/>
    </row>
    <row r="3759" spans="14:14" x14ac:dyDescent="0.35">
      <c r="N3759" s="676"/>
    </row>
    <row r="3760" spans="14:14" x14ac:dyDescent="0.35">
      <c r="N3760" s="676"/>
    </row>
    <row r="3761" spans="14:14" x14ac:dyDescent="0.35">
      <c r="N3761" s="676"/>
    </row>
    <row r="3762" spans="14:14" x14ac:dyDescent="0.35">
      <c r="N3762" s="676"/>
    </row>
    <row r="3763" spans="14:14" x14ac:dyDescent="0.35">
      <c r="N3763" s="676"/>
    </row>
    <row r="3764" spans="14:14" x14ac:dyDescent="0.35">
      <c r="N3764" s="676"/>
    </row>
    <row r="3765" spans="14:14" x14ac:dyDescent="0.35">
      <c r="N3765" s="676"/>
    </row>
    <row r="3766" spans="14:14" x14ac:dyDescent="0.35">
      <c r="N3766" s="676"/>
    </row>
    <row r="3767" spans="14:14" x14ac:dyDescent="0.35">
      <c r="N3767" s="676"/>
    </row>
    <row r="3768" spans="14:14" x14ac:dyDescent="0.35">
      <c r="N3768" s="676"/>
    </row>
    <row r="3769" spans="14:14" x14ac:dyDescent="0.35">
      <c r="N3769" s="676"/>
    </row>
    <row r="3770" spans="14:14" x14ac:dyDescent="0.35">
      <c r="N3770" s="676"/>
    </row>
    <row r="3771" spans="14:14" x14ac:dyDescent="0.35">
      <c r="N3771" s="676"/>
    </row>
    <row r="3772" spans="14:14" x14ac:dyDescent="0.35">
      <c r="N3772" s="676"/>
    </row>
    <row r="3773" spans="14:14" x14ac:dyDescent="0.35">
      <c r="N3773" s="676"/>
    </row>
    <row r="3774" spans="14:14" x14ac:dyDescent="0.35">
      <c r="N3774" s="676"/>
    </row>
    <row r="3775" spans="14:14" x14ac:dyDescent="0.35">
      <c r="N3775" s="676"/>
    </row>
    <row r="3776" spans="14:14" x14ac:dyDescent="0.35">
      <c r="N3776" s="676"/>
    </row>
    <row r="3777" spans="14:14" x14ac:dyDescent="0.35">
      <c r="N3777" s="676"/>
    </row>
    <row r="3778" spans="14:14" x14ac:dyDescent="0.35">
      <c r="N3778" s="676"/>
    </row>
    <row r="3779" spans="14:14" x14ac:dyDescent="0.35">
      <c r="N3779" s="676"/>
    </row>
    <row r="3780" spans="14:14" x14ac:dyDescent="0.35">
      <c r="N3780" s="676"/>
    </row>
    <row r="3781" spans="14:14" x14ac:dyDescent="0.35">
      <c r="N3781" s="676"/>
    </row>
    <row r="3782" spans="14:14" x14ac:dyDescent="0.35">
      <c r="N3782" s="676"/>
    </row>
    <row r="3783" spans="14:14" x14ac:dyDescent="0.35">
      <c r="N3783" s="676"/>
    </row>
    <row r="3784" spans="14:14" x14ac:dyDescent="0.35">
      <c r="N3784" s="676"/>
    </row>
    <row r="3785" spans="14:14" x14ac:dyDescent="0.35">
      <c r="N3785" s="676"/>
    </row>
    <row r="3786" spans="14:14" x14ac:dyDescent="0.35">
      <c r="N3786" s="676"/>
    </row>
    <row r="3787" spans="14:14" x14ac:dyDescent="0.35">
      <c r="N3787" s="676"/>
    </row>
    <row r="3788" spans="14:14" x14ac:dyDescent="0.35">
      <c r="N3788" s="676"/>
    </row>
    <row r="3789" spans="14:14" x14ac:dyDescent="0.35">
      <c r="N3789" s="676"/>
    </row>
    <row r="3790" spans="14:14" x14ac:dyDescent="0.35">
      <c r="N3790" s="676"/>
    </row>
    <row r="3791" spans="14:14" x14ac:dyDescent="0.35">
      <c r="N3791" s="676"/>
    </row>
    <row r="3792" spans="14:14" x14ac:dyDescent="0.35">
      <c r="N3792" s="676"/>
    </row>
    <row r="3793" spans="14:14" x14ac:dyDescent="0.35">
      <c r="N3793" s="676"/>
    </row>
    <row r="3794" spans="14:14" x14ac:dyDescent="0.35">
      <c r="N3794" s="676"/>
    </row>
    <row r="3795" spans="14:14" x14ac:dyDescent="0.35">
      <c r="N3795" s="676"/>
    </row>
    <row r="3796" spans="14:14" x14ac:dyDescent="0.35">
      <c r="N3796" s="676"/>
    </row>
    <row r="3797" spans="14:14" x14ac:dyDescent="0.35">
      <c r="N3797" s="676"/>
    </row>
    <row r="3798" spans="14:14" x14ac:dyDescent="0.35">
      <c r="N3798" s="676"/>
    </row>
    <row r="3799" spans="14:14" x14ac:dyDescent="0.35">
      <c r="N3799" s="676"/>
    </row>
    <row r="3800" spans="14:14" x14ac:dyDescent="0.35">
      <c r="N3800" s="676"/>
    </row>
    <row r="3801" spans="14:14" x14ac:dyDescent="0.35">
      <c r="N3801" s="676"/>
    </row>
    <row r="3802" spans="14:14" x14ac:dyDescent="0.35">
      <c r="N3802" s="676"/>
    </row>
    <row r="3803" spans="14:14" x14ac:dyDescent="0.35">
      <c r="N3803" s="676"/>
    </row>
    <row r="3804" spans="14:14" x14ac:dyDescent="0.35">
      <c r="N3804" s="676"/>
    </row>
    <row r="3805" spans="14:14" x14ac:dyDescent="0.35">
      <c r="N3805" s="676"/>
    </row>
    <row r="3806" spans="14:14" x14ac:dyDescent="0.35">
      <c r="N3806" s="676"/>
    </row>
    <row r="3807" spans="14:14" x14ac:dyDescent="0.35">
      <c r="N3807" s="676"/>
    </row>
    <row r="3808" spans="14:14" x14ac:dyDescent="0.35">
      <c r="N3808" s="676"/>
    </row>
    <row r="3809" spans="14:14" x14ac:dyDescent="0.35">
      <c r="N3809" s="676"/>
    </row>
    <row r="3810" spans="14:14" x14ac:dyDescent="0.35">
      <c r="N3810" s="676"/>
    </row>
    <row r="3811" spans="14:14" x14ac:dyDescent="0.35">
      <c r="N3811" s="676"/>
    </row>
    <row r="3812" spans="14:14" x14ac:dyDescent="0.35">
      <c r="N3812" s="676"/>
    </row>
    <row r="3813" spans="14:14" x14ac:dyDescent="0.35">
      <c r="N3813" s="676"/>
    </row>
    <row r="3814" spans="14:14" x14ac:dyDescent="0.35">
      <c r="N3814" s="676"/>
    </row>
    <row r="3815" spans="14:14" x14ac:dyDescent="0.35">
      <c r="N3815" s="676"/>
    </row>
    <row r="3816" spans="14:14" x14ac:dyDescent="0.35">
      <c r="N3816" s="676"/>
    </row>
    <row r="3817" spans="14:14" x14ac:dyDescent="0.35">
      <c r="N3817" s="676"/>
    </row>
    <row r="3818" spans="14:14" x14ac:dyDescent="0.35">
      <c r="N3818" s="676"/>
    </row>
    <row r="3819" spans="14:14" x14ac:dyDescent="0.35">
      <c r="N3819" s="676"/>
    </row>
    <row r="3820" spans="14:14" x14ac:dyDescent="0.35">
      <c r="N3820" s="676"/>
    </row>
    <row r="3821" spans="14:14" x14ac:dyDescent="0.35">
      <c r="N3821" s="676"/>
    </row>
    <row r="3822" spans="14:14" x14ac:dyDescent="0.35">
      <c r="N3822" s="676"/>
    </row>
    <row r="3823" spans="14:14" x14ac:dyDescent="0.35">
      <c r="N3823" s="676"/>
    </row>
    <row r="3824" spans="14:14" x14ac:dyDescent="0.35">
      <c r="N3824" s="676"/>
    </row>
    <row r="3825" spans="14:14" x14ac:dyDescent="0.35">
      <c r="N3825" s="676"/>
    </row>
    <row r="3826" spans="14:14" x14ac:dyDescent="0.35">
      <c r="N3826" s="676"/>
    </row>
    <row r="3827" spans="14:14" x14ac:dyDescent="0.35">
      <c r="N3827" s="676"/>
    </row>
    <row r="3828" spans="14:14" x14ac:dyDescent="0.35">
      <c r="N3828" s="676"/>
    </row>
    <row r="3829" spans="14:14" x14ac:dyDescent="0.35">
      <c r="N3829" s="676"/>
    </row>
    <row r="3830" spans="14:14" x14ac:dyDescent="0.35">
      <c r="N3830" s="676"/>
    </row>
    <row r="3831" spans="14:14" x14ac:dyDescent="0.35">
      <c r="N3831" s="676"/>
    </row>
    <row r="3832" spans="14:14" x14ac:dyDescent="0.35">
      <c r="N3832" s="676"/>
    </row>
    <row r="3833" spans="14:14" x14ac:dyDescent="0.35">
      <c r="N3833" s="676"/>
    </row>
    <row r="3834" spans="14:14" x14ac:dyDescent="0.35">
      <c r="N3834" s="676"/>
    </row>
    <row r="3835" spans="14:14" x14ac:dyDescent="0.35">
      <c r="N3835" s="676"/>
    </row>
    <row r="3836" spans="14:14" x14ac:dyDescent="0.35">
      <c r="N3836" s="676"/>
    </row>
    <row r="3837" spans="14:14" x14ac:dyDescent="0.35">
      <c r="N3837" s="676"/>
    </row>
    <row r="3838" spans="14:14" x14ac:dyDescent="0.35">
      <c r="N3838" s="676"/>
    </row>
    <row r="3839" spans="14:14" x14ac:dyDescent="0.35">
      <c r="N3839" s="676"/>
    </row>
    <row r="3840" spans="14:14" x14ac:dyDescent="0.35">
      <c r="N3840" s="676"/>
    </row>
    <row r="3841" spans="14:14" x14ac:dyDescent="0.35">
      <c r="N3841" s="676"/>
    </row>
    <row r="3842" spans="14:14" x14ac:dyDescent="0.35">
      <c r="N3842" s="676"/>
    </row>
    <row r="3843" spans="14:14" x14ac:dyDescent="0.35">
      <c r="N3843" s="676"/>
    </row>
    <row r="3844" spans="14:14" x14ac:dyDescent="0.35">
      <c r="N3844" s="676"/>
    </row>
    <row r="3845" spans="14:14" x14ac:dyDescent="0.35">
      <c r="N3845" s="676"/>
    </row>
    <row r="3846" spans="14:14" x14ac:dyDescent="0.35">
      <c r="N3846" s="676"/>
    </row>
    <row r="3847" spans="14:14" x14ac:dyDescent="0.35">
      <c r="N3847" s="676"/>
    </row>
    <row r="3848" spans="14:14" x14ac:dyDescent="0.35">
      <c r="N3848" s="676"/>
    </row>
    <row r="3849" spans="14:14" x14ac:dyDescent="0.35">
      <c r="N3849" s="676"/>
    </row>
    <row r="3850" spans="14:14" x14ac:dyDescent="0.35">
      <c r="N3850" s="676"/>
    </row>
    <row r="3851" spans="14:14" x14ac:dyDescent="0.35">
      <c r="N3851" s="676"/>
    </row>
    <row r="3852" spans="14:14" x14ac:dyDescent="0.35">
      <c r="N3852" s="676"/>
    </row>
    <row r="3853" spans="14:14" x14ac:dyDescent="0.35">
      <c r="N3853" s="676"/>
    </row>
    <row r="3854" spans="14:14" x14ac:dyDescent="0.35">
      <c r="N3854" s="676"/>
    </row>
    <row r="3855" spans="14:14" x14ac:dyDescent="0.35">
      <c r="N3855" s="676"/>
    </row>
    <row r="3856" spans="14:14" x14ac:dyDescent="0.35">
      <c r="N3856" s="676"/>
    </row>
    <row r="3857" spans="14:14" x14ac:dyDescent="0.35">
      <c r="N3857" s="676"/>
    </row>
    <row r="3858" spans="14:14" x14ac:dyDescent="0.35">
      <c r="N3858" s="676"/>
    </row>
    <row r="3859" spans="14:14" x14ac:dyDescent="0.35">
      <c r="N3859" s="676"/>
    </row>
    <row r="3860" spans="14:14" x14ac:dyDescent="0.35">
      <c r="N3860" s="676"/>
    </row>
    <row r="3861" spans="14:14" x14ac:dyDescent="0.35">
      <c r="N3861" s="676"/>
    </row>
    <row r="3862" spans="14:14" x14ac:dyDescent="0.35">
      <c r="N3862" s="676"/>
    </row>
    <row r="3863" spans="14:14" x14ac:dyDescent="0.35">
      <c r="N3863" s="676"/>
    </row>
    <row r="3864" spans="14:14" x14ac:dyDescent="0.35">
      <c r="N3864" s="676"/>
    </row>
    <row r="3865" spans="14:14" x14ac:dyDescent="0.35">
      <c r="N3865" s="676"/>
    </row>
    <row r="3866" spans="14:14" x14ac:dyDescent="0.35">
      <c r="N3866" s="676"/>
    </row>
    <row r="3867" spans="14:14" x14ac:dyDescent="0.35">
      <c r="N3867" s="676"/>
    </row>
    <row r="3868" spans="14:14" x14ac:dyDescent="0.35">
      <c r="N3868" s="676"/>
    </row>
    <row r="3869" spans="14:14" x14ac:dyDescent="0.35">
      <c r="N3869" s="676"/>
    </row>
    <row r="3870" spans="14:14" x14ac:dyDescent="0.35">
      <c r="N3870" s="676"/>
    </row>
    <row r="3871" spans="14:14" x14ac:dyDescent="0.35">
      <c r="N3871" s="676"/>
    </row>
    <row r="3872" spans="14:14" x14ac:dyDescent="0.35">
      <c r="N3872" s="676"/>
    </row>
    <row r="3873" spans="14:14" x14ac:dyDescent="0.35">
      <c r="N3873" s="676"/>
    </row>
    <row r="3874" spans="14:14" x14ac:dyDescent="0.35">
      <c r="N3874" s="676"/>
    </row>
    <row r="3875" spans="14:14" x14ac:dyDescent="0.35">
      <c r="N3875" s="676"/>
    </row>
    <row r="3876" spans="14:14" x14ac:dyDescent="0.35">
      <c r="N3876" s="676"/>
    </row>
    <row r="3877" spans="14:14" x14ac:dyDescent="0.35">
      <c r="N3877" s="676"/>
    </row>
    <row r="3878" spans="14:14" x14ac:dyDescent="0.35">
      <c r="N3878" s="676"/>
    </row>
    <row r="3879" spans="14:14" x14ac:dyDescent="0.35">
      <c r="N3879" s="676"/>
    </row>
    <row r="3880" spans="14:14" x14ac:dyDescent="0.35">
      <c r="N3880" s="676"/>
    </row>
    <row r="3881" spans="14:14" x14ac:dyDescent="0.35">
      <c r="N3881" s="676"/>
    </row>
    <row r="3882" spans="14:14" x14ac:dyDescent="0.35">
      <c r="N3882" s="676"/>
    </row>
    <row r="3883" spans="14:14" x14ac:dyDescent="0.35">
      <c r="N3883" s="676"/>
    </row>
    <row r="3884" spans="14:14" x14ac:dyDescent="0.35">
      <c r="N3884" s="676"/>
    </row>
    <row r="3885" spans="14:14" x14ac:dyDescent="0.35">
      <c r="N3885" s="676"/>
    </row>
    <row r="3886" spans="14:14" x14ac:dyDescent="0.35">
      <c r="N3886" s="676"/>
    </row>
    <row r="3887" spans="14:14" x14ac:dyDescent="0.35">
      <c r="N3887" s="676"/>
    </row>
    <row r="3888" spans="14:14" x14ac:dyDescent="0.35">
      <c r="N3888" s="676"/>
    </row>
    <row r="3889" spans="14:14" x14ac:dyDescent="0.35">
      <c r="N3889" s="676"/>
    </row>
    <row r="3890" spans="14:14" x14ac:dyDescent="0.35">
      <c r="N3890" s="676"/>
    </row>
    <row r="3891" spans="14:14" x14ac:dyDescent="0.35">
      <c r="N3891" s="676"/>
    </row>
    <row r="3892" spans="14:14" x14ac:dyDescent="0.35">
      <c r="N3892" s="676"/>
    </row>
    <row r="3893" spans="14:14" x14ac:dyDescent="0.35">
      <c r="N3893" s="676"/>
    </row>
    <row r="3894" spans="14:14" x14ac:dyDescent="0.35">
      <c r="N3894" s="676"/>
    </row>
    <row r="3895" spans="14:14" x14ac:dyDescent="0.35">
      <c r="N3895" s="676"/>
    </row>
    <row r="3896" spans="14:14" x14ac:dyDescent="0.35">
      <c r="N3896" s="676"/>
    </row>
    <row r="3897" spans="14:14" x14ac:dyDescent="0.35">
      <c r="N3897" s="676"/>
    </row>
    <row r="3898" spans="14:14" x14ac:dyDescent="0.35">
      <c r="N3898" s="676"/>
    </row>
    <row r="3899" spans="14:14" x14ac:dyDescent="0.35">
      <c r="N3899" s="676"/>
    </row>
    <row r="3900" spans="14:14" x14ac:dyDescent="0.35">
      <c r="N3900" s="676"/>
    </row>
    <row r="3901" spans="14:14" x14ac:dyDescent="0.35">
      <c r="N3901" s="676"/>
    </row>
    <row r="3902" spans="14:14" x14ac:dyDescent="0.35">
      <c r="N3902" s="676"/>
    </row>
    <row r="3903" spans="14:14" x14ac:dyDescent="0.35">
      <c r="N3903" s="676"/>
    </row>
    <row r="3904" spans="14:14" x14ac:dyDescent="0.35">
      <c r="N3904" s="676"/>
    </row>
    <row r="3905" spans="14:14" x14ac:dyDescent="0.35">
      <c r="N3905" s="676"/>
    </row>
    <row r="3906" spans="14:14" x14ac:dyDescent="0.35">
      <c r="N3906" s="676"/>
    </row>
    <row r="3907" spans="14:14" x14ac:dyDescent="0.35">
      <c r="N3907" s="676"/>
    </row>
    <row r="3908" spans="14:14" x14ac:dyDescent="0.35">
      <c r="N3908" s="676"/>
    </row>
    <row r="3909" spans="14:14" x14ac:dyDescent="0.35">
      <c r="N3909" s="676"/>
    </row>
    <row r="3910" spans="14:14" x14ac:dyDescent="0.35">
      <c r="N3910" s="676"/>
    </row>
    <row r="3911" spans="14:14" x14ac:dyDescent="0.35">
      <c r="N3911" s="676"/>
    </row>
    <row r="3912" spans="14:14" x14ac:dyDescent="0.35">
      <c r="N3912" s="676"/>
    </row>
    <row r="3913" spans="14:14" x14ac:dyDescent="0.35">
      <c r="N3913" s="676"/>
    </row>
    <row r="3914" spans="14:14" x14ac:dyDescent="0.35">
      <c r="N3914" s="676"/>
    </row>
    <row r="3915" spans="14:14" x14ac:dyDescent="0.35">
      <c r="N3915" s="676"/>
    </row>
    <row r="3916" spans="14:14" x14ac:dyDescent="0.35">
      <c r="N3916" s="676"/>
    </row>
    <row r="3917" spans="14:14" x14ac:dyDescent="0.35">
      <c r="N3917" s="676"/>
    </row>
    <row r="3918" spans="14:14" x14ac:dyDescent="0.35">
      <c r="N3918" s="676"/>
    </row>
    <row r="3919" spans="14:14" x14ac:dyDescent="0.35">
      <c r="N3919" s="676"/>
    </row>
    <row r="3920" spans="14:14" x14ac:dyDescent="0.35">
      <c r="N3920" s="676"/>
    </row>
    <row r="3921" spans="14:14" x14ac:dyDescent="0.35">
      <c r="N3921" s="676"/>
    </row>
    <row r="3922" spans="14:14" x14ac:dyDescent="0.35">
      <c r="N3922" s="676"/>
    </row>
    <row r="3923" spans="14:14" x14ac:dyDescent="0.35">
      <c r="N3923" s="676"/>
    </row>
    <row r="3924" spans="14:14" x14ac:dyDescent="0.35">
      <c r="N3924" s="676"/>
    </row>
    <row r="3925" spans="14:14" x14ac:dyDescent="0.35">
      <c r="N3925" s="676"/>
    </row>
    <row r="3926" spans="14:14" x14ac:dyDescent="0.35">
      <c r="N3926" s="676"/>
    </row>
    <row r="3927" spans="14:14" x14ac:dyDescent="0.35">
      <c r="N3927" s="676"/>
    </row>
    <row r="3928" spans="14:14" x14ac:dyDescent="0.35">
      <c r="N3928" s="676"/>
    </row>
    <row r="3929" spans="14:14" x14ac:dyDescent="0.35">
      <c r="N3929" s="676"/>
    </row>
    <row r="3930" spans="14:14" x14ac:dyDescent="0.35">
      <c r="N3930" s="676"/>
    </row>
    <row r="3931" spans="14:14" x14ac:dyDescent="0.35">
      <c r="N3931" s="676"/>
    </row>
    <row r="3932" spans="14:14" x14ac:dyDescent="0.35">
      <c r="N3932" s="676"/>
    </row>
    <row r="3933" spans="14:14" x14ac:dyDescent="0.35">
      <c r="N3933" s="676"/>
    </row>
    <row r="3934" spans="14:14" x14ac:dyDescent="0.35">
      <c r="N3934" s="676"/>
    </row>
    <row r="3935" spans="14:14" x14ac:dyDescent="0.35">
      <c r="N3935" s="676"/>
    </row>
    <row r="3936" spans="14:14" x14ac:dyDescent="0.35">
      <c r="N3936" s="676"/>
    </row>
    <row r="3937" spans="14:14" x14ac:dyDescent="0.35">
      <c r="N3937" s="676"/>
    </row>
    <row r="3938" spans="14:14" x14ac:dyDescent="0.35">
      <c r="N3938" s="676"/>
    </row>
    <row r="3939" spans="14:14" x14ac:dyDescent="0.35">
      <c r="N3939" s="676"/>
    </row>
    <row r="3940" spans="14:14" x14ac:dyDescent="0.35">
      <c r="N3940" s="676"/>
    </row>
    <row r="3941" spans="14:14" x14ac:dyDescent="0.35">
      <c r="N3941" s="676"/>
    </row>
    <row r="3942" spans="14:14" x14ac:dyDescent="0.35">
      <c r="N3942" s="676"/>
    </row>
    <row r="3943" spans="14:14" x14ac:dyDescent="0.35">
      <c r="N3943" s="676"/>
    </row>
    <row r="3944" spans="14:14" x14ac:dyDescent="0.35">
      <c r="N3944" s="676"/>
    </row>
    <row r="3945" spans="14:14" x14ac:dyDescent="0.35">
      <c r="N3945" s="676"/>
    </row>
    <row r="3946" spans="14:14" x14ac:dyDescent="0.35">
      <c r="N3946" s="676"/>
    </row>
    <row r="3947" spans="14:14" x14ac:dyDescent="0.35">
      <c r="N3947" s="676"/>
    </row>
    <row r="3948" spans="14:14" x14ac:dyDescent="0.35">
      <c r="N3948" s="676"/>
    </row>
    <row r="3949" spans="14:14" x14ac:dyDescent="0.35">
      <c r="N3949" s="676"/>
    </row>
    <row r="3950" spans="14:14" x14ac:dyDescent="0.35">
      <c r="N3950" s="676"/>
    </row>
    <row r="3951" spans="14:14" x14ac:dyDescent="0.35">
      <c r="N3951" s="676"/>
    </row>
    <row r="3952" spans="14:14" x14ac:dyDescent="0.35">
      <c r="N3952" s="676"/>
    </row>
    <row r="3953" spans="14:14" x14ac:dyDescent="0.35">
      <c r="N3953" s="676"/>
    </row>
    <row r="3954" spans="14:14" x14ac:dyDescent="0.35">
      <c r="N3954" s="676"/>
    </row>
    <row r="3955" spans="14:14" x14ac:dyDescent="0.35">
      <c r="N3955" s="676"/>
    </row>
    <row r="3956" spans="14:14" x14ac:dyDescent="0.35">
      <c r="N3956" s="676"/>
    </row>
    <row r="3957" spans="14:14" x14ac:dyDescent="0.35">
      <c r="N3957" s="676"/>
    </row>
    <row r="3958" spans="14:14" x14ac:dyDescent="0.35">
      <c r="N3958" s="676"/>
    </row>
    <row r="3959" spans="14:14" x14ac:dyDescent="0.35">
      <c r="N3959" s="676"/>
    </row>
    <row r="3960" spans="14:14" x14ac:dyDescent="0.35">
      <c r="N3960" s="676"/>
    </row>
    <row r="3961" spans="14:14" x14ac:dyDescent="0.35">
      <c r="N3961" s="676"/>
    </row>
    <row r="3962" spans="14:14" x14ac:dyDescent="0.35">
      <c r="N3962" s="676"/>
    </row>
    <row r="3963" spans="14:14" x14ac:dyDescent="0.35">
      <c r="N3963" s="676"/>
    </row>
    <row r="3964" spans="14:14" x14ac:dyDescent="0.35">
      <c r="N3964" s="676"/>
    </row>
    <row r="3965" spans="14:14" x14ac:dyDescent="0.35">
      <c r="N3965" s="676"/>
    </row>
    <row r="3966" spans="14:14" x14ac:dyDescent="0.35">
      <c r="N3966" s="676"/>
    </row>
    <row r="3967" spans="14:14" x14ac:dyDescent="0.35">
      <c r="N3967" s="676"/>
    </row>
    <row r="3968" spans="14:14" x14ac:dyDescent="0.35">
      <c r="N3968" s="676"/>
    </row>
    <row r="3969" spans="14:14" x14ac:dyDescent="0.35">
      <c r="N3969" s="676"/>
    </row>
    <row r="3970" spans="14:14" x14ac:dyDescent="0.35">
      <c r="N3970" s="676"/>
    </row>
    <row r="3971" spans="14:14" x14ac:dyDescent="0.35">
      <c r="N3971" s="676"/>
    </row>
    <row r="3972" spans="14:14" x14ac:dyDescent="0.35">
      <c r="N3972" s="676"/>
    </row>
    <row r="3973" spans="14:14" x14ac:dyDescent="0.35">
      <c r="N3973" s="676"/>
    </row>
    <row r="3974" spans="14:14" x14ac:dyDescent="0.35">
      <c r="N3974" s="676"/>
    </row>
    <row r="3975" spans="14:14" x14ac:dyDescent="0.35">
      <c r="N3975" s="676"/>
    </row>
    <row r="3976" spans="14:14" x14ac:dyDescent="0.35">
      <c r="N3976" s="676"/>
    </row>
    <row r="3977" spans="14:14" x14ac:dyDescent="0.35">
      <c r="N3977" s="676"/>
    </row>
    <row r="3978" spans="14:14" x14ac:dyDescent="0.35">
      <c r="N3978" s="676"/>
    </row>
    <row r="3979" spans="14:14" x14ac:dyDescent="0.35">
      <c r="N3979" s="676"/>
    </row>
    <row r="3980" spans="14:14" x14ac:dyDescent="0.35">
      <c r="N3980" s="676"/>
    </row>
    <row r="3981" spans="14:14" x14ac:dyDescent="0.35">
      <c r="N3981" s="676"/>
    </row>
    <row r="3982" spans="14:14" x14ac:dyDescent="0.35">
      <c r="N3982" s="676"/>
    </row>
    <row r="3983" spans="14:14" x14ac:dyDescent="0.35">
      <c r="N3983" s="676"/>
    </row>
    <row r="3984" spans="14:14" x14ac:dyDescent="0.35">
      <c r="N3984" s="676"/>
    </row>
    <row r="3985" spans="14:14" x14ac:dyDescent="0.35">
      <c r="N3985" s="676"/>
    </row>
    <row r="3986" spans="14:14" x14ac:dyDescent="0.35">
      <c r="N3986" s="676"/>
    </row>
    <row r="3987" spans="14:14" x14ac:dyDescent="0.35">
      <c r="N3987" s="676"/>
    </row>
    <row r="3988" spans="14:14" x14ac:dyDescent="0.35">
      <c r="N3988" s="676"/>
    </row>
    <row r="3989" spans="14:14" x14ac:dyDescent="0.35">
      <c r="N3989" s="676"/>
    </row>
    <row r="3990" spans="14:14" x14ac:dyDescent="0.35">
      <c r="N3990" s="676"/>
    </row>
    <row r="3991" spans="14:14" x14ac:dyDescent="0.35">
      <c r="N3991" s="676"/>
    </row>
    <row r="3992" spans="14:14" x14ac:dyDescent="0.35">
      <c r="N3992" s="676"/>
    </row>
    <row r="3993" spans="14:14" x14ac:dyDescent="0.35">
      <c r="N3993" s="676"/>
    </row>
    <row r="3994" spans="14:14" x14ac:dyDescent="0.35">
      <c r="N3994" s="676"/>
    </row>
    <row r="3995" spans="14:14" x14ac:dyDescent="0.35">
      <c r="N3995" s="676"/>
    </row>
    <row r="3996" spans="14:14" x14ac:dyDescent="0.35">
      <c r="N3996" s="676"/>
    </row>
    <row r="3997" spans="14:14" x14ac:dyDescent="0.35">
      <c r="N3997" s="676"/>
    </row>
    <row r="3998" spans="14:14" x14ac:dyDescent="0.35">
      <c r="N3998" s="676"/>
    </row>
    <row r="3999" spans="14:14" x14ac:dyDescent="0.35">
      <c r="N3999" s="676"/>
    </row>
    <row r="4000" spans="14:14" x14ac:dyDescent="0.35">
      <c r="N4000" s="676"/>
    </row>
    <row r="4001" spans="14:14" x14ac:dyDescent="0.35">
      <c r="N4001" s="676"/>
    </row>
    <row r="4002" spans="14:14" x14ac:dyDescent="0.35">
      <c r="N4002" s="676"/>
    </row>
    <row r="4003" spans="14:14" x14ac:dyDescent="0.35">
      <c r="N4003" s="676"/>
    </row>
    <row r="4004" spans="14:14" x14ac:dyDescent="0.35">
      <c r="N4004" s="676"/>
    </row>
    <row r="4005" spans="14:14" x14ac:dyDescent="0.35">
      <c r="N4005" s="676"/>
    </row>
    <row r="4006" spans="14:14" x14ac:dyDescent="0.35">
      <c r="N4006" s="676"/>
    </row>
    <row r="4007" spans="14:14" x14ac:dyDescent="0.35">
      <c r="N4007" s="676"/>
    </row>
    <row r="4008" spans="14:14" x14ac:dyDescent="0.35">
      <c r="N4008" s="676"/>
    </row>
    <row r="4009" spans="14:14" x14ac:dyDescent="0.35">
      <c r="N4009" s="676"/>
    </row>
    <row r="4010" spans="14:14" x14ac:dyDescent="0.35">
      <c r="N4010" s="676"/>
    </row>
    <row r="4011" spans="14:14" x14ac:dyDescent="0.35">
      <c r="N4011" s="676"/>
    </row>
    <row r="4012" spans="14:14" x14ac:dyDescent="0.35">
      <c r="N4012" s="676"/>
    </row>
    <row r="4013" spans="14:14" x14ac:dyDescent="0.35">
      <c r="N4013" s="676"/>
    </row>
    <row r="4014" spans="14:14" x14ac:dyDescent="0.35">
      <c r="N4014" s="676"/>
    </row>
    <row r="4015" spans="14:14" x14ac:dyDescent="0.35">
      <c r="N4015" s="676"/>
    </row>
    <row r="4016" spans="14:14" x14ac:dyDescent="0.35">
      <c r="N4016" s="676"/>
    </row>
    <row r="4017" spans="14:14" x14ac:dyDescent="0.35">
      <c r="N4017" s="676"/>
    </row>
    <row r="4018" spans="14:14" x14ac:dyDescent="0.35">
      <c r="N4018" s="676"/>
    </row>
    <row r="4019" spans="14:14" x14ac:dyDescent="0.35">
      <c r="N4019" s="676"/>
    </row>
    <row r="4020" spans="14:14" x14ac:dyDescent="0.35">
      <c r="N4020" s="676"/>
    </row>
    <row r="4021" spans="14:14" x14ac:dyDescent="0.35">
      <c r="N4021" s="676"/>
    </row>
    <row r="4022" spans="14:14" x14ac:dyDescent="0.35">
      <c r="N4022" s="676"/>
    </row>
    <row r="4023" spans="14:14" x14ac:dyDescent="0.35">
      <c r="N4023" s="676"/>
    </row>
    <row r="4024" spans="14:14" x14ac:dyDescent="0.35">
      <c r="N4024" s="676"/>
    </row>
    <row r="4025" spans="14:14" x14ac:dyDescent="0.35">
      <c r="N4025" s="676"/>
    </row>
    <row r="4026" spans="14:14" x14ac:dyDescent="0.35">
      <c r="N4026" s="676"/>
    </row>
    <row r="4027" spans="14:14" x14ac:dyDescent="0.35">
      <c r="N4027" s="676"/>
    </row>
    <row r="4028" spans="14:14" x14ac:dyDescent="0.35">
      <c r="N4028" s="676"/>
    </row>
    <row r="4029" spans="14:14" x14ac:dyDescent="0.35">
      <c r="N4029" s="676"/>
    </row>
    <row r="4030" spans="14:14" x14ac:dyDescent="0.35">
      <c r="N4030" s="676"/>
    </row>
    <row r="4031" spans="14:14" x14ac:dyDescent="0.35">
      <c r="N4031" s="676"/>
    </row>
    <row r="4032" spans="14:14" x14ac:dyDescent="0.35">
      <c r="N4032" s="676"/>
    </row>
    <row r="4033" spans="14:14" x14ac:dyDescent="0.35">
      <c r="N4033" s="676"/>
    </row>
    <row r="4034" spans="14:14" x14ac:dyDescent="0.35">
      <c r="N4034" s="676"/>
    </row>
    <row r="4035" spans="14:14" x14ac:dyDescent="0.35">
      <c r="N4035" s="676"/>
    </row>
    <row r="4036" spans="14:14" x14ac:dyDescent="0.35">
      <c r="N4036" s="676"/>
    </row>
    <row r="4037" spans="14:14" x14ac:dyDescent="0.35">
      <c r="N4037" s="676"/>
    </row>
    <row r="4038" spans="14:14" x14ac:dyDescent="0.35">
      <c r="N4038" s="676"/>
    </row>
    <row r="4039" spans="14:14" x14ac:dyDescent="0.35">
      <c r="N4039" s="676"/>
    </row>
    <row r="4040" spans="14:14" x14ac:dyDescent="0.35">
      <c r="N4040" s="676"/>
    </row>
    <row r="4041" spans="14:14" x14ac:dyDescent="0.35">
      <c r="N4041" s="676"/>
    </row>
    <row r="4042" spans="14:14" x14ac:dyDescent="0.35">
      <c r="N4042" s="676"/>
    </row>
    <row r="4043" spans="14:14" x14ac:dyDescent="0.35">
      <c r="N4043" s="676"/>
    </row>
    <row r="4044" spans="14:14" x14ac:dyDescent="0.35">
      <c r="N4044" s="676"/>
    </row>
    <row r="4045" spans="14:14" x14ac:dyDescent="0.35">
      <c r="N4045" s="676"/>
    </row>
    <row r="4046" spans="14:14" x14ac:dyDescent="0.35">
      <c r="N4046" s="676"/>
    </row>
    <row r="4047" spans="14:14" x14ac:dyDescent="0.35">
      <c r="N4047" s="676"/>
    </row>
    <row r="4048" spans="14:14" x14ac:dyDescent="0.35">
      <c r="N4048" s="676"/>
    </row>
    <row r="4049" spans="14:14" x14ac:dyDescent="0.35">
      <c r="N4049" s="676"/>
    </row>
    <row r="4050" spans="14:14" x14ac:dyDescent="0.35">
      <c r="N4050" s="676"/>
    </row>
    <row r="4051" spans="14:14" x14ac:dyDescent="0.35">
      <c r="N4051" s="676"/>
    </row>
    <row r="4052" spans="14:14" x14ac:dyDescent="0.35">
      <c r="N4052" s="676"/>
    </row>
    <row r="4053" spans="14:14" x14ac:dyDescent="0.35">
      <c r="N4053" s="676"/>
    </row>
    <row r="4054" spans="14:14" x14ac:dyDescent="0.35">
      <c r="N4054" s="676"/>
    </row>
    <row r="4055" spans="14:14" x14ac:dyDescent="0.35">
      <c r="N4055" s="676"/>
    </row>
    <row r="4056" spans="14:14" x14ac:dyDescent="0.35">
      <c r="N4056" s="676"/>
    </row>
    <row r="4057" spans="14:14" x14ac:dyDescent="0.35">
      <c r="N4057" s="676"/>
    </row>
    <row r="4058" spans="14:14" x14ac:dyDescent="0.35">
      <c r="N4058" s="676"/>
    </row>
    <row r="4059" spans="14:14" x14ac:dyDescent="0.35">
      <c r="N4059" s="676"/>
    </row>
    <row r="4060" spans="14:14" x14ac:dyDescent="0.35">
      <c r="N4060" s="676"/>
    </row>
    <row r="4061" spans="14:14" x14ac:dyDescent="0.35">
      <c r="N4061" s="676"/>
    </row>
    <row r="4062" spans="14:14" x14ac:dyDescent="0.35">
      <c r="N4062" s="676"/>
    </row>
    <row r="4063" spans="14:14" x14ac:dyDescent="0.35">
      <c r="N4063" s="676"/>
    </row>
    <row r="4064" spans="14:14" x14ac:dyDescent="0.35">
      <c r="N4064" s="676"/>
    </row>
    <row r="4065" spans="14:14" x14ac:dyDescent="0.35">
      <c r="N4065" s="676"/>
    </row>
    <row r="4066" spans="14:14" x14ac:dyDescent="0.35">
      <c r="N4066" s="676"/>
    </row>
    <row r="4067" spans="14:14" x14ac:dyDescent="0.35">
      <c r="N4067" s="676"/>
    </row>
    <row r="4068" spans="14:14" x14ac:dyDescent="0.35">
      <c r="N4068" s="676"/>
    </row>
    <row r="4069" spans="14:14" x14ac:dyDescent="0.35">
      <c r="N4069" s="676"/>
    </row>
    <row r="4070" spans="14:14" x14ac:dyDescent="0.35">
      <c r="N4070" s="676"/>
    </row>
    <row r="4071" spans="14:14" x14ac:dyDescent="0.35">
      <c r="N4071" s="676"/>
    </row>
    <row r="4072" spans="14:14" x14ac:dyDescent="0.35">
      <c r="N4072" s="676"/>
    </row>
    <row r="4073" spans="14:14" x14ac:dyDescent="0.35">
      <c r="N4073" s="676"/>
    </row>
    <row r="4074" spans="14:14" x14ac:dyDescent="0.35">
      <c r="N4074" s="676"/>
    </row>
    <row r="4075" spans="14:14" x14ac:dyDescent="0.35">
      <c r="N4075" s="676"/>
    </row>
    <row r="4076" spans="14:14" x14ac:dyDescent="0.35">
      <c r="N4076" s="676"/>
    </row>
    <row r="4077" spans="14:14" x14ac:dyDescent="0.35">
      <c r="N4077" s="676"/>
    </row>
    <row r="4078" spans="14:14" x14ac:dyDescent="0.35">
      <c r="N4078" s="676"/>
    </row>
    <row r="4079" spans="14:14" x14ac:dyDescent="0.35">
      <c r="N4079" s="676"/>
    </row>
    <row r="4080" spans="14:14" x14ac:dyDescent="0.35">
      <c r="N4080" s="676"/>
    </row>
    <row r="4081" spans="14:14" x14ac:dyDescent="0.35">
      <c r="N4081" s="676"/>
    </row>
    <row r="4082" spans="14:14" x14ac:dyDescent="0.35">
      <c r="N4082" s="676"/>
    </row>
    <row r="4083" spans="14:14" x14ac:dyDescent="0.35">
      <c r="N4083" s="676"/>
    </row>
    <row r="4084" spans="14:14" x14ac:dyDescent="0.35">
      <c r="N4084" s="676"/>
    </row>
    <row r="4085" spans="14:14" x14ac:dyDescent="0.35">
      <c r="N4085" s="676"/>
    </row>
    <row r="4086" spans="14:14" x14ac:dyDescent="0.35">
      <c r="N4086" s="676"/>
    </row>
    <row r="4087" spans="14:14" x14ac:dyDescent="0.35">
      <c r="N4087" s="676"/>
    </row>
    <row r="4088" spans="14:14" x14ac:dyDescent="0.35">
      <c r="N4088" s="676"/>
    </row>
    <row r="4089" spans="14:14" x14ac:dyDescent="0.35">
      <c r="N4089" s="676"/>
    </row>
    <row r="4090" spans="14:14" x14ac:dyDescent="0.35">
      <c r="N4090" s="676"/>
    </row>
    <row r="4091" spans="14:14" x14ac:dyDescent="0.35">
      <c r="N4091" s="676"/>
    </row>
    <row r="4092" spans="14:14" x14ac:dyDescent="0.35">
      <c r="N4092" s="676"/>
    </row>
    <row r="4093" spans="14:14" x14ac:dyDescent="0.35">
      <c r="N4093" s="676"/>
    </row>
    <row r="4094" spans="14:14" x14ac:dyDescent="0.35">
      <c r="N4094" s="676"/>
    </row>
    <row r="4095" spans="14:14" x14ac:dyDescent="0.35">
      <c r="N4095" s="676"/>
    </row>
    <row r="4096" spans="14:14" x14ac:dyDescent="0.35">
      <c r="N4096" s="676"/>
    </row>
    <row r="4097" spans="14:14" x14ac:dyDescent="0.35">
      <c r="N4097" s="676"/>
    </row>
    <row r="4098" spans="14:14" x14ac:dyDescent="0.35">
      <c r="N4098" s="676"/>
    </row>
    <row r="4099" spans="14:14" x14ac:dyDescent="0.35">
      <c r="N4099" s="676"/>
    </row>
    <row r="4100" spans="14:14" x14ac:dyDescent="0.35">
      <c r="N4100" s="676"/>
    </row>
    <row r="4101" spans="14:14" x14ac:dyDescent="0.35">
      <c r="N4101" s="676"/>
    </row>
    <row r="4102" spans="14:14" x14ac:dyDescent="0.35">
      <c r="N4102" s="676"/>
    </row>
    <row r="4103" spans="14:14" x14ac:dyDescent="0.35">
      <c r="N4103" s="676"/>
    </row>
    <row r="4104" spans="14:14" x14ac:dyDescent="0.35">
      <c r="N4104" s="676"/>
    </row>
    <row r="4105" spans="14:14" x14ac:dyDescent="0.35">
      <c r="N4105" s="676"/>
    </row>
    <row r="4106" spans="14:14" x14ac:dyDescent="0.35">
      <c r="N4106" s="676"/>
    </row>
    <row r="4107" spans="14:14" x14ac:dyDescent="0.35">
      <c r="N4107" s="676"/>
    </row>
    <row r="4108" spans="14:14" x14ac:dyDescent="0.35">
      <c r="N4108" s="676"/>
    </row>
    <row r="4109" spans="14:14" x14ac:dyDescent="0.35">
      <c r="N4109" s="676"/>
    </row>
    <row r="4110" spans="14:14" x14ac:dyDescent="0.35">
      <c r="N4110" s="676"/>
    </row>
    <row r="4111" spans="14:14" x14ac:dyDescent="0.35">
      <c r="N4111" s="676"/>
    </row>
    <row r="4112" spans="14:14" x14ac:dyDescent="0.35">
      <c r="N4112" s="676"/>
    </row>
    <row r="4113" spans="14:14" x14ac:dyDescent="0.35">
      <c r="N4113" s="676"/>
    </row>
    <row r="4114" spans="14:14" x14ac:dyDescent="0.35">
      <c r="N4114" s="676"/>
    </row>
    <row r="4115" spans="14:14" x14ac:dyDescent="0.35">
      <c r="N4115" s="676"/>
    </row>
    <row r="4116" spans="14:14" x14ac:dyDescent="0.35">
      <c r="N4116" s="676"/>
    </row>
    <row r="4117" spans="14:14" x14ac:dyDescent="0.35">
      <c r="N4117" s="676"/>
    </row>
    <row r="4118" spans="14:14" x14ac:dyDescent="0.35">
      <c r="N4118" s="676"/>
    </row>
    <row r="4119" spans="14:14" x14ac:dyDescent="0.35">
      <c r="N4119" s="676"/>
    </row>
    <row r="4120" spans="14:14" x14ac:dyDescent="0.35">
      <c r="N4120" s="676"/>
    </row>
    <row r="4121" spans="14:14" x14ac:dyDescent="0.35">
      <c r="N4121" s="676"/>
    </row>
    <row r="4122" spans="14:14" x14ac:dyDescent="0.35">
      <c r="N4122" s="676"/>
    </row>
    <row r="4123" spans="14:14" x14ac:dyDescent="0.35">
      <c r="N4123" s="676"/>
    </row>
    <row r="4124" spans="14:14" x14ac:dyDescent="0.35">
      <c r="N4124" s="676"/>
    </row>
    <row r="4125" spans="14:14" x14ac:dyDescent="0.35">
      <c r="N4125" s="676"/>
    </row>
    <row r="4126" spans="14:14" x14ac:dyDescent="0.35">
      <c r="N4126" s="676"/>
    </row>
    <row r="4127" spans="14:14" x14ac:dyDescent="0.35">
      <c r="N4127" s="676"/>
    </row>
    <row r="4128" spans="14:14" x14ac:dyDescent="0.35">
      <c r="N4128" s="676"/>
    </row>
    <row r="4129" spans="14:14" x14ac:dyDescent="0.35">
      <c r="N4129" s="676"/>
    </row>
    <row r="4130" spans="14:14" x14ac:dyDescent="0.35">
      <c r="N4130" s="676"/>
    </row>
    <row r="4131" spans="14:14" x14ac:dyDescent="0.35">
      <c r="N4131" s="676"/>
    </row>
    <row r="4132" spans="14:14" x14ac:dyDescent="0.35">
      <c r="N4132" s="676"/>
    </row>
    <row r="4133" spans="14:14" x14ac:dyDescent="0.35">
      <c r="N4133" s="676"/>
    </row>
    <row r="4134" spans="14:14" x14ac:dyDescent="0.35">
      <c r="N4134" s="676"/>
    </row>
    <row r="4135" spans="14:14" x14ac:dyDescent="0.35">
      <c r="N4135" s="676"/>
    </row>
    <row r="4136" spans="14:14" x14ac:dyDescent="0.35">
      <c r="N4136" s="676"/>
    </row>
    <row r="4137" spans="14:14" x14ac:dyDescent="0.35">
      <c r="N4137" s="676"/>
    </row>
    <row r="4138" spans="14:14" x14ac:dyDescent="0.35">
      <c r="N4138" s="676"/>
    </row>
    <row r="4139" spans="14:14" x14ac:dyDescent="0.35">
      <c r="N4139" s="676"/>
    </row>
    <row r="4140" spans="14:14" x14ac:dyDescent="0.35">
      <c r="N4140" s="676"/>
    </row>
    <row r="4141" spans="14:14" x14ac:dyDescent="0.35">
      <c r="N4141" s="676"/>
    </row>
    <row r="4142" spans="14:14" x14ac:dyDescent="0.35">
      <c r="N4142" s="676"/>
    </row>
    <row r="4143" spans="14:14" x14ac:dyDescent="0.35">
      <c r="N4143" s="676"/>
    </row>
    <row r="4144" spans="14:14" x14ac:dyDescent="0.35">
      <c r="N4144" s="676"/>
    </row>
    <row r="4145" spans="14:14" x14ac:dyDescent="0.35">
      <c r="N4145" s="676"/>
    </row>
    <row r="4146" spans="14:14" x14ac:dyDescent="0.35">
      <c r="N4146" s="676"/>
    </row>
    <row r="4147" spans="14:14" x14ac:dyDescent="0.35">
      <c r="N4147" s="676"/>
    </row>
    <row r="4148" spans="14:14" x14ac:dyDescent="0.35">
      <c r="N4148" s="676"/>
    </row>
    <row r="4149" spans="14:14" x14ac:dyDescent="0.35">
      <c r="N4149" s="676"/>
    </row>
    <row r="4150" spans="14:14" x14ac:dyDescent="0.35">
      <c r="N4150" s="676"/>
    </row>
    <row r="4151" spans="14:14" x14ac:dyDescent="0.35">
      <c r="N4151" s="676"/>
    </row>
    <row r="4152" spans="14:14" x14ac:dyDescent="0.35">
      <c r="N4152" s="676"/>
    </row>
    <row r="4153" spans="14:14" x14ac:dyDescent="0.35">
      <c r="N4153" s="676"/>
    </row>
    <row r="4154" spans="14:14" x14ac:dyDescent="0.35">
      <c r="N4154" s="676"/>
    </row>
    <row r="4155" spans="14:14" x14ac:dyDescent="0.35">
      <c r="N4155" s="676"/>
    </row>
    <row r="4156" spans="14:14" x14ac:dyDescent="0.35">
      <c r="N4156" s="676"/>
    </row>
    <row r="4157" spans="14:14" x14ac:dyDescent="0.35">
      <c r="N4157" s="676"/>
    </row>
    <row r="4158" spans="14:14" x14ac:dyDescent="0.35">
      <c r="N4158" s="676"/>
    </row>
    <row r="4159" spans="14:14" x14ac:dyDescent="0.35">
      <c r="N4159" s="676"/>
    </row>
    <row r="4160" spans="14:14" x14ac:dyDescent="0.35">
      <c r="N4160" s="676"/>
    </row>
    <row r="4161" spans="14:14" x14ac:dyDescent="0.35">
      <c r="N4161" s="676"/>
    </row>
    <row r="4162" spans="14:14" x14ac:dyDescent="0.35">
      <c r="N4162" s="676"/>
    </row>
    <row r="4163" spans="14:14" x14ac:dyDescent="0.35">
      <c r="N4163" s="676"/>
    </row>
    <row r="4164" spans="14:14" x14ac:dyDescent="0.35">
      <c r="N4164" s="676"/>
    </row>
    <row r="4165" spans="14:14" x14ac:dyDescent="0.35">
      <c r="N4165" s="676"/>
    </row>
    <row r="4166" spans="14:14" x14ac:dyDescent="0.35">
      <c r="N4166" s="676"/>
    </row>
    <row r="4167" spans="14:14" x14ac:dyDescent="0.35">
      <c r="N4167" s="676"/>
    </row>
    <row r="4168" spans="14:14" x14ac:dyDescent="0.35">
      <c r="N4168" s="676"/>
    </row>
    <row r="4169" spans="14:14" x14ac:dyDescent="0.35">
      <c r="N4169" s="676"/>
    </row>
    <row r="4170" spans="14:14" x14ac:dyDescent="0.35">
      <c r="N4170" s="676"/>
    </row>
    <row r="4171" spans="14:14" x14ac:dyDescent="0.35">
      <c r="N4171" s="676"/>
    </row>
    <row r="4172" spans="14:14" x14ac:dyDescent="0.35">
      <c r="N4172" s="676"/>
    </row>
    <row r="4173" spans="14:14" x14ac:dyDescent="0.35">
      <c r="N4173" s="676"/>
    </row>
    <row r="4174" spans="14:14" x14ac:dyDescent="0.35">
      <c r="N4174" s="676"/>
    </row>
    <row r="4175" spans="14:14" x14ac:dyDescent="0.35">
      <c r="N4175" s="676"/>
    </row>
    <row r="4176" spans="14:14" x14ac:dyDescent="0.35">
      <c r="N4176" s="676"/>
    </row>
    <row r="4177" spans="14:14" x14ac:dyDescent="0.35">
      <c r="N4177" s="676"/>
    </row>
    <row r="4178" spans="14:14" x14ac:dyDescent="0.35">
      <c r="N4178" s="676"/>
    </row>
    <row r="4179" spans="14:14" x14ac:dyDescent="0.35">
      <c r="N4179" s="676"/>
    </row>
    <row r="4180" spans="14:14" x14ac:dyDescent="0.35">
      <c r="N4180" s="676"/>
    </row>
    <row r="4181" spans="14:14" x14ac:dyDescent="0.35">
      <c r="N4181" s="676"/>
    </row>
    <row r="4182" spans="14:14" x14ac:dyDescent="0.35">
      <c r="N4182" s="676"/>
    </row>
    <row r="4183" spans="14:14" x14ac:dyDescent="0.35">
      <c r="N4183" s="676"/>
    </row>
    <row r="4184" spans="14:14" x14ac:dyDescent="0.35">
      <c r="N4184" s="676"/>
    </row>
    <row r="4185" spans="14:14" x14ac:dyDescent="0.35">
      <c r="N4185" s="676"/>
    </row>
    <row r="4186" spans="14:14" x14ac:dyDescent="0.35">
      <c r="N4186" s="676"/>
    </row>
    <row r="4187" spans="14:14" x14ac:dyDescent="0.35">
      <c r="N4187" s="676"/>
    </row>
    <row r="4188" spans="14:14" x14ac:dyDescent="0.35">
      <c r="N4188" s="676"/>
    </row>
    <row r="4189" spans="14:14" x14ac:dyDescent="0.35">
      <c r="N4189" s="676"/>
    </row>
    <row r="4190" spans="14:14" x14ac:dyDescent="0.35">
      <c r="N4190" s="676"/>
    </row>
    <row r="4191" spans="14:14" x14ac:dyDescent="0.35">
      <c r="N4191" s="676"/>
    </row>
    <row r="4192" spans="14:14" x14ac:dyDescent="0.35">
      <c r="N4192" s="676"/>
    </row>
    <row r="4193" spans="14:14" x14ac:dyDescent="0.35">
      <c r="N4193" s="676"/>
    </row>
    <row r="4194" spans="14:14" x14ac:dyDescent="0.35">
      <c r="N4194" s="676"/>
    </row>
    <row r="4195" spans="14:14" x14ac:dyDescent="0.35">
      <c r="N4195" s="676"/>
    </row>
    <row r="4196" spans="14:14" x14ac:dyDescent="0.35">
      <c r="N4196" s="676"/>
    </row>
    <row r="4197" spans="14:14" x14ac:dyDescent="0.35">
      <c r="N4197" s="676"/>
    </row>
    <row r="4198" spans="14:14" x14ac:dyDescent="0.35">
      <c r="N4198" s="676"/>
    </row>
    <row r="4199" spans="14:14" x14ac:dyDescent="0.35">
      <c r="N4199" s="676"/>
    </row>
    <row r="4200" spans="14:14" x14ac:dyDescent="0.35">
      <c r="N4200" s="676"/>
    </row>
    <row r="4201" spans="14:14" x14ac:dyDescent="0.35">
      <c r="N4201" s="676"/>
    </row>
    <row r="4202" spans="14:14" x14ac:dyDescent="0.35">
      <c r="N4202" s="676"/>
    </row>
    <row r="4203" spans="14:14" x14ac:dyDescent="0.35">
      <c r="N4203" s="676"/>
    </row>
    <row r="4204" spans="14:14" x14ac:dyDescent="0.35">
      <c r="N4204" s="676"/>
    </row>
    <row r="4205" spans="14:14" x14ac:dyDescent="0.35">
      <c r="N4205" s="676"/>
    </row>
    <row r="4206" spans="14:14" x14ac:dyDescent="0.35">
      <c r="N4206" s="676"/>
    </row>
    <row r="4207" spans="14:14" x14ac:dyDescent="0.35">
      <c r="N4207" s="676"/>
    </row>
    <row r="4208" spans="14:14" x14ac:dyDescent="0.35">
      <c r="N4208" s="676"/>
    </row>
    <row r="4209" spans="14:14" x14ac:dyDescent="0.35">
      <c r="N4209" s="676"/>
    </row>
    <row r="4210" spans="14:14" x14ac:dyDescent="0.35">
      <c r="N4210" s="676"/>
    </row>
    <row r="4211" spans="14:14" x14ac:dyDescent="0.35">
      <c r="N4211" s="676"/>
    </row>
    <row r="4212" spans="14:14" x14ac:dyDescent="0.35">
      <c r="N4212" s="676"/>
    </row>
    <row r="4213" spans="14:14" x14ac:dyDescent="0.35">
      <c r="N4213" s="676"/>
    </row>
    <row r="4214" spans="14:14" x14ac:dyDescent="0.35">
      <c r="N4214" s="676"/>
    </row>
    <row r="4215" spans="14:14" x14ac:dyDescent="0.35">
      <c r="N4215" s="676"/>
    </row>
    <row r="4216" spans="14:14" x14ac:dyDescent="0.35">
      <c r="N4216" s="676"/>
    </row>
    <row r="4217" spans="14:14" x14ac:dyDescent="0.35">
      <c r="N4217" s="676"/>
    </row>
    <row r="4218" spans="14:14" x14ac:dyDescent="0.35">
      <c r="N4218" s="676"/>
    </row>
    <row r="4219" spans="14:14" x14ac:dyDescent="0.35">
      <c r="N4219" s="676"/>
    </row>
    <row r="4220" spans="14:14" x14ac:dyDescent="0.35">
      <c r="N4220" s="676"/>
    </row>
    <row r="4221" spans="14:14" x14ac:dyDescent="0.35">
      <c r="N4221" s="676"/>
    </row>
    <row r="4222" spans="14:14" x14ac:dyDescent="0.35">
      <c r="N4222" s="676"/>
    </row>
    <row r="4223" spans="14:14" x14ac:dyDescent="0.35">
      <c r="N4223" s="676"/>
    </row>
    <row r="4224" spans="14:14" x14ac:dyDescent="0.35">
      <c r="N4224" s="676"/>
    </row>
    <row r="4225" spans="14:14" x14ac:dyDescent="0.35">
      <c r="N4225" s="676"/>
    </row>
    <row r="4226" spans="14:14" x14ac:dyDescent="0.35">
      <c r="N4226" s="676"/>
    </row>
    <row r="4227" spans="14:14" x14ac:dyDescent="0.35">
      <c r="N4227" s="676"/>
    </row>
    <row r="4228" spans="14:14" x14ac:dyDescent="0.35">
      <c r="N4228" s="676"/>
    </row>
    <row r="4229" spans="14:14" x14ac:dyDescent="0.35">
      <c r="N4229" s="676"/>
    </row>
    <row r="4230" spans="14:14" x14ac:dyDescent="0.35">
      <c r="N4230" s="676"/>
    </row>
    <row r="4231" spans="14:14" x14ac:dyDescent="0.35">
      <c r="N4231" s="676"/>
    </row>
    <row r="4232" spans="14:14" x14ac:dyDescent="0.35">
      <c r="N4232" s="676"/>
    </row>
    <row r="4233" spans="14:14" x14ac:dyDescent="0.35">
      <c r="N4233" s="676"/>
    </row>
    <row r="4234" spans="14:14" x14ac:dyDescent="0.35">
      <c r="N4234" s="676"/>
    </row>
    <row r="4235" spans="14:14" x14ac:dyDescent="0.35">
      <c r="N4235" s="676"/>
    </row>
    <row r="4236" spans="14:14" x14ac:dyDescent="0.35">
      <c r="N4236" s="676"/>
    </row>
    <row r="4237" spans="14:14" x14ac:dyDescent="0.35">
      <c r="N4237" s="676"/>
    </row>
    <row r="4238" spans="14:14" x14ac:dyDescent="0.35">
      <c r="N4238" s="676"/>
    </row>
    <row r="4239" spans="14:14" x14ac:dyDescent="0.35">
      <c r="N4239" s="676"/>
    </row>
    <row r="4240" spans="14:14" x14ac:dyDescent="0.35">
      <c r="N4240" s="676"/>
    </row>
    <row r="4241" spans="14:14" x14ac:dyDescent="0.35">
      <c r="N4241" s="676"/>
    </row>
    <row r="4242" spans="14:14" x14ac:dyDescent="0.35">
      <c r="N4242" s="676"/>
    </row>
    <row r="4243" spans="14:14" x14ac:dyDescent="0.35">
      <c r="N4243" s="676"/>
    </row>
    <row r="4244" spans="14:14" x14ac:dyDescent="0.35">
      <c r="N4244" s="676"/>
    </row>
    <row r="4245" spans="14:14" x14ac:dyDescent="0.35">
      <c r="N4245" s="676"/>
    </row>
    <row r="4246" spans="14:14" x14ac:dyDescent="0.35">
      <c r="N4246" s="676"/>
    </row>
    <row r="4247" spans="14:14" x14ac:dyDescent="0.35">
      <c r="N4247" s="676"/>
    </row>
    <row r="4248" spans="14:14" x14ac:dyDescent="0.35">
      <c r="N4248" s="676"/>
    </row>
    <row r="4249" spans="14:14" x14ac:dyDescent="0.35">
      <c r="N4249" s="676"/>
    </row>
    <row r="4250" spans="14:14" x14ac:dyDescent="0.35">
      <c r="N4250" s="676"/>
    </row>
    <row r="4251" spans="14:14" x14ac:dyDescent="0.35">
      <c r="N4251" s="676"/>
    </row>
    <row r="4252" spans="14:14" x14ac:dyDescent="0.35">
      <c r="N4252" s="676"/>
    </row>
    <row r="4253" spans="14:14" x14ac:dyDescent="0.35">
      <c r="N4253" s="676"/>
    </row>
    <row r="4254" spans="14:14" x14ac:dyDescent="0.35">
      <c r="N4254" s="676"/>
    </row>
    <row r="4255" spans="14:14" x14ac:dyDescent="0.35">
      <c r="N4255" s="676"/>
    </row>
    <row r="4256" spans="14:14" x14ac:dyDescent="0.35">
      <c r="N4256" s="676"/>
    </row>
    <row r="4257" spans="14:14" x14ac:dyDescent="0.35">
      <c r="N4257" s="676"/>
    </row>
    <row r="4258" spans="14:14" x14ac:dyDescent="0.35">
      <c r="N4258" s="676"/>
    </row>
    <row r="4259" spans="14:14" x14ac:dyDescent="0.35">
      <c r="N4259" s="676"/>
    </row>
    <row r="4260" spans="14:14" x14ac:dyDescent="0.35">
      <c r="N4260" s="676"/>
    </row>
    <row r="4261" spans="14:14" x14ac:dyDescent="0.35">
      <c r="N4261" s="676"/>
    </row>
    <row r="4262" spans="14:14" x14ac:dyDescent="0.35">
      <c r="N4262" s="676"/>
    </row>
    <row r="4263" spans="14:14" x14ac:dyDescent="0.35">
      <c r="N4263" s="676"/>
    </row>
    <row r="4264" spans="14:14" x14ac:dyDescent="0.35">
      <c r="N4264" s="676"/>
    </row>
    <row r="4265" spans="14:14" x14ac:dyDescent="0.35">
      <c r="N4265" s="676"/>
    </row>
    <row r="4266" spans="14:14" x14ac:dyDescent="0.35">
      <c r="N4266" s="676"/>
    </row>
    <row r="4267" spans="14:14" x14ac:dyDescent="0.35">
      <c r="N4267" s="676"/>
    </row>
    <row r="4268" spans="14:14" x14ac:dyDescent="0.35">
      <c r="N4268" s="676"/>
    </row>
    <row r="4269" spans="14:14" x14ac:dyDescent="0.35">
      <c r="N4269" s="676"/>
    </row>
    <row r="4270" spans="14:14" x14ac:dyDescent="0.35">
      <c r="N4270" s="676"/>
    </row>
    <row r="4271" spans="14:14" x14ac:dyDescent="0.35">
      <c r="N4271" s="676"/>
    </row>
    <row r="4272" spans="14:14" x14ac:dyDescent="0.35">
      <c r="N4272" s="676"/>
    </row>
    <row r="4273" spans="14:14" x14ac:dyDescent="0.35">
      <c r="N4273" s="676"/>
    </row>
    <row r="4274" spans="14:14" x14ac:dyDescent="0.35">
      <c r="N4274" s="676"/>
    </row>
    <row r="4275" spans="14:14" x14ac:dyDescent="0.35">
      <c r="N4275" s="676"/>
    </row>
    <row r="4276" spans="14:14" x14ac:dyDescent="0.35">
      <c r="N4276" s="676"/>
    </row>
    <row r="4277" spans="14:14" x14ac:dyDescent="0.35">
      <c r="N4277" s="676"/>
    </row>
    <row r="4278" spans="14:14" x14ac:dyDescent="0.35">
      <c r="N4278" s="676"/>
    </row>
    <row r="4279" spans="14:14" x14ac:dyDescent="0.35">
      <c r="N4279" s="676"/>
    </row>
    <row r="4280" spans="14:14" x14ac:dyDescent="0.35">
      <c r="N4280" s="676"/>
    </row>
    <row r="4281" spans="14:14" x14ac:dyDescent="0.35">
      <c r="N4281" s="676"/>
    </row>
    <row r="4282" spans="14:14" x14ac:dyDescent="0.35">
      <c r="N4282" s="676"/>
    </row>
    <row r="4283" spans="14:14" x14ac:dyDescent="0.35">
      <c r="N4283" s="676"/>
    </row>
    <row r="4284" spans="14:14" x14ac:dyDescent="0.35">
      <c r="N4284" s="676"/>
    </row>
    <row r="4285" spans="14:14" x14ac:dyDescent="0.35">
      <c r="N4285" s="676"/>
    </row>
    <row r="4286" spans="14:14" x14ac:dyDescent="0.35">
      <c r="N4286" s="676"/>
    </row>
    <row r="4287" spans="14:14" x14ac:dyDescent="0.35">
      <c r="N4287" s="676"/>
    </row>
    <row r="4288" spans="14:14" x14ac:dyDescent="0.35">
      <c r="N4288" s="676"/>
    </row>
    <row r="4289" spans="14:14" x14ac:dyDescent="0.35">
      <c r="N4289" s="676"/>
    </row>
    <row r="4290" spans="14:14" x14ac:dyDescent="0.35">
      <c r="N4290" s="676"/>
    </row>
    <row r="4291" spans="14:14" x14ac:dyDescent="0.35">
      <c r="N4291" s="676"/>
    </row>
    <row r="4292" spans="14:14" x14ac:dyDescent="0.35">
      <c r="N4292" s="676"/>
    </row>
    <row r="4293" spans="14:14" x14ac:dyDescent="0.35">
      <c r="N4293" s="676"/>
    </row>
    <row r="4294" spans="14:14" x14ac:dyDescent="0.35">
      <c r="N4294" s="676"/>
    </row>
    <row r="4295" spans="14:14" x14ac:dyDescent="0.35">
      <c r="N4295" s="676"/>
    </row>
    <row r="4296" spans="14:14" x14ac:dyDescent="0.35">
      <c r="N4296" s="676"/>
    </row>
    <row r="4297" spans="14:14" x14ac:dyDescent="0.35">
      <c r="N4297" s="676"/>
    </row>
    <row r="4298" spans="14:14" x14ac:dyDescent="0.35">
      <c r="N4298" s="676"/>
    </row>
    <row r="4299" spans="14:14" x14ac:dyDescent="0.35">
      <c r="N4299" s="676"/>
    </row>
    <row r="4300" spans="14:14" x14ac:dyDescent="0.35">
      <c r="N4300" s="676"/>
    </row>
    <row r="4301" spans="14:14" x14ac:dyDescent="0.35">
      <c r="N4301" s="676"/>
    </row>
    <row r="4302" spans="14:14" x14ac:dyDescent="0.35">
      <c r="N4302" s="676"/>
    </row>
    <row r="4303" spans="14:14" x14ac:dyDescent="0.35">
      <c r="N4303" s="676"/>
    </row>
    <row r="4304" spans="14:14" x14ac:dyDescent="0.35">
      <c r="N4304" s="676"/>
    </row>
    <row r="4305" spans="14:14" x14ac:dyDescent="0.35">
      <c r="N4305" s="676"/>
    </row>
    <row r="4306" spans="14:14" x14ac:dyDescent="0.35">
      <c r="N4306" s="676"/>
    </row>
    <row r="4307" spans="14:14" x14ac:dyDescent="0.35">
      <c r="N4307" s="676"/>
    </row>
    <row r="4308" spans="14:14" x14ac:dyDescent="0.35">
      <c r="N4308" s="676"/>
    </row>
    <row r="4309" spans="14:14" x14ac:dyDescent="0.35">
      <c r="N4309" s="676"/>
    </row>
    <row r="4310" spans="14:14" x14ac:dyDescent="0.35">
      <c r="N4310" s="676"/>
    </row>
    <row r="4311" spans="14:14" x14ac:dyDescent="0.35">
      <c r="N4311" s="676"/>
    </row>
    <row r="4312" spans="14:14" x14ac:dyDescent="0.35">
      <c r="N4312" s="676"/>
    </row>
    <row r="4313" spans="14:14" x14ac:dyDescent="0.35">
      <c r="N4313" s="676"/>
    </row>
    <row r="4314" spans="14:14" x14ac:dyDescent="0.35">
      <c r="N4314" s="676"/>
    </row>
    <row r="4315" spans="14:14" x14ac:dyDescent="0.35">
      <c r="N4315" s="676"/>
    </row>
    <row r="4316" spans="14:14" x14ac:dyDescent="0.35">
      <c r="N4316" s="676"/>
    </row>
    <row r="4317" spans="14:14" x14ac:dyDescent="0.35">
      <c r="N4317" s="676"/>
    </row>
    <row r="4318" spans="14:14" x14ac:dyDescent="0.35">
      <c r="N4318" s="676"/>
    </row>
    <row r="4319" spans="14:14" x14ac:dyDescent="0.35">
      <c r="N4319" s="676"/>
    </row>
    <row r="4320" spans="14:14" x14ac:dyDescent="0.35">
      <c r="N4320" s="676"/>
    </row>
    <row r="4321" spans="14:14" x14ac:dyDescent="0.35">
      <c r="N4321" s="676"/>
    </row>
    <row r="4322" spans="14:14" x14ac:dyDescent="0.35">
      <c r="N4322" s="676"/>
    </row>
    <row r="4323" spans="14:14" x14ac:dyDescent="0.35">
      <c r="N4323" s="676"/>
    </row>
    <row r="4324" spans="14:14" x14ac:dyDescent="0.35">
      <c r="N4324" s="676"/>
    </row>
    <row r="4325" spans="14:14" x14ac:dyDescent="0.35">
      <c r="N4325" s="676"/>
    </row>
    <row r="4326" spans="14:14" x14ac:dyDescent="0.35">
      <c r="N4326" s="676"/>
    </row>
    <row r="4327" spans="14:14" x14ac:dyDescent="0.35">
      <c r="N4327" s="676"/>
    </row>
    <row r="4328" spans="14:14" x14ac:dyDescent="0.35">
      <c r="N4328" s="676"/>
    </row>
    <row r="4329" spans="14:14" x14ac:dyDescent="0.35">
      <c r="N4329" s="676"/>
    </row>
    <row r="4330" spans="14:14" x14ac:dyDescent="0.35">
      <c r="N4330" s="676"/>
    </row>
    <row r="4331" spans="14:14" x14ac:dyDescent="0.35">
      <c r="N4331" s="676"/>
    </row>
    <row r="4332" spans="14:14" x14ac:dyDescent="0.35">
      <c r="N4332" s="676"/>
    </row>
    <row r="4333" spans="14:14" x14ac:dyDescent="0.35">
      <c r="N4333" s="676"/>
    </row>
    <row r="4334" spans="14:14" x14ac:dyDescent="0.35">
      <c r="N4334" s="676"/>
    </row>
    <row r="4335" spans="14:14" x14ac:dyDescent="0.35">
      <c r="N4335" s="676"/>
    </row>
    <row r="4336" spans="14:14" x14ac:dyDescent="0.35">
      <c r="N4336" s="676"/>
    </row>
    <row r="4337" spans="14:14" x14ac:dyDescent="0.35">
      <c r="N4337" s="676"/>
    </row>
    <row r="4338" spans="14:14" x14ac:dyDescent="0.35">
      <c r="N4338" s="676"/>
    </row>
    <row r="4339" spans="14:14" x14ac:dyDescent="0.35">
      <c r="N4339" s="676"/>
    </row>
    <row r="4340" spans="14:14" x14ac:dyDescent="0.35">
      <c r="N4340" s="676"/>
    </row>
    <row r="4341" spans="14:14" x14ac:dyDescent="0.35">
      <c r="N4341" s="676"/>
    </row>
    <row r="4342" spans="14:14" x14ac:dyDescent="0.35">
      <c r="N4342" s="676"/>
    </row>
    <row r="4343" spans="14:14" x14ac:dyDescent="0.35">
      <c r="N4343" s="676"/>
    </row>
    <row r="4344" spans="14:14" x14ac:dyDescent="0.35">
      <c r="N4344" s="676"/>
    </row>
    <row r="4345" spans="14:14" x14ac:dyDescent="0.35">
      <c r="N4345" s="676"/>
    </row>
    <row r="4346" spans="14:14" x14ac:dyDescent="0.35">
      <c r="N4346" s="676"/>
    </row>
    <row r="4347" spans="14:14" x14ac:dyDescent="0.35">
      <c r="N4347" s="676"/>
    </row>
    <row r="4348" spans="14:14" x14ac:dyDescent="0.35">
      <c r="N4348" s="676"/>
    </row>
    <row r="4349" spans="14:14" x14ac:dyDescent="0.35">
      <c r="N4349" s="676"/>
    </row>
    <row r="4350" spans="14:14" x14ac:dyDescent="0.35">
      <c r="N4350" s="676"/>
    </row>
    <row r="4351" spans="14:14" x14ac:dyDescent="0.35">
      <c r="N4351" s="676"/>
    </row>
    <row r="4352" spans="14:14" x14ac:dyDescent="0.35">
      <c r="N4352" s="676"/>
    </row>
    <row r="4353" spans="14:14" x14ac:dyDescent="0.35">
      <c r="N4353" s="676"/>
    </row>
    <row r="4354" spans="14:14" x14ac:dyDescent="0.35">
      <c r="N4354" s="676"/>
    </row>
    <row r="4355" spans="14:14" x14ac:dyDescent="0.35">
      <c r="N4355" s="676"/>
    </row>
    <row r="4356" spans="14:14" x14ac:dyDescent="0.35">
      <c r="N4356" s="676"/>
    </row>
    <row r="4357" spans="14:14" x14ac:dyDescent="0.35">
      <c r="N4357" s="676"/>
    </row>
    <row r="4358" spans="14:14" x14ac:dyDescent="0.35">
      <c r="N4358" s="676"/>
    </row>
    <row r="4359" spans="14:14" x14ac:dyDescent="0.35">
      <c r="N4359" s="676"/>
    </row>
    <row r="4360" spans="14:14" x14ac:dyDescent="0.35">
      <c r="N4360" s="676"/>
    </row>
    <row r="4361" spans="14:14" x14ac:dyDescent="0.35">
      <c r="N4361" s="676"/>
    </row>
    <row r="4362" spans="14:14" x14ac:dyDescent="0.35">
      <c r="N4362" s="676"/>
    </row>
    <row r="4363" spans="14:14" x14ac:dyDescent="0.35">
      <c r="N4363" s="676"/>
    </row>
    <row r="4364" spans="14:14" x14ac:dyDescent="0.35">
      <c r="N4364" s="676"/>
    </row>
    <row r="4365" spans="14:14" x14ac:dyDescent="0.35">
      <c r="N4365" s="676"/>
    </row>
    <row r="4366" spans="14:14" x14ac:dyDescent="0.35">
      <c r="N4366" s="676"/>
    </row>
    <row r="4367" spans="14:14" x14ac:dyDescent="0.35">
      <c r="N4367" s="676"/>
    </row>
    <row r="4368" spans="14:14" x14ac:dyDescent="0.35">
      <c r="N4368" s="676"/>
    </row>
    <row r="4369" spans="14:14" x14ac:dyDescent="0.35">
      <c r="N4369" s="676"/>
    </row>
    <row r="4370" spans="14:14" x14ac:dyDescent="0.35">
      <c r="N4370" s="676"/>
    </row>
    <row r="4371" spans="14:14" x14ac:dyDescent="0.35">
      <c r="N4371" s="676"/>
    </row>
    <row r="4372" spans="14:14" x14ac:dyDescent="0.35">
      <c r="N4372" s="676"/>
    </row>
    <row r="4373" spans="14:14" x14ac:dyDescent="0.35">
      <c r="N4373" s="676"/>
    </row>
    <row r="4374" spans="14:14" x14ac:dyDescent="0.35">
      <c r="N4374" s="676"/>
    </row>
    <row r="4375" spans="14:14" x14ac:dyDescent="0.35">
      <c r="N4375" s="676"/>
    </row>
    <row r="4376" spans="14:14" x14ac:dyDescent="0.35">
      <c r="N4376" s="676"/>
    </row>
    <row r="4377" spans="14:14" x14ac:dyDescent="0.35">
      <c r="N4377" s="676"/>
    </row>
    <row r="4378" spans="14:14" x14ac:dyDescent="0.35">
      <c r="N4378" s="676"/>
    </row>
    <row r="4379" spans="14:14" x14ac:dyDescent="0.35">
      <c r="N4379" s="676"/>
    </row>
    <row r="4380" spans="14:14" x14ac:dyDescent="0.35">
      <c r="N4380" s="676"/>
    </row>
    <row r="4381" spans="14:14" x14ac:dyDescent="0.35">
      <c r="N4381" s="676"/>
    </row>
    <row r="4382" spans="14:14" x14ac:dyDescent="0.35">
      <c r="N4382" s="676"/>
    </row>
    <row r="4383" spans="14:14" x14ac:dyDescent="0.35">
      <c r="N4383" s="676"/>
    </row>
    <row r="4384" spans="14:14" x14ac:dyDescent="0.35">
      <c r="N4384" s="676"/>
    </row>
    <row r="4385" spans="14:14" x14ac:dyDescent="0.35">
      <c r="N4385" s="676"/>
    </row>
    <row r="4386" spans="14:14" x14ac:dyDescent="0.35">
      <c r="N4386" s="676"/>
    </row>
    <row r="4387" spans="14:14" x14ac:dyDescent="0.35">
      <c r="N4387" s="676"/>
    </row>
    <row r="4388" spans="14:14" x14ac:dyDescent="0.35">
      <c r="N4388" s="676"/>
    </row>
    <row r="4389" spans="14:14" x14ac:dyDescent="0.35">
      <c r="N4389" s="676"/>
    </row>
    <row r="4390" spans="14:14" x14ac:dyDescent="0.35">
      <c r="N4390" s="676"/>
    </row>
    <row r="4391" spans="14:14" x14ac:dyDescent="0.35">
      <c r="N4391" s="676"/>
    </row>
    <row r="4392" spans="14:14" x14ac:dyDescent="0.35">
      <c r="N4392" s="676"/>
    </row>
    <row r="4393" spans="14:14" x14ac:dyDescent="0.35">
      <c r="N4393" s="676"/>
    </row>
    <row r="4394" spans="14:14" x14ac:dyDescent="0.35">
      <c r="N4394" s="676"/>
    </row>
    <row r="4395" spans="14:14" x14ac:dyDescent="0.35">
      <c r="N4395" s="676"/>
    </row>
    <row r="4396" spans="14:14" x14ac:dyDescent="0.35">
      <c r="N4396" s="676"/>
    </row>
    <row r="4397" spans="14:14" x14ac:dyDescent="0.35">
      <c r="N4397" s="676"/>
    </row>
    <row r="4398" spans="14:14" x14ac:dyDescent="0.35">
      <c r="N4398" s="676"/>
    </row>
    <row r="4399" spans="14:14" x14ac:dyDescent="0.35">
      <c r="N4399" s="676"/>
    </row>
    <row r="4400" spans="14:14" x14ac:dyDescent="0.35">
      <c r="N4400" s="676"/>
    </row>
    <row r="4401" spans="14:14" x14ac:dyDescent="0.35">
      <c r="N4401" s="676"/>
    </row>
    <row r="4402" spans="14:14" x14ac:dyDescent="0.35">
      <c r="N4402" s="676"/>
    </row>
    <row r="4403" spans="14:14" x14ac:dyDescent="0.35">
      <c r="N4403" s="676"/>
    </row>
    <row r="4404" spans="14:14" x14ac:dyDescent="0.35">
      <c r="N4404" s="676"/>
    </row>
    <row r="4405" spans="14:14" x14ac:dyDescent="0.35">
      <c r="N4405" s="676"/>
    </row>
    <row r="4406" spans="14:14" x14ac:dyDescent="0.35">
      <c r="N4406" s="676"/>
    </row>
    <row r="4407" spans="14:14" x14ac:dyDescent="0.35">
      <c r="N4407" s="676"/>
    </row>
    <row r="4408" spans="14:14" x14ac:dyDescent="0.35">
      <c r="N4408" s="676"/>
    </row>
    <row r="4409" spans="14:14" x14ac:dyDescent="0.35">
      <c r="N4409" s="676"/>
    </row>
    <row r="4410" spans="14:14" x14ac:dyDescent="0.35">
      <c r="N4410" s="676"/>
    </row>
    <row r="4411" spans="14:14" x14ac:dyDescent="0.35">
      <c r="N4411" s="676"/>
    </row>
    <row r="4412" spans="14:14" x14ac:dyDescent="0.35">
      <c r="N4412" s="676"/>
    </row>
    <row r="4413" spans="14:14" x14ac:dyDescent="0.35">
      <c r="N4413" s="676"/>
    </row>
    <row r="4414" spans="14:14" x14ac:dyDescent="0.35">
      <c r="N4414" s="676"/>
    </row>
    <row r="4415" spans="14:14" x14ac:dyDescent="0.35">
      <c r="N4415" s="676"/>
    </row>
    <row r="4416" spans="14:14" x14ac:dyDescent="0.35">
      <c r="N4416" s="676"/>
    </row>
    <row r="4417" spans="14:14" x14ac:dyDescent="0.35">
      <c r="N4417" s="676"/>
    </row>
    <row r="4418" spans="14:14" x14ac:dyDescent="0.35">
      <c r="N4418" s="676"/>
    </row>
    <row r="4419" spans="14:14" x14ac:dyDescent="0.35">
      <c r="N4419" s="676"/>
    </row>
    <row r="4420" spans="14:14" x14ac:dyDescent="0.35">
      <c r="N4420" s="676"/>
    </row>
    <row r="4421" spans="14:14" x14ac:dyDescent="0.35">
      <c r="N4421" s="676"/>
    </row>
    <row r="4422" spans="14:14" x14ac:dyDescent="0.35">
      <c r="N4422" s="676"/>
    </row>
    <row r="4423" spans="14:14" x14ac:dyDescent="0.35">
      <c r="N4423" s="676"/>
    </row>
    <row r="4424" spans="14:14" x14ac:dyDescent="0.35">
      <c r="N4424" s="676"/>
    </row>
    <row r="4425" spans="14:14" x14ac:dyDescent="0.35">
      <c r="N4425" s="676"/>
    </row>
    <row r="4426" spans="14:14" x14ac:dyDescent="0.35">
      <c r="N4426" s="676"/>
    </row>
    <row r="4427" spans="14:14" x14ac:dyDescent="0.35">
      <c r="N4427" s="676"/>
    </row>
    <row r="4428" spans="14:14" x14ac:dyDescent="0.35">
      <c r="N4428" s="676"/>
    </row>
    <row r="4429" spans="14:14" x14ac:dyDescent="0.35">
      <c r="N4429" s="676"/>
    </row>
    <row r="4430" spans="14:14" x14ac:dyDescent="0.35">
      <c r="N4430" s="676"/>
    </row>
    <row r="4431" spans="14:14" x14ac:dyDescent="0.35">
      <c r="N4431" s="676"/>
    </row>
    <row r="4432" spans="14:14" x14ac:dyDescent="0.35">
      <c r="N4432" s="676"/>
    </row>
    <row r="4433" spans="14:14" x14ac:dyDescent="0.35">
      <c r="N4433" s="676"/>
    </row>
    <row r="4434" spans="14:14" x14ac:dyDescent="0.35">
      <c r="N4434" s="676"/>
    </row>
    <row r="4435" spans="14:14" x14ac:dyDescent="0.35">
      <c r="N4435" s="676"/>
    </row>
    <row r="4436" spans="14:14" x14ac:dyDescent="0.35">
      <c r="N4436" s="676"/>
    </row>
    <row r="4437" spans="14:14" x14ac:dyDescent="0.35">
      <c r="N4437" s="676"/>
    </row>
    <row r="4438" spans="14:14" x14ac:dyDescent="0.35">
      <c r="N4438" s="676"/>
    </row>
    <row r="4439" spans="14:14" x14ac:dyDescent="0.35">
      <c r="N4439" s="676"/>
    </row>
    <row r="4440" spans="14:14" x14ac:dyDescent="0.35">
      <c r="N4440" s="676"/>
    </row>
    <row r="4441" spans="14:14" x14ac:dyDescent="0.35">
      <c r="N4441" s="676"/>
    </row>
    <row r="4442" spans="14:14" x14ac:dyDescent="0.35">
      <c r="N4442" s="676"/>
    </row>
    <row r="4443" spans="14:14" x14ac:dyDescent="0.35">
      <c r="N4443" s="676"/>
    </row>
    <row r="4444" spans="14:14" x14ac:dyDescent="0.35">
      <c r="N4444" s="676"/>
    </row>
    <row r="4445" spans="14:14" x14ac:dyDescent="0.35">
      <c r="N4445" s="676"/>
    </row>
    <row r="4446" spans="14:14" x14ac:dyDescent="0.35">
      <c r="N4446" s="676"/>
    </row>
    <row r="4447" spans="14:14" x14ac:dyDescent="0.35">
      <c r="N4447" s="676"/>
    </row>
    <row r="4448" spans="14:14" x14ac:dyDescent="0.35">
      <c r="N4448" s="676"/>
    </row>
    <row r="4449" spans="14:14" x14ac:dyDescent="0.35">
      <c r="N4449" s="676"/>
    </row>
    <row r="4450" spans="14:14" x14ac:dyDescent="0.35">
      <c r="N4450" s="676"/>
    </row>
    <row r="4451" spans="14:14" x14ac:dyDescent="0.35">
      <c r="N4451" s="676"/>
    </row>
    <row r="4452" spans="14:14" x14ac:dyDescent="0.35">
      <c r="N4452" s="676"/>
    </row>
    <row r="4453" spans="14:14" x14ac:dyDescent="0.35">
      <c r="N4453" s="676"/>
    </row>
    <row r="4454" spans="14:14" x14ac:dyDescent="0.35">
      <c r="N4454" s="676"/>
    </row>
    <row r="4455" spans="14:14" x14ac:dyDescent="0.35">
      <c r="N4455" s="676"/>
    </row>
    <row r="4456" spans="14:14" x14ac:dyDescent="0.35">
      <c r="N4456" s="676"/>
    </row>
    <row r="4457" spans="14:14" x14ac:dyDescent="0.35">
      <c r="N4457" s="676"/>
    </row>
    <row r="4458" spans="14:14" x14ac:dyDescent="0.35">
      <c r="N4458" s="676"/>
    </row>
    <row r="4459" spans="14:14" x14ac:dyDescent="0.35">
      <c r="N4459" s="676"/>
    </row>
    <row r="4460" spans="14:14" x14ac:dyDescent="0.35">
      <c r="N4460" s="676"/>
    </row>
    <row r="4461" spans="14:14" x14ac:dyDescent="0.35">
      <c r="N4461" s="676"/>
    </row>
    <row r="4462" spans="14:14" x14ac:dyDescent="0.35">
      <c r="N4462" s="676"/>
    </row>
    <row r="4463" spans="14:14" x14ac:dyDescent="0.35">
      <c r="N4463" s="676"/>
    </row>
    <row r="4464" spans="14:14" x14ac:dyDescent="0.35">
      <c r="N4464" s="676"/>
    </row>
    <row r="4465" spans="14:14" x14ac:dyDescent="0.35">
      <c r="N4465" s="676"/>
    </row>
    <row r="4466" spans="14:14" x14ac:dyDescent="0.35">
      <c r="N4466" s="676"/>
    </row>
    <row r="4467" spans="14:14" x14ac:dyDescent="0.35">
      <c r="N4467" s="676"/>
    </row>
    <row r="4468" spans="14:14" x14ac:dyDescent="0.35">
      <c r="N4468" s="676"/>
    </row>
    <row r="4469" spans="14:14" x14ac:dyDescent="0.35">
      <c r="N4469" s="676"/>
    </row>
    <row r="4470" spans="14:14" x14ac:dyDescent="0.35">
      <c r="N4470" s="676"/>
    </row>
    <row r="4471" spans="14:14" x14ac:dyDescent="0.35">
      <c r="N4471" s="676"/>
    </row>
    <row r="4472" spans="14:14" x14ac:dyDescent="0.35">
      <c r="N4472" s="676"/>
    </row>
    <row r="4473" spans="14:14" x14ac:dyDescent="0.35">
      <c r="N4473" s="676"/>
    </row>
    <row r="4474" spans="14:14" x14ac:dyDescent="0.35">
      <c r="N4474" s="676"/>
    </row>
    <row r="4475" spans="14:14" x14ac:dyDescent="0.35">
      <c r="N4475" s="676"/>
    </row>
    <row r="4476" spans="14:14" x14ac:dyDescent="0.35">
      <c r="N4476" s="676"/>
    </row>
    <row r="4477" spans="14:14" x14ac:dyDescent="0.35">
      <c r="N4477" s="676"/>
    </row>
    <row r="4478" spans="14:14" x14ac:dyDescent="0.35">
      <c r="N4478" s="676"/>
    </row>
    <row r="4479" spans="14:14" x14ac:dyDescent="0.35">
      <c r="N4479" s="676"/>
    </row>
    <row r="4480" spans="14:14" x14ac:dyDescent="0.35">
      <c r="N4480" s="676"/>
    </row>
    <row r="4481" spans="14:14" x14ac:dyDescent="0.35">
      <c r="N4481" s="676"/>
    </row>
    <row r="4482" spans="14:14" x14ac:dyDescent="0.35">
      <c r="N4482" s="676"/>
    </row>
    <row r="4483" spans="14:14" x14ac:dyDescent="0.35">
      <c r="N4483" s="676"/>
    </row>
    <row r="4484" spans="14:14" x14ac:dyDescent="0.35">
      <c r="N4484" s="676"/>
    </row>
    <row r="4485" spans="14:14" x14ac:dyDescent="0.35">
      <c r="N4485" s="676"/>
    </row>
    <row r="4486" spans="14:14" x14ac:dyDescent="0.35">
      <c r="N4486" s="676"/>
    </row>
    <row r="4487" spans="14:14" x14ac:dyDescent="0.35">
      <c r="N4487" s="676"/>
    </row>
    <row r="4488" spans="14:14" x14ac:dyDescent="0.35">
      <c r="N4488" s="676"/>
    </row>
    <row r="4489" spans="14:14" x14ac:dyDescent="0.35">
      <c r="N4489" s="676"/>
    </row>
    <row r="4490" spans="14:14" x14ac:dyDescent="0.35">
      <c r="N4490" s="676"/>
    </row>
    <row r="4491" spans="14:14" x14ac:dyDescent="0.35">
      <c r="N4491" s="676"/>
    </row>
    <row r="4492" spans="14:14" x14ac:dyDescent="0.35">
      <c r="N4492" s="676"/>
    </row>
    <row r="4493" spans="14:14" x14ac:dyDescent="0.35">
      <c r="N4493" s="676"/>
    </row>
    <row r="4494" spans="14:14" x14ac:dyDescent="0.35">
      <c r="N4494" s="676"/>
    </row>
    <row r="4495" spans="14:14" x14ac:dyDescent="0.35">
      <c r="N4495" s="676"/>
    </row>
    <row r="4496" spans="14:14" x14ac:dyDescent="0.35">
      <c r="N4496" s="676"/>
    </row>
    <row r="4497" spans="14:14" x14ac:dyDescent="0.35">
      <c r="N4497" s="676"/>
    </row>
    <row r="4498" spans="14:14" x14ac:dyDescent="0.35">
      <c r="N4498" s="676"/>
    </row>
    <row r="4499" spans="14:14" x14ac:dyDescent="0.35">
      <c r="N4499" s="676"/>
    </row>
    <row r="4500" spans="14:14" x14ac:dyDescent="0.35">
      <c r="N4500" s="676"/>
    </row>
    <row r="4501" spans="14:14" x14ac:dyDescent="0.35">
      <c r="N4501" s="676"/>
    </row>
    <row r="4502" spans="14:14" x14ac:dyDescent="0.35">
      <c r="N4502" s="676"/>
    </row>
    <row r="4503" spans="14:14" x14ac:dyDescent="0.35">
      <c r="N4503" s="676"/>
    </row>
    <row r="4504" spans="14:14" x14ac:dyDescent="0.35">
      <c r="N4504" s="676"/>
    </row>
    <row r="4505" spans="14:14" x14ac:dyDescent="0.35">
      <c r="N4505" s="676"/>
    </row>
    <row r="4506" spans="14:14" x14ac:dyDescent="0.35">
      <c r="N4506" s="676"/>
    </row>
    <row r="4507" spans="14:14" x14ac:dyDescent="0.35">
      <c r="N4507" s="676"/>
    </row>
    <row r="4508" spans="14:14" x14ac:dyDescent="0.35">
      <c r="N4508" s="676"/>
    </row>
    <row r="4509" spans="14:14" x14ac:dyDescent="0.35">
      <c r="N4509" s="676"/>
    </row>
    <row r="4510" spans="14:14" x14ac:dyDescent="0.35">
      <c r="N4510" s="676"/>
    </row>
    <row r="4511" spans="14:14" x14ac:dyDescent="0.35">
      <c r="N4511" s="676"/>
    </row>
    <row r="4512" spans="14:14" x14ac:dyDescent="0.35">
      <c r="N4512" s="676"/>
    </row>
    <row r="4513" spans="14:14" x14ac:dyDescent="0.35">
      <c r="N4513" s="676"/>
    </row>
    <row r="4514" spans="14:14" x14ac:dyDescent="0.35">
      <c r="N4514" s="676"/>
    </row>
    <row r="4515" spans="14:14" x14ac:dyDescent="0.35">
      <c r="N4515" s="676"/>
    </row>
    <row r="4516" spans="14:14" x14ac:dyDescent="0.35">
      <c r="N4516" s="676"/>
    </row>
    <row r="4517" spans="14:14" x14ac:dyDescent="0.35">
      <c r="N4517" s="676"/>
    </row>
    <row r="4518" spans="14:14" x14ac:dyDescent="0.35">
      <c r="N4518" s="676"/>
    </row>
    <row r="4519" spans="14:14" x14ac:dyDescent="0.35">
      <c r="N4519" s="676"/>
    </row>
    <row r="4520" spans="14:14" x14ac:dyDescent="0.35">
      <c r="N4520" s="676"/>
    </row>
    <row r="4521" spans="14:14" x14ac:dyDescent="0.35">
      <c r="N4521" s="676"/>
    </row>
    <row r="4522" spans="14:14" x14ac:dyDescent="0.35">
      <c r="N4522" s="676"/>
    </row>
    <row r="4523" spans="14:14" x14ac:dyDescent="0.35">
      <c r="N4523" s="676"/>
    </row>
    <row r="4524" spans="14:14" x14ac:dyDescent="0.35">
      <c r="N4524" s="676"/>
    </row>
    <row r="4525" spans="14:14" x14ac:dyDescent="0.35">
      <c r="N4525" s="676"/>
    </row>
    <row r="4526" spans="14:14" x14ac:dyDescent="0.35">
      <c r="N4526" s="676"/>
    </row>
    <row r="4527" spans="14:14" x14ac:dyDescent="0.35">
      <c r="N4527" s="676"/>
    </row>
    <row r="4528" spans="14:14" x14ac:dyDescent="0.35">
      <c r="N4528" s="676"/>
    </row>
    <row r="4529" spans="14:14" x14ac:dyDescent="0.35">
      <c r="N4529" s="676"/>
    </row>
    <row r="4530" spans="14:14" x14ac:dyDescent="0.35">
      <c r="N4530" s="676"/>
    </row>
    <row r="4531" spans="14:14" x14ac:dyDescent="0.35">
      <c r="N4531" s="676"/>
    </row>
    <row r="4532" spans="14:14" x14ac:dyDescent="0.35">
      <c r="N4532" s="676"/>
    </row>
    <row r="4533" spans="14:14" x14ac:dyDescent="0.35">
      <c r="N4533" s="676"/>
    </row>
    <row r="4534" spans="14:14" x14ac:dyDescent="0.35">
      <c r="N4534" s="676"/>
    </row>
    <row r="4535" spans="14:14" x14ac:dyDescent="0.35">
      <c r="N4535" s="676"/>
    </row>
    <row r="4536" spans="14:14" x14ac:dyDescent="0.35">
      <c r="N4536" s="676"/>
    </row>
    <row r="4537" spans="14:14" x14ac:dyDescent="0.35">
      <c r="N4537" s="676"/>
    </row>
    <row r="4538" spans="14:14" x14ac:dyDescent="0.35">
      <c r="N4538" s="676"/>
    </row>
    <row r="4539" spans="14:14" x14ac:dyDescent="0.35">
      <c r="N4539" s="676"/>
    </row>
    <row r="4540" spans="14:14" x14ac:dyDescent="0.35">
      <c r="N4540" s="676"/>
    </row>
    <row r="4541" spans="14:14" x14ac:dyDescent="0.35">
      <c r="N4541" s="676"/>
    </row>
    <row r="4542" spans="14:14" x14ac:dyDescent="0.35">
      <c r="N4542" s="676"/>
    </row>
    <row r="4543" spans="14:14" x14ac:dyDescent="0.35">
      <c r="N4543" s="676"/>
    </row>
    <row r="4544" spans="14:14" x14ac:dyDescent="0.35">
      <c r="N4544" s="676"/>
    </row>
    <row r="4545" spans="14:14" x14ac:dyDescent="0.35">
      <c r="N4545" s="676"/>
    </row>
    <row r="4546" spans="14:14" x14ac:dyDescent="0.35">
      <c r="N4546" s="676"/>
    </row>
    <row r="4547" spans="14:14" x14ac:dyDescent="0.35">
      <c r="N4547" s="676"/>
    </row>
    <row r="4548" spans="14:14" x14ac:dyDescent="0.35">
      <c r="N4548" s="676"/>
    </row>
    <row r="4549" spans="14:14" x14ac:dyDescent="0.35">
      <c r="N4549" s="676"/>
    </row>
    <row r="4550" spans="14:14" x14ac:dyDescent="0.35">
      <c r="N4550" s="676"/>
    </row>
    <row r="4551" spans="14:14" x14ac:dyDescent="0.35">
      <c r="N4551" s="676"/>
    </row>
    <row r="4552" spans="14:14" x14ac:dyDescent="0.35">
      <c r="N4552" s="676"/>
    </row>
    <row r="4553" spans="14:14" x14ac:dyDescent="0.35">
      <c r="N4553" s="676"/>
    </row>
    <row r="4554" spans="14:14" x14ac:dyDescent="0.35">
      <c r="N4554" s="676"/>
    </row>
    <row r="4555" spans="14:14" x14ac:dyDescent="0.35">
      <c r="N4555" s="676"/>
    </row>
    <row r="4556" spans="14:14" x14ac:dyDescent="0.35">
      <c r="N4556" s="676"/>
    </row>
    <row r="4557" spans="14:14" x14ac:dyDescent="0.35">
      <c r="N4557" s="676"/>
    </row>
    <row r="4558" spans="14:14" x14ac:dyDescent="0.35">
      <c r="N4558" s="676"/>
    </row>
    <row r="4559" spans="14:14" x14ac:dyDescent="0.35">
      <c r="N4559" s="676"/>
    </row>
    <row r="4560" spans="14:14" x14ac:dyDescent="0.35">
      <c r="N4560" s="676"/>
    </row>
    <row r="4561" spans="14:14" x14ac:dyDescent="0.35">
      <c r="N4561" s="676"/>
    </row>
    <row r="4562" spans="14:14" x14ac:dyDescent="0.35">
      <c r="N4562" s="676"/>
    </row>
    <row r="4563" spans="14:14" x14ac:dyDescent="0.35">
      <c r="N4563" s="676"/>
    </row>
    <row r="4564" spans="14:14" x14ac:dyDescent="0.35">
      <c r="N4564" s="676"/>
    </row>
    <row r="4565" spans="14:14" x14ac:dyDescent="0.35">
      <c r="N4565" s="676"/>
    </row>
    <row r="4566" spans="14:14" x14ac:dyDescent="0.35">
      <c r="N4566" s="676"/>
    </row>
    <row r="4567" spans="14:14" x14ac:dyDescent="0.35">
      <c r="N4567" s="676"/>
    </row>
    <row r="4568" spans="14:14" x14ac:dyDescent="0.35">
      <c r="N4568" s="676"/>
    </row>
    <row r="4569" spans="14:14" x14ac:dyDescent="0.35">
      <c r="N4569" s="676"/>
    </row>
    <row r="4570" spans="14:14" x14ac:dyDescent="0.35">
      <c r="N4570" s="676"/>
    </row>
    <row r="4571" spans="14:14" x14ac:dyDescent="0.35">
      <c r="N4571" s="676"/>
    </row>
    <row r="4572" spans="14:14" x14ac:dyDescent="0.35">
      <c r="N4572" s="676"/>
    </row>
    <row r="4573" spans="14:14" x14ac:dyDescent="0.35">
      <c r="N4573" s="676"/>
    </row>
    <row r="4574" spans="14:14" x14ac:dyDescent="0.35">
      <c r="N4574" s="676"/>
    </row>
    <row r="4575" spans="14:14" x14ac:dyDescent="0.35">
      <c r="N4575" s="676"/>
    </row>
    <row r="4576" spans="14:14" x14ac:dyDescent="0.35">
      <c r="N4576" s="676"/>
    </row>
    <row r="4577" spans="14:14" x14ac:dyDescent="0.35">
      <c r="N4577" s="676"/>
    </row>
    <row r="4578" spans="14:14" x14ac:dyDescent="0.35">
      <c r="N4578" s="676"/>
    </row>
    <row r="4579" spans="14:14" x14ac:dyDescent="0.35">
      <c r="N4579" s="676"/>
    </row>
    <row r="4580" spans="14:14" x14ac:dyDescent="0.35">
      <c r="N4580" s="676"/>
    </row>
    <row r="4581" spans="14:14" x14ac:dyDescent="0.35">
      <c r="N4581" s="676"/>
    </row>
    <row r="4582" spans="14:14" x14ac:dyDescent="0.35">
      <c r="N4582" s="676"/>
    </row>
    <row r="4583" spans="14:14" x14ac:dyDescent="0.35">
      <c r="N4583" s="676"/>
    </row>
    <row r="4584" spans="14:14" x14ac:dyDescent="0.35">
      <c r="N4584" s="676"/>
    </row>
    <row r="4585" spans="14:14" x14ac:dyDescent="0.35">
      <c r="N4585" s="676"/>
    </row>
    <row r="4586" spans="14:14" x14ac:dyDescent="0.35">
      <c r="N4586" s="676"/>
    </row>
    <row r="4587" spans="14:14" x14ac:dyDescent="0.35">
      <c r="N4587" s="676"/>
    </row>
    <row r="4588" spans="14:14" x14ac:dyDescent="0.35">
      <c r="N4588" s="676"/>
    </row>
    <row r="4589" spans="14:14" x14ac:dyDescent="0.35">
      <c r="N4589" s="676"/>
    </row>
    <row r="4590" spans="14:14" x14ac:dyDescent="0.35">
      <c r="N4590" s="676"/>
    </row>
    <row r="4591" spans="14:14" x14ac:dyDescent="0.35">
      <c r="N4591" s="676"/>
    </row>
    <row r="4592" spans="14:14" x14ac:dyDescent="0.35">
      <c r="N4592" s="676"/>
    </row>
    <row r="4593" spans="14:14" x14ac:dyDescent="0.35">
      <c r="N4593" s="676"/>
    </row>
    <row r="4594" spans="14:14" x14ac:dyDescent="0.35">
      <c r="N4594" s="676"/>
    </row>
    <row r="4595" spans="14:14" x14ac:dyDescent="0.35">
      <c r="N4595" s="676"/>
    </row>
    <row r="4596" spans="14:14" x14ac:dyDescent="0.35">
      <c r="N4596" s="676"/>
    </row>
    <row r="4597" spans="14:14" x14ac:dyDescent="0.35">
      <c r="N4597" s="676"/>
    </row>
    <row r="4598" spans="14:14" x14ac:dyDescent="0.35">
      <c r="N4598" s="676"/>
    </row>
    <row r="4599" spans="14:14" x14ac:dyDescent="0.35">
      <c r="N4599" s="676"/>
    </row>
    <row r="4600" spans="14:14" x14ac:dyDescent="0.35">
      <c r="N4600" s="676"/>
    </row>
    <row r="4601" spans="14:14" x14ac:dyDescent="0.35">
      <c r="N4601" s="676"/>
    </row>
    <row r="4602" spans="14:14" x14ac:dyDescent="0.35">
      <c r="N4602" s="676"/>
    </row>
    <row r="4603" spans="14:14" x14ac:dyDescent="0.35">
      <c r="N4603" s="676"/>
    </row>
    <row r="4604" spans="14:14" x14ac:dyDescent="0.35">
      <c r="N4604" s="676"/>
    </row>
    <row r="4605" spans="14:14" x14ac:dyDescent="0.35">
      <c r="N4605" s="676"/>
    </row>
    <row r="4606" spans="14:14" x14ac:dyDescent="0.35">
      <c r="N4606" s="676"/>
    </row>
    <row r="4607" spans="14:14" x14ac:dyDescent="0.35">
      <c r="N4607" s="676"/>
    </row>
    <row r="4608" spans="14:14" x14ac:dyDescent="0.35">
      <c r="N4608" s="676"/>
    </row>
    <row r="4609" spans="14:14" x14ac:dyDescent="0.35">
      <c r="N4609" s="676"/>
    </row>
    <row r="4610" spans="14:14" x14ac:dyDescent="0.35">
      <c r="N4610" s="676"/>
    </row>
    <row r="4611" spans="14:14" x14ac:dyDescent="0.35">
      <c r="N4611" s="676"/>
    </row>
    <row r="4612" spans="14:14" x14ac:dyDescent="0.35">
      <c r="N4612" s="676"/>
    </row>
    <row r="4613" spans="14:14" x14ac:dyDescent="0.35">
      <c r="N4613" s="676"/>
    </row>
    <row r="4614" spans="14:14" x14ac:dyDescent="0.35">
      <c r="N4614" s="676"/>
    </row>
    <row r="4615" spans="14:14" x14ac:dyDescent="0.35">
      <c r="N4615" s="676"/>
    </row>
    <row r="4616" spans="14:14" x14ac:dyDescent="0.35">
      <c r="N4616" s="676"/>
    </row>
    <row r="4617" spans="14:14" x14ac:dyDescent="0.35">
      <c r="N4617" s="676"/>
    </row>
    <row r="4618" spans="14:14" x14ac:dyDescent="0.35">
      <c r="N4618" s="676"/>
    </row>
    <row r="4619" spans="14:14" x14ac:dyDescent="0.35">
      <c r="N4619" s="676"/>
    </row>
    <row r="4620" spans="14:14" x14ac:dyDescent="0.35">
      <c r="N4620" s="676"/>
    </row>
    <row r="4621" spans="14:14" x14ac:dyDescent="0.35">
      <c r="N4621" s="676"/>
    </row>
    <row r="4622" spans="14:14" x14ac:dyDescent="0.35">
      <c r="N4622" s="676"/>
    </row>
    <row r="4623" spans="14:14" x14ac:dyDescent="0.35">
      <c r="N4623" s="676"/>
    </row>
    <row r="4624" spans="14:14" x14ac:dyDescent="0.35">
      <c r="N4624" s="676"/>
    </row>
    <row r="4625" spans="14:14" x14ac:dyDescent="0.35">
      <c r="N4625" s="676"/>
    </row>
    <row r="4626" spans="14:14" x14ac:dyDescent="0.35">
      <c r="N4626" s="676"/>
    </row>
    <row r="4627" spans="14:14" x14ac:dyDescent="0.35">
      <c r="N4627" s="676"/>
    </row>
    <row r="4628" spans="14:14" x14ac:dyDescent="0.35">
      <c r="N4628" s="676"/>
    </row>
    <row r="4629" spans="14:14" x14ac:dyDescent="0.35">
      <c r="N4629" s="676"/>
    </row>
    <row r="4630" spans="14:14" x14ac:dyDescent="0.35">
      <c r="N4630" s="676"/>
    </row>
    <row r="4631" spans="14:14" x14ac:dyDescent="0.35">
      <c r="N4631" s="676"/>
    </row>
    <row r="4632" spans="14:14" x14ac:dyDescent="0.35">
      <c r="N4632" s="676"/>
    </row>
    <row r="4633" spans="14:14" x14ac:dyDescent="0.35">
      <c r="N4633" s="676"/>
    </row>
    <row r="4634" spans="14:14" x14ac:dyDescent="0.35">
      <c r="N4634" s="676"/>
    </row>
    <row r="4635" spans="14:14" x14ac:dyDescent="0.35">
      <c r="N4635" s="676"/>
    </row>
    <row r="4636" spans="14:14" x14ac:dyDescent="0.35">
      <c r="N4636" s="676"/>
    </row>
    <row r="4637" spans="14:14" x14ac:dyDescent="0.35">
      <c r="N4637" s="676"/>
    </row>
    <row r="4638" spans="14:14" x14ac:dyDescent="0.35">
      <c r="N4638" s="676"/>
    </row>
    <row r="4639" spans="14:14" x14ac:dyDescent="0.35">
      <c r="N4639" s="676"/>
    </row>
    <row r="4640" spans="14:14" x14ac:dyDescent="0.35">
      <c r="N4640" s="676"/>
    </row>
    <row r="4641" spans="14:14" x14ac:dyDescent="0.35">
      <c r="N4641" s="676"/>
    </row>
    <row r="4642" spans="14:14" x14ac:dyDescent="0.35">
      <c r="N4642" s="676"/>
    </row>
    <row r="4643" spans="14:14" x14ac:dyDescent="0.35">
      <c r="N4643" s="676"/>
    </row>
    <row r="4644" spans="14:14" x14ac:dyDescent="0.35">
      <c r="N4644" s="676"/>
    </row>
    <row r="4645" spans="14:14" x14ac:dyDescent="0.35">
      <c r="N4645" s="676"/>
    </row>
    <row r="4646" spans="14:14" x14ac:dyDescent="0.35">
      <c r="N4646" s="676"/>
    </row>
    <row r="4647" spans="14:14" x14ac:dyDescent="0.35">
      <c r="N4647" s="676"/>
    </row>
    <row r="4648" spans="14:14" x14ac:dyDescent="0.35">
      <c r="N4648" s="676"/>
    </row>
    <row r="4649" spans="14:14" x14ac:dyDescent="0.35">
      <c r="N4649" s="676"/>
    </row>
    <row r="4650" spans="14:14" x14ac:dyDescent="0.35">
      <c r="N4650" s="676"/>
    </row>
    <row r="4651" spans="14:14" x14ac:dyDescent="0.35">
      <c r="N4651" s="676"/>
    </row>
    <row r="4652" spans="14:14" x14ac:dyDescent="0.35">
      <c r="N4652" s="676"/>
    </row>
    <row r="4653" spans="14:14" x14ac:dyDescent="0.35">
      <c r="N4653" s="676"/>
    </row>
    <row r="4654" spans="14:14" x14ac:dyDescent="0.35">
      <c r="N4654" s="676"/>
    </row>
    <row r="4655" spans="14:14" x14ac:dyDescent="0.35">
      <c r="N4655" s="676"/>
    </row>
    <row r="4656" spans="14:14" x14ac:dyDescent="0.35">
      <c r="N4656" s="676"/>
    </row>
    <row r="4657" spans="14:14" x14ac:dyDescent="0.35">
      <c r="N4657" s="676"/>
    </row>
    <row r="4658" spans="14:14" x14ac:dyDescent="0.35">
      <c r="N4658" s="676"/>
    </row>
    <row r="4659" spans="14:14" x14ac:dyDescent="0.35">
      <c r="N4659" s="676"/>
    </row>
    <row r="4660" spans="14:14" x14ac:dyDescent="0.35">
      <c r="N4660" s="676"/>
    </row>
    <row r="4661" spans="14:14" x14ac:dyDescent="0.35">
      <c r="N4661" s="676"/>
    </row>
    <row r="4662" spans="14:14" x14ac:dyDescent="0.35">
      <c r="N4662" s="676"/>
    </row>
    <row r="4663" spans="14:14" x14ac:dyDescent="0.35">
      <c r="N4663" s="676"/>
    </row>
    <row r="4664" spans="14:14" x14ac:dyDescent="0.35">
      <c r="N4664" s="676"/>
    </row>
    <row r="4665" spans="14:14" x14ac:dyDescent="0.35">
      <c r="N4665" s="676"/>
    </row>
    <row r="4666" spans="14:14" x14ac:dyDescent="0.35">
      <c r="N4666" s="676"/>
    </row>
    <row r="4667" spans="14:14" x14ac:dyDescent="0.35">
      <c r="N4667" s="676"/>
    </row>
    <row r="4668" spans="14:14" x14ac:dyDescent="0.35">
      <c r="N4668" s="676"/>
    </row>
    <row r="4669" spans="14:14" x14ac:dyDescent="0.35">
      <c r="N4669" s="676"/>
    </row>
    <row r="4670" spans="14:14" x14ac:dyDescent="0.35">
      <c r="N4670" s="676"/>
    </row>
    <row r="4671" spans="14:14" x14ac:dyDescent="0.35">
      <c r="N4671" s="676"/>
    </row>
    <row r="4672" spans="14:14" x14ac:dyDescent="0.35">
      <c r="N4672" s="676"/>
    </row>
    <row r="4673" spans="14:14" x14ac:dyDescent="0.35">
      <c r="N4673" s="676"/>
    </row>
    <row r="4674" spans="14:14" x14ac:dyDescent="0.35">
      <c r="N4674" s="676"/>
    </row>
    <row r="4675" spans="14:14" x14ac:dyDescent="0.35">
      <c r="N4675" s="676"/>
    </row>
    <row r="4676" spans="14:14" x14ac:dyDescent="0.35">
      <c r="N4676" s="676"/>
    </row>
    <row r="4677" spans="14:14" x14ac:dyDescent="0.35">
      <c r="N4677" s="676"/>
    </row>
    <row r="4678" spans="14:14" x14ac:dyDescent="0.35">
      <c r="N4678" s="676"/>
    </row>
    <row r="4679" spans="14:14" x14ac:dyDescent="0.35">
      <c r="N4679" s="676"/>
    </row>
    <row r="4680" spans="14:14" x14ac:dyDescent="0.35">
      <c r="N4680" s="676"/>
    </row>
    <row r="4681" spans="14:14" x14ac:dyDescent="0.35">
      <c r="N4681" s="676"/>
    </row>
    <row r="4682" spans="14:14" x14ac:dyDescent="0.35">
      <c r="N4682" s="676"/>
    </row>
    <row r="4683" spans="14:14" x14ac:dyDescent="0.35">
      <c r="N4683" s="676"/>
    </row>
    <row r="4684" spans="14:14" x14ac:dyDescent="0.35">
      <c r="N4684" s="676"/>
    </row>
    <row r="4685" spans="14:14" x14ac:dyDescent="0.35">
      <c r="N4685" s="676"/>
    </row>
    <row r="4686" spans="14:14" x14ac:dyDescent="0.35">
      <c r="N4686" s="676"/>
    </row>
    <row r="4687" spans="14:14" x14ac:dyDescent="0.35">
      <c r="N4687" s="676"/>
    </row>
    <row r="4688" spans="14:14" x14ac:dyDescent="0.35">
      <c r="N4688" s="676"/>
    </row>
    <row r="4689" spans="14:14" x14ac:dyDescent="0.35">
      <c r="N4689" s="676"/>
    </row>
    <row r="4690" spans="14:14" x14ac:dyDescent="0.35">
      <c r="N4690" s="676"/>
    </row>
    <row r="4691" spans="14:14" x14ac:dyDescent="0.35">
      <c r="N4691" s="676"/>
    </row>
    <row r="4692" spans="14:14" x14ac:dyDescent="0.35">
      <c r="N4692" s="676"/>
    </row>
    <row r="4693" spans="14:14" x14ac:dyDescent="0.35">
      <c r="N4693" s="676"/>
    </row>
    <row r="4694" spans="14:14" x14ac:dyDescent="0.35">
      <c r="N4694" s="676"/>
    </row>
    <row r="4695" spans="14:14" x14ac:dyDescent="0.35">
      <c r="N4695" s="676"/>
    </row>
    <row r="4696" spans="14:14" x14ac:dyDescent="0.35">
      <c r="N4696" s="676"/>
    </row>
    <row r="4697" spans="14:14" x14ac:dyDescent="0.35">
      <c r="N4697" s="676"/>
    </row>
    <row r="4698" spans="14:14" x14ac:dyDescent="0.35">
      <c r="N4698" s="676"/>
    </row>
    <row r="4699" spans="14:14" x14ac:dyDescent="0.35">
      <c r="N4699" s="676"/>
    </row>
    <row r="4700" spans="14:14" x14ac:dyDescent="0.35">
      <c r="N4700" s="676"/>
    </row>
    <row r="4701" spans="14:14" x14ac:dyDescent="0.35">
      <c r="N4701" s="676"/>
    </row>
    <row r="4702" spans="14:14" x14ac:dyDescent="0.35">
      <c r="N4702" s="676"/>
    </row>
    <row r="4703" spans="14:14" x14ac:dyDescent="0.35">
      <c r="N4703" s="676"/>
    </row>
    <row r="4704" spans="14:14" x14ac:dyDescent="0.35">
      <c r="N4704" s="676"/>
    </row>
    <row r="4705" spans="14:14" x14ac:dyDescent="0.35">
      <c r="N4705" s="676"/>
    </row>
    <row r="4706" spans="14:14" x14ac:dyDescent="0.35">
      <c r="N4706" s="676"/>
    </row>
    <row r="4707" spans="14:14" x14ac:dyDescent="0.35">
      <c r="N4707" s="676"/>
    </row>
    <row r="4708" spans="14:14" x14ac:dyDescent="0.35">
      <c r="N4708" s="676"/>
    </row>
    <row r="4709" spans="14:14" x14ac:dyDescent="0.35">
      <c r="N4709" s="676"/>
    </row>
    <row r="4710" spans="14:14" x14ac:dyDescent="0.35">
      <c r="N4710" s="676"/>
    </row>
    <row r="4711" spans="14:14" x14ac:dyDescent="0.35">
      <c r="N4711" s="676"/>
    </row>
    <row r="4712" spans="14:14" x14ac:dyDescent="0.35">
      <c r="N4712" s="676"/>
    </row>
    <row r="4713" spans="14:14" x14ac:dyDescent="0.35">
      <c r="N4713" s="676"/>
    </row>
    <row r="4714" spans="14:14" x14ac:dyDescent="0.35">
      <c r="N4714" s="676"/>
    </row>
    <row r="4715" spans="14:14" x14ac:dyDescent="0.35">
      <c r="N4715" s="676"/>
    </row>
    <row r="4716" spans="14:14" x14ac:dyDescent="0.35">
      <c r="N4716" s="676"/>
    </row>
    <row r="4717" spans="14:14" x14ac:dyDescent="0.35">
      <c r="N4717" s="676"/>
    </row>
    <row r="4718" spans="14:14" x14ac:dyDescent="0.35">
      <c r="N4718" s="676"/>
    </row>
    <row r="4719" spans="14:14" x14ac:dyDescent="0.35">
      <c r="N4719" s="676"/>
    </row>
    <row r="4720" spans="14:14" x14ac:dyDescent="0.35">
      <c r="N4720" s="676"/>
    </row>
    <row r="4721" spans="14:14" x14ac:dyDescent="0.35">
      <c r="N4721" s="676"/>
    </row>
    <row r="4722" spans="14:14" x14ac:dyDescent="0.35">
      <c r="N4722" s="676"/>
    </row>
    <row r="4723" spans="14:14" x14ac:dyDescent="0.35">
      <c r="N4723" s="676"/>
    </row>
    <row r="4724" spans="14:14" x14ac:dyDescent="0.35">
      <c r="N4724" s="676"/>
    </row>
    <row r="4725" spans="14:14" x14ac:dyDescent="0.35">
      <c r="N4725" s="676"/>
    </row>
    <row r="4726" spans="14:14" x14ac:dyDescent="0.35">
      <c r="N4726" s="676"/>
    </row>
    <row r="4727" spans="14:14" x14ac:dyDescent="0.35">
      <c r="N4727" s="676"/>
    </row>
    <row r="4728" spans="14:14" x14ac:dyDescent="0.35">
      <c r="N4728" s="676"/>
    </row>
    <row r="4729" spans="14:14" x14ac:dyDescent="0.35">
      <c r="N4729" s="676"/>
    </row>
    <row r="4730" spans="14:14" x14ac:dyDescent="0.35">
      <c r="N4730" s="676"/>
    </row>
    <row r="4731" spans="14:14" x14ac:dyDescent="0.35">
      <c r="N4731" s="676"/>
    </row>
    <row r="4732" spans="14:14" x14ac:dyDescent="0.35">
      <c r="N4732" s="676"/>
    </row>
    <row r="4733" spans="14:14" x14ac:dyDescent="0.35">
      <c r="N4733" s="676"/>
    </row>
    <row r="4734" spans="14:14" x14ac:dyDescent="0.35">
      <c r="N4734" s="676"/>
    </row>
    <row r="4735" spans="14:14" x14ac:dyDescent="0.35">
      <c r="N4735" s="676"/>
    </row>
    <row r="4736" spans="14:14" x14ac:dyDescent="0.35">
      <c r="N4736" s="676"/>
    </row>
    <row r="4737" spans="14:14" x14ac:dyDescent="0.35">
      <c r="N4737" s="676"/>
    </row>
    <row r="4738" spans="14:14" x14ac:dyDescent="0.35">
      <c r="N4738" s="676"/>
    </row>
    <row r="4739" spans="14:14" x14ac:dyDescent="0.35">
      <c r="N4739" s="676"/>
    </row>
    <row r="4740" spans="14:14" x14ac:dyDescent="0.35">
      <c r="N4740" s="676"/>
    </row>
    <row r="4741" spans="14:14" x14ac:dyDescent="0.35">
      <c r="N4741" s="676"/>
    </row>
    <row r="4742" spans="14:14" x14ac:dyDescent="0.35">
      <c r="N4742" s="676"/>
    </row>
    <row r="4743" spans="14:14" x14ac:dyDescent="0.35">
      <c r="N4743" s="676"/>
    </row>
    <row r="4744" spans="14:14" x14ac:dyDescent="0.35">
      <c r="N4744" s="676"/>
    </row>
    <row r="4745" spans="14:14" x14ac:dyDescent="0.35">
      <c r="N4745" s="676"/>
    </row>
    <row r="4746" spans="14:14" x14ac:dyDescent="0.35">
      <c r="N4746" s="676"/>
    </row>
    <row r="4747" spans="14:14" x14ac:dyDescent="0.35">
      <c r="N4747" s="676"/>
    </row>
    <row r="4748" spans="14:14" x14ac:dyDescent="0.35">
      <c r="N4748" s="676"/>
    </row>
    <row r="4749" spans="14:14" x14ac:dyDescent="0.35">
      <c r="N4749" s="676"/>
    </row>
    <row r="4750" spans="14:14" x14ac:dyDescent="0.35">
      <c r="N4750" s="676"/>
    </row>
    <row r="4751" spans="14:14" x14ac:dyDescent="0.35">
      <c r="N4751" s="676"/>
    </row>
    <row r="4752" spans="14:14" x14ac:dyDescent="0.35">
      <c r="N4752" s="676"/>
    </row>
    <row r="4753" spans="14:14" x14ac:dyDescent="0.35">
      <c r="N4753" s="676"/>
    </row>
    <row r="4754" spans="14:14" x14ac:dyDescent="0.35">
      <c r="N4754" s="676"/>
    </row>
    <row r="4755" spans="14:14" x14ac:dyDescent="0.35">
      <c r="N4755" s="676"/>
    </row>
    <row r="4756" spans="14:14" x14ac:dyDescent="0.35">
      <c r="N4756" s="676"/>
    </row>
    <row r="4757" spans="14:14" x14ac:dyDescent="0.35">
      <c r="N4757" s="676"/>
    </row>
    <row r="4758" spans="14:14" x14ac:dyDescent="0.35">
      <c r="N4758" s="676"/>
    </row>
    <row r="4759" spans="14:14" x14ac:dyDescent="0.35">
      <c r="N4759" s="676"/>
    </row>
    <row r="4760" spans="14:14" x14ac:dyDescent="0.35">
      <c r="N4760" s="676"/>
    </row>
    <row r="4761" spans="14:14" x14ac:dyDescent="0.35">
      <c r="N4761" s="676"/>
    </row>
    <row r="4762" spans="14:14" x14ac:dyDescent="0.35">
      <c r="N4762" s="676"/>
    </row>
    <row r="4763" spans="14:14" x14ac:dyDescent="0.35">
      <c r="N4763" s="676"/>
    </row>
    <row r="4764" spans="14:14" x14ac:dyDescent="0.35">
      <c r="N4764" s="676"/>
    </row>
    <row r="4765" spans="14:14" x14ac:dyDescent="0.35">
      <c r="N4765" s="676"/>
    </row>
    <row r="4766" spans="14:14" x14ac:dyDescent="0.35">
      <c r="N4766" s="676"/>
    </row>
    <row r="4767" spans="14:14" x14ac:dyDescent="0.35">
      <c r="N4767" s="676"/>
    </row>
    <row r="4768" spans="14:14" x14ac:dyDescent="0.35">
      <c r="N4768" s="676"/>
    </row>
    <row r="4769" spans="14:14" x14ac:dyDescent="0.35">
      <c r="N4769" s="676"/>
    </row>
    <row r="4770" spans="14:14" x14ac:dyDescent="0.35">
      <c r="N4770" s="676"/>
    </row>
    <row r="4771" spans="14:14" x14ac:dyDescent="0.35">
      <c r="N4771" s="676"/>
    </row>
    <row r="4772" spans="14:14" x14ac:dyDescent="0.35">
      <c r="N4772" s="676"/>
    </row>
    <row r="4773" spans="14:14" x14ac:dyDescent="0.35">
      <c r="N4773" s="676"/>
    </row>
    <row r="4774" spans="14:14" x14ac:dyDescent="0.35">
      <c r="N4774" s="676"/>
    </row>
    <row r="4775" spans="14:14" x14ac:dyDescent="0.35">
      <c r="N4775" s="676"/>
    </row>
    <row r="4776" spans="14:14" x14ac:dyDescent="0.35">
      <c r="N4776" s="676"/>
    </row>
    <row r="4777" spans="14:14" x14ac:dyDescent="0.35">
      <c r="N4777" s="676"/>
    </row>
    <row r="4778" spans="14:14" x14ac:dyDescent="0.35">
      <c r="N4778" s="676"/>
    </row>
    <row r="4779" spans="14:14" x14ac:dyDescent="0.35">
      <c r="N4779" s="676"/>
    </row>
    <row r="4780" spans="14:14" x14ac:dyDescent="0.35">
      <c r="N4780" s="676"/>
    </row>
    <row r="4781" spans="14:14" x14ac:dyDescent="0.35">
      <c r="N4781" s="676"/>
    </row>
    <row r="4782" spans="14:14" x14ac:dyDescent="0.35">
      <c r="N4782" s="676"/>
    </row>
    <row r="4783" spans="14:14" x14ac:dyDescent="0.35">
      <c r="N4783" s="676"/>
    </row>
    <row r="4784" spans="14:14" x14ac:dyDescent="0.35">
      <c r="N4784" s="676"/>
    </row>
    <row r="4785" spans="14:14" x14ac:dyDescent="0.35">
      <c r="N4785" s="676"/>
    </row>
    <row r="4786" spans="14:14" x14ac:dyDescent="0.35">
      <c r="N4786" s="676"/>
    </row>
    <row r="4787" spans="14:14" x14ac:dyDescent="0.35">
      <c r="N4787" s="676"/>
    </row>
    <row r="4788" spans="14:14" x14ac:dyDescent="0.35">
      <c r="N4788" s="676"/>
    </row>
    <row r="4789" spans="14:14" x14ac:dyDescent="0.35">
      <c r="N4789" s="676"/>
    </row>
    <row r="4790" spans="14:14" x14ac:dyDescent="0.35">
      <c r="N4790" s="676"/>
    </row>
    <row r="4791" spans="14:14" x14ac:dyDescent="0.35">
      <c r="N4791" s="676"/>
    </row>
    <row r="4792" spans="14:14" x14ac:dyDescent="0.35">
      <c r="N4792" s="676"/>
    </row>
    <row r="4793" spans="14:14" x14ac:dyDescent="0.35">
      <c r="N4793" s="676"/>
    </row>
    <row r="4794" spans="14:14" x14ac:dyDescent="0.35">
      <c r="N4794" s="676"/>
    </row>
    <row r="4795" spans="14:14" x14ac:dyDescent="0.35">
      <c r="N4795" s="676"/>
    </row>
    <row r="4796" spans="14:14" x14ac:dyDescent="0.35">
      <c r="N4796" s="676"/>
    </row>
    <row r="4797" spans="14:14" x14ac:dyDescent="0.35">
      <c r="N4797" s="676"/>
    </row>
    <row r="4798" spans="14:14" x14ac:dyDescent="0.35">
      <c r="N4798" s="676"/>
    </row>
    <row r="4799" spans="14:14" x14ac:dyDescent="0.35">
      <c r="N4799" s="676"/>
    </row>
    <row r="4800" spans="14:14" x14ac:dyDescent="0.35">
      <c r="N4800" s="676"/>
    </row>
    <row r="4801" spans="14:14" x14ac:dyDescent="0.35">
      <c r="N4801" s="676"/>
    </row>
    <row r="4802" spans="14:14" x14ac:dyDescent="0.35">
      <c r="N4802" s="676"/>
    </row>
    <row r="4803" spans="14:14" x14ac:dyDescent="0.35">
      <c r="N4803" s="676"/>
    </row>
    <row r="4804" spans="14:14" x14ac:dyDescent="0.35">
      <c r="N4804" s="676"/>
    </row>
    <row r="4805" spans="14:14" x14ac:dyDescent="0.35">
      <c r="N4805" s="676"/>
    </row>
    <row r="4806" spans="14:14" x14ac:dyDescent="0.35">
      <c r="N4806" s="676"/>
    </row>
    <row r="4807" spans="14:14" x14ac:dyDescent="0.35">
      <c r="N4807" s="676"/>
    </row>
    <row r="4808" spans="14:14" x14ac:dyDescent="0.35">
      <c r="N4808" s="676"/>
    </row>
    <row r="4809" spans="14:14" x14ac:dyDescent="0.35">
      <c r="N4809" s="676"/>
    </row>
    <row r="4810" spans="14:14" x14ac:dyDescent="0.35">
      <c r="N4810" s="676"/>
    </row>
    <row r="4811" spans="14:14" x14ac:dyDescent="0.35">
      <c r="N4811" s="676"/>
    </row>
    <row r="4812" spans="14:14" x14ac:dyDescent="0.35">
      <c r="N4812" s="676"/>
    </row>
    <row r="4813" spans="14:14" x14ac:dyDescent="0.35">
      <c r="N4813" s="676"/>
    </row>
    <row r="4814" spans="14:14" x14ac:dyDescent="0.35">
      <c r="N4814" s="676"/>
    </row>
    <row r="4815" spans="14:14" x14ac:dyDescent="0.35">
      <c r="N4815" s="676"/>
    </row>
    <row r="4816" spans="14:14" x14ac:dyDescent="0.35">
      <c r="N4816" s="676"/>
    </row>
    <row r="4817" spans="14:14" x14ac:dyDescent="0.35">
      <c r="N4817" s="676"/>
    </row>
    <row r="4818" spans="14:14" x14ac:dyDescent="0.35">
      <c r="N4818" s="676"/>
    </row>
    <row r="4819" spans="14:14" x14ac:dyDescent="0.35">
      <c r="N4819" s="676"/>
    </row>
    <row r="4820" spans="14:14" x14ac:dyDescent="0.35">
      <c r="N4820" s="676"/>
    </row>
    <row r="4821" spans="14:14" x14ac:dyDescent="0.35">
      <c r="N4821" s="676"/>
    </row>
    <row r="4822" spans="14:14" x14ac:dyDescent="0.35">
      <c r="N4822" s="676"/>
    </row>
    <row r="4823" spans="14:14" x14ac:dyDescent="0.35">
      <c r="N4823" s="676"/>
    </row>
    <row r="4824" spans="14:14" x14ac:dyDescent="0.35">
      <c r="N4824" s="676"/>
    </row>
    <row r="4825" spans="14:14" x14ac:dyDescent="0.35">
      <c r="N4825" s="676"/>
    </row>
    <row r="4826" spans="14:14" x14ac:dyDescent="0.35">
      <c r="N4826" s="676"/>
    </row>
    <row r="4827" spans="14:14" x14ac:dyDescent="0.35">
      <c r="N4827" s="676"/>
    </row>
    <row r="4828" spans="14:14" x14ac:dyDescent="0.35">
      <c r="N4828" s="676"/>
    </row>
    <row r="4829" spans="14:14" x14ac:dyDescent="0.35">
      <c r="N4829" s="676"/>
    </row>
    <row r="4830" spans="14:14" x14ac:dyDescent="0.35">
      <c r="N4830" s="676"/>
    </row>
    <row r="4831" spans="14:14" x14ac:dyDescent="0.35">
      <c r="N4831" s="676"/>
    </row>
    <row r="4832" spans="14:14" x14ac:dyDescent="0.35">
      <c r="N4832" s="676"/>
    </row>
    <row r="4833" spans="14:14" x14ac:dyDescent="0.35">
      <c r="N4833" s="676"/>
    </row>
    <row r="4834" spans="14:14" x14ac:dyDescent="0.35">
      <c r="N4834" s="676"/>
    </row>
    <row r="4835" spans="14:14" x14ac:dyDescent="0.35">
      <c r="N4835" s="676"/>
    </row>
    <row r="4836" spans="14:14" x14ac:dyDescent="0.35">
      <c r="N4836" s="676"/>
    </row>
    <row r="4837" spans="14:14" x14ac:dyDescent="0.35">
      <c r="N4837" s="676"/>
    </row>
    <row r="4838" spans="14:14" x14ac:dyDescent="0.35">
      <c r="N4838" s="676"/>
    </row>
    <row r="4839" spans="14:14" x14ac:dyDescent="0.35">
      <c r="N4839" s="676"/>
    </row>
    <row r="4840" spans="14:14" x14ac:dyDescent="0.35">
      <c r="N4840" s="676"/>
    </row>
    <row r="4841" spans="14:14" x14ac:dyDescent="0.35">
      <c r="N4841" s="676"/>
    </row>
    <row r="4842" spans="14:14" x14ac:dyDescent="0.35">
      <c r="N4842" s="676"/>
    </row>
    <row r="4843" spans="14:14" x14ac:dyDescent="0.35">
      <c r="N4843" s="676"/>
    </row>
    <row r="4844" spans="14:14" x14ac:dyDescent="0.35">
      <c r="N4844" s="676"/>
    </row>
    <row r="4845" spans="14:14" x14ac:dyDescent="0.35">
      <c r="N4845" s="676"/>
    </row>
    <row r="4846" spans="14:14" x14ac:dyDescent="0.35">
      <c r="N4846" s="676"/>
    </row>
    <row r="4847" spans="14:14" x14ac:dyDescent="0.35">
      <c r="N4847" s="676"/>
    </row>
    <row r="4848" spans="14:14" x14ac:dyDescent="0.35">
      <c r="N4848" s="676"/>
    </row>
    <row r="4849" spans="14:14" x14ac:dyDescent="0.35">
      <c r="N4849" s="676"/>
    </row>
    <row r="4850" spans="14:14" x14ac:dyDescent="0.35">
      <c r="N4850" s="676"/>
    </row>
    <row r="4851" spans="14:14" x14ac:dyDescent="0.35">
      <c r="N4851" s="676"/>
    </row>
    <row r="4852" spans="14:14" x14ac:dyDescent="0.35">
      <c r="N4852" s="676"/>
    </row>
    <row r="4853" spans="14:14" x14ac:dyDescent="0.35">
      <c r="N4853" s="676"/>
    </row>
    <row r="4854" spans="14:14" x14ac:dyDescent="0.35">
      <c r="N4854" s="676"/>
    </row>
    <row r="4855" spans="14:14" x14ac:dyDescent="0.35">
      <c r="N4855" s="676"/>
    </row>
    <row r="4856" spans="14:14" x14ac:dyDescent="0.35">
      <c r="N4856" s="676"/>
    </row>
    <row r="4857" spans="14:14" x14ac:dyDescent="0.35">
      <c r="N4857" s="676"/>
    </row>
    <row r="4858" spans="14:14" x14ac:dyDescent="0.35">
      <c r="N4858" s="676"/>
    </row>
    <row r="4859" spans="14:14" x14ac:dyDescent="0.35">
      <c r="N4859" s="676"/>
    </row>
    <row r="4860" spans="14:14" x14ac:dyDescent="0.35">
      <c r="N4860" s="676"/>
    </row>
    <row r="4861" spans="14:14" x14ac:dyDescent="0.35">
      <c r="N4861" s="676"/>
    </row>
    <row r="4862" spans="14:14" x14ac:dyDescent="0.35">
      <c r="N4862" s="676"/>
    </row>
    <row r="4863" spans="14:14" x14ac:dyDescent="0.35">
      <c r="N4863" s="676"/>
    </row>
    <row r="4864" spans="14:14" x14ac:dyDescent="0.35">
      <c r="N4864" s="676"/>
    </row>
    <row r="4865" spans="14:14" x14ac:dyDescent="0.35">
      <c r="N4865" s="676"/>
    </row>
    <row r="4866" spans="14:14" x14ac:dyDescent="0.35">
      <c r="N4866" s="676"/>
    </row>
    <row r="4867" spans="14:14" x14ac:dyDescent="0.35">
      <c r="N4867" s="676"/>
    </row>
    <row r="4868" spans="14:14" x14ac:dyDescent="0.35">
      <c r="N4868" s="676"/>
    </row>
    <row r="4869" spans="14:14" x14ac:dyDescent="0.35">
      <c r="N4869" s="676"/>
    </row>
    <row r="4870" spans="14:14" x14ac:dyDescent="0.35">
      <c r="N4870" s="676"/>
    </row>
    <row r="4871" spans="14:14" x14ac:dyDescent="0.35">
      <c r="N4871" s="676"/>
    </row>
    <row r="4872" spans="14:14" x14ac:dyDescent="0.35">
      <c r="N4872" s="676"/>
    </row>
    <row r="4873" spans="14:14" x14ac:dyDescent="0.35">
      <c r="N4873" s="676"/>
    </row>
    <row r="4874" spans="14:14" x14ac:dyDescent="0.35">
      <c r="N4874" s="676"/>
    </row>
    <row r="4875" spans="14:14" x14ac:dyDescent="0.35">
      <c r="N4875" s="676"/>
    </row>
    <row r="4876" spans="14:14" x14ac:dyDescent="0.35">
      <c r="N4876" s="676"/>
    </row>
    <row r="4877" spans="14:14" x14ac:dyDescent="0.35">
      <c r="N4877" s="676"/>
    </row>
    <row r="4878" spans="14:14" x14ac:dyDescent="0.35">
      <c r="N4878" s="676"/>
    </row>
    <row r="4879" spans="14:14" x14ac:dyDescent="0.35">
      <c r="N4879" s="676"/>
    </row>
    <row r="4880" spans="14:14" x14ac:dyDescent="0.35">
      <c r="N4880" s="676"/>
    </row>
    <row r="4881" spans="14:14" x14ac:dyDescent="0.35">
      <c r="N4881" s="676"/>
    </row>
    <row r="4882" spans="14:14" x14ac:dyDescent="0.35">
      <c r="N4882" s="676"/>
    </row>
    <row r="4883" spans="14:14" x14ac:dyDescent="0.35">
      <c r="N4883" s="676"/>
    </row>
    <row r="4884" spans="14:14" x14ac:dyDescent="0.35">
      <c r="N4884" s="676"/>
    </row>
    <row r="4885" spans="14:14" x14ac:dyDescent="0.35">
      <c r="N4885" s="676"/>
    </row>
    <row r="4886" spans="14:14" x14ac:dyDescent="0.35">
      <c r="N4886" s="676"/>
    </row>
    <row r="4887" spans="14:14" x14ac:dyDescent="0.35">
      <c r="N4887" s="676"/>
    </row>
    <row r="4888" spans="14:14" x14ac:dyDescent="0.35">
      <c r="N4888" s="676"/>
    </row>
    <row r="4889" spans="14:14" x14ac:dyDescent="0.35">
      <c r="N4889" s="676"/>
    </row>
    <row r="4890" spans="14:14" x14ac:dyDescent="0.35">
      <c r="N4890" s="676"/>
    </row>
    <row r="4891" spans="14:14" x14ac:dyDescent="0.35">
      <c r="N4891" s="676"/>
    </row>
    <row r="4892" spans="14:14" x14ac:dyDescent="0.35">
      <c r="N4892" s="676"/>
    </row>
    <row r="4893" spans="14:14" x14ac:dyDescent="0.35">
      <c r="N4893" s="676"/>
    </row>
    <row r="4894" spans="14:14" x14ac:dyDescent="0.35">
      <c r="N4894" s="676"/>
    </row>
    <row r="4895" spans="14:14" x14ac:dyDescent="0.35">
      <c r="N4895" s="676"/>
    </row>
    <row r="4896" spans="14:14" x14ac:dyDescent="0.35">
      <c r="N4896" s="676"/>
    </row>
    <row r="4897" spans="14:14" x14ac:dyDescent="0.35">
      <c r="N4897" s="676"/>
    </row>
    <row r="4898" spans="14:14" x14ac:dyDescent="0.35">
      <c r="N4898" s="676"/>
    </row>
    <row r="4899" spans="14:14" x14ac:dyDescent="0.35">
      <c r="N4899" s="676"/>
    </row>
    <row r="4900" spans="14:14" x14ac:dyDescent="0.35">
      <c r="N4900" s="676"/>
    </row>
    <row r="4901" spans="14:14" x14ac:dyDescent="0.35">
      <c r="N4901" s="676"/>
    </row>
    <row r="4902" spans="14:14" x14ac:dyDescent="0.35">
      <c r="N4902" s="676"/>
    </row>
    <row r="4903" spans="14:14" x14ac:dyDescent="0.35">
      <c r="N4903" s="676"/>
    </row>
    <row r="4904" spans="14:14" x14ac:dyDescent="0.35">
      <c r="N4904" s="676"/>
    </row>
    <row r="4905" spans="14:14" x14ac:dyDescent="0.35">
      <c r="N4905" s="676"/>
    </row>
    <row r="4906" spans="14:14" x14ac:dyDescent="0.35">
      <c r="N4906" s="676"/>
    </row>
    <row r="4907" spans="14:14" x14ac:dyDescent="0.35">
      <c r="N4907" s="676"/>
    </row>
    <row r="4908" spans="14:14" x14ac:dyDescent="0.35">
      <c r="N4908" s="676"/>
    </row>
    <row r="4909" spans="14:14" x14ac:dyDescent="0.35">
      <c r="N4909" s="676"/>
    </row>
    <row r="4910" spans="14:14" x14ac:dyDescent="0.35">
      <c r="N4910" s="676"/>
    </row>
    <row r="4911" spans="14:14" x14ac:dyDescent="0.35">
      <c r="N4911" s="676"/>
    </row>
    <row r="4912" spans="14:14" x14ac:dyDescent="0.35">
      <c r="N4912" s="676"/>
    </row>
    <row r="4913" spans="14:14" x14ac:dyDescent="0.35">
      <c r="N4913" s="676"/>
    </row>
    <row r="4914" spans="14:14" x14ac:dyDescent="0.35">
      <c r="N4914" s="676"/>
    </row>
    <row r="4915" spans="14:14" x14ac:dyDescent="0.35">
      <c r="N4915" s="676"/>
    </row>
    <row r="4916" spans="14:14" x14ac:dyDescent="0.35">
      <c r="N4916" s="676"/>
    </row>
    <row r="4917" spans="14:14" x14ac:dyDescent="0.35">
      <c r="N4917" s="676"/>
    </row>
    <row r="4918" spans="14:14" x14ac:dyDescent="0.35">
      <c r="N4918" s="676"/>
    </row>
    <row r="4919" spans="14:14" x14ac:dyDescent="0.35">
      <c r="N4919" s="676"/>
    </row>
    <row r="4920" spans="14:14" x14ac:dyDescent="0.35">
      <c r="N4920" s="676"/>
    </row>
    <row r="4921" spans="14:14" x14ac:dyDescent="0.35">
      <c r="N4921" s="676"/>
    </row>
    <row r="4922" spans="14:14" x14ac:dyDescent="0.35">
      <c r="N4922" s="676"/>
    </row>
    <row r="4923" spans="14:14" x14ac:dyDescent="0.35">
      <c r="N4923" s="676"/>
    </row>
    <row r="4924" spans="14:14" x14ac:dyDescent="0.35">
      <c r="N4924" s="676"/>
    </row>
    <row r="4925" spans="14:14" x14ac:dyDescent="0.35">
      <c r="N4925" s="676"/>
    </row>
    <row r="4926" spans="14:14" x14ac:dyDescent="0.35">
      <c r="N4926" s="676"/>
    </row>
    <row r="4927" spans="14:14" x14ac:dyDescent="0.35">
      <c r="N4927" s="676"/>
    </row>
    <row r="4928" spans="14:14" x14ac:dyDescent="0.35">
      <c r="N4928" s="676"/>
    </row>
    <row r="4929" spans="14:14" x14ac:dyDescent="0.35">
      <c r="N4929" s="676"/>
    </row>
    <row r="4930" spans="14:14" x14ac:dyDescent="0.35">
      <c r="N4930" s="676"/>
    </row>
    <row r="4931" spans="14:14" x14ac:dyDescent="0.35">
      <c r="N4931" s="676"/>
    </row>
    <row r="4932" spans="14:14" x14ac:dyDescent="0.35">
      <c r="N4932" s="676"/>
    </row>
    <row r="4933" spans="14:14" x14ac:dyDescent="0.35">
      <c r="N4933" s="676"/>
    </row>
    <row r="4934" spans="14:14" x14ac:dyDescent="0.35">
      <c r="N4934" s="676"/>
    </row>
    <row r="4935" spans="14:14" x14ac:dyDescent="0.35">
      <c r="N4935" s="676"/>
    </row>
    <row r="4936" spans="14:14" x14ac:dyDescent="0.35">
      <c r="N4936" s="676"/>
    </row>
    <row r="4937" spans="14:14" x14ac:dyDescent="0.35">
      <c r="N4937" s="676"/>
    </row>
    <row r="4938" spans="14:14" x14ac:dyDescent="0.35">
      <c r="N4938" s="676"/>
    </row>
    <row r="4939" spans="14:14" x14ac:dyDescent="0.35">
      <c r="N4939" s="676"/>
    </row>
    <row r="4940" spans="14:14" x14ac:dyDescent="0.35">
      <c r="N4940" s="676"/>
    </row>
    <row r="4941" spans="14:14" x14ac:dyDescent="0.35">
      <c r="N4941" s="676"/>
    </row>
    <row r="4942" spans="14:14" x14ac:dyDescent="0.35">
      <c r="N4942" s="676"/>
    </row>
    <row r="4943" spans="14:14" x14ac:dyDescent="0.35">
      <c r="N4943" s="676"/>
    </row>
    <row r="4944" spans="14:14" x14ac:dyDescent="0.35">
      <c r="N4944" s="676"/>
    </row>
    <row r="4945" spans="14:14" x14ac:dyDescent="0.35">
      <c r="N4945" s="676"/>
    </row>
    <row r="4946" spans="14:14" x14ac:dyDescent="0.35">
      <c r="N4946" s="676"/>
    </row>
    <row r="4947" spans="14:14" x14ac:dyDescent="0.35">
      <c r="N4947" s="676"/>
    </row>
    <row r="4948" spans="14:14" x14ac:dyDescent="0.35">
      <c r="N4948" s="676"/>
    </row>
    <row r="4949" spans="14:14" x14ac:dyDescent="0.35">
      <c r="N4949" s="676"/>
    </row>
    <row r="4950" spans="14:14" x14ac:dyDescent="0.35">
      <c r="N4950" s="676"/>
    </row>
    <row r="4951" spans="14:14" x14ac:dyDescent="0.35">
      <c r="N4951" s="676"/>
    </row>
    <row r="4952" spans="14:14" x14ac:dyDescent="0.35">
      <c r="N4952" s="676"/>
    </row>
    <row r="4953" spans="14:14" x14ac:dyDescent="0.35">
      <c r="N4953" s="676"/>
    </row>
    <row r="4954" spans="14:14" x14ac:dyDescent="0.35">
      <c r="N4954" s="676"/>
    </row>
    <row r="4955" spans="14:14" x14ac:dyDescent="0.35">
      <c r="N4955" s="676"/>
    </row>
    <row r="4956" spans="14:14" x14ac:dyDescent="0.35">
      <c r="N4956" s="676"/>
    </row>
    <row r="4957" spans="14:14" x14ac:dyDescent="0.35">
      <c r="N4957" s="676"/>
    </row>
    <row r="4958" spans="14:14" x14ac:dyDescent="0.35">
      <c r="N4958" s="676"/>
    </row>
    <row r="4959" spans="14:14" x14ac:dyDescent="0.35">
      <c r="N4959" s="676"/>
    </row>
    <row r="4960" spans="14:14" x14ac:dyDescent="0.35">
      <c r="N4960" s="676"/>
    </row>
    <row r="4961" spans="14:14" x14ac:dyDescent="0.35">
      <c r="N4961" s="676"/>
    </row>
    <row r="4962" spans="14:14" x14ac:dyDescent="0.35">
      <c r="N4962" s="676"/>
    </row>
    <row r="4963" spans="14:14" x14ac:dyDescent="0.35">
      <c r="N4963" s="676"/>
    </row>
    <row r="4964" spans="14:14" x14ac:dyDescent="0.35">
      <c r="N4964" s="676"/>
    </row>
    <row r="4965" spans="14:14" x14ac:dyDescent="0.35">
      <c r="N4965" s="676"/>
    </row>
    <row r="4966" spans="14:14" x14ac:dyDescent="0.35">
      <c r="N4966" s="676"/>
    </row>
    <row r="4967" spans="14:14" x14ac:dyDescent="0.35">
      <c r="N4967" s="676"/>
    </row>
    <row r="4968" spans="14:14" x14ac:dyDescent="0.35">
      <c r="N4968" s="676"/>
    </row>
    <row r="4969" spans="14:14" x14ac:dyDescent="0.35">
      <c r="N4969" s="676"/>
    </row>
    <row r="4970" spans="14:14" x14ac:dyDescent="0.35">
      <c r="N4970" s="676"/>
    </row>
    <row r="4971" spans="14:14" x14ac:dyDescent="0.35">
      <c r="N4971" s="676"/>
    </row>
    <row r="4972" spans="14:14" x14ac:dyDescent="0.35">
      <c r="N4972" s="676"/>
    </row>
    <row r="4973" spans="14:14" x14ac:dyDescent="0.35">
      <c r="N4973" s="676"/>
    </row>
    <row r="4974" spans="14:14" x14ac:dyDescent="0.35">
      <c r="N4974" s="676"/>
    </row>
    <row r="4975" spans="14:14" x14ac:dyDescent="0.35">
      <c r="N4975" s="676"/>
    </row>
    <row r="4976" spans="14:14" x14ac:dyDescent="0.35">
      <c r="N4976" s="676"/>
    </row>
    <row r="4977" spans="14:14" x14ac:dyDescent="0.35">
      <c r="N4977" s="676"/>
    </row>
    <row r="4978" spans="14:14" x14ac:dyDescent="0.35">
      <c r="N4978" s="676"/>
    </row>
    <row r="4979" spans="14:14" x14ac:dyDescent="0.35">
      <c r="N4979" s="676"/>
    </row>
    <row r="4980" spans="14:14" x14ac:dyDescent="0.35">
      <c r="N4980" s="676"/>
    </row>
    <row r="4981" spans="14:14" x14ac:dyDescent="0.35">
      <c r="N4981" s="676"/>
    </row>
    <row r="4982" spans="14:14" x14ac:dyDescent="0.35">
      <c r="N4982" s="676"/>
    </row>
    <row r="4983" spans="14:14" x14ac:dyDescent="0.35">
      <c r="N4983" s="676"/>
    </row>
    <row r="4984" spans="14:14" x14ac:dyDescent="0.35">
      <c r="N4984" s="676"/>
    </row>
    <row r="4985" spans="14:14" x14ac:dyDescent="0.35">
      <c r="N4985" s="676"/>
    </row>
    <row r="4986" spans="14:14" x14ac:dyDescent="0.35">
      <c r="N4986" s="676"/>
    </row>
    <row r="4987" spans="14:14" x14ac:dyDescent="0.35">
      <c r="N4987" s="676"/>
    </row>
    <row r="4988" spans="14:14" x14ac:dyDescent="0.35">
      <c r="N4988" s="676"/>
    </row>
    <row r="4989" spans="14:14" x14ac:dyDescent="0.35">
      <c r="N4989" s="676"/>
    </row>
    <row r="4990" spans="14:14" x14ac:dyDescent="0.35">
      <c r="N4990" s="676"/>
    </row>
    <row r="4991" spans="14:14" x14ac:dyDescent="0.35">
      <c r="N4991" s="676"/>
    </row>
    <row r="4992" spans="14:14" x14ac:dyDescent="0.35">
      <c r="N4992" s="676"/>
    </row>
    <row r="4993" spans="14:14" x14ac:dyDescent="0.35">
      <c r="N4993" s="676"/>
    </row>
    <row r="4994" spans="14:14" x14ac:dyDescent="0.35">
      <c r="N4994" s="676"/>
    </row>
    <row r="4995" spans="14:14" x14ac:dyDescent="0.35">
      <c r="N4995" s="676"/>
    </row>
    <row r="4996" spans="14:14" x14ac:dyDescent="0.35">
      <c r="N4996" s="676"/>
    </row>
    <row r="4997" spans="14:14" x14ac:dyDescent="0.35">
      <c r="N4997" s="676"/>
    </row>
    <row r="4998" spans="14:14" x14ac:dyDescent="0.35">
      <c r="N4998" s="676"/>
    </row>
    <row r="4999" spans="14:14" x14ac:dyDescent="0.35">
      <c r="N4999" s="676"/>
    </row>
    <row r="5000" spans="14:14" x14ac:dyDescent="0.35">
      <c r="N5000" s="676"/>
    </row>
    <row r="5001" spans="14:14" x14ac:dyDescent="0.35">
      <c r="N5001" s="676"/>
    </row>
    <row r="5002" spans="14:14" x14ac:dyDescent="0.35">
      <c r="N5002" s="676"/>
    </row>
    <row r="5003" spans="14:14" x14ac:dyDescent="0.35">
      <c r="N5003" s="676"/>
    </row>
    <row r="5004" spans="14:14" x14ac:dyDescent="0.35">
      <c r="N5004" s="676"/>
    </row>
    <row r="5005" spans="14:14" x14ac:dyDescent="0.35">
      <c r="N5005" s="676"/>
    </row>
    <row r="5006" spans="14:14" x14ac:dyDescent="0.35">
      <c r="N5006" s="676"/>
    </row>
    <row r="5007" spans="14:14" x14ac:dyDescent="0.35">
      <c r="N5007" s="676"/>
    </row>
    <row r="5008" spans="14:14" x14ac:dyDescent="0.35">
      <c r="N5008" s="676"/>
    </row>
    <row r="5009" spans="14:14" x14ac:dyDescent="0.35">
      <c r="N5009" s="676"/>
    </row>
    <row r="5010" spans="14:14" x14ac:dyDescent="0.35">
      <c r="N5010" s="676"/>
    </row>
    <row r="5011" spans="14:14" x14ac:dyDescent="0.35">
      <c r="N5011" s="676"/>
    </row>
    <row r="5012" spans="14:14" x14ac:dyDescent="0.35">
      <c r="N5012" s="676"/>
    </row>
    <row r="5013" spans="14:14" x14ac:dyDescent="0.35">
      <c r="N5013" s="676"/>
    </row>
    <row r="5014" spans="14:14" x14ac:dyDescent="0.35">
      <c r="N5014" s="676"/>
    </row>
    <row r="5015" spans="14:14" x14ac:dyDescent="0.35">
      <c r="N5015" s="676"/>
    </row>
    <row r="5016" spans="14:14" x14ac:dyDescent="0.35">
      <c r="N5016" s="676"/>
    </row>
    <row r="5017" spans="14:14" x14ac:dyDescent="0.35">
      <c r="N5017" s="676"/>
    </row>
    <row r="5018" spans="14:14" x14ac:dyDescent="0.35">
      <c r="N5018" s="676"/>
    </row>
    <row r="5019" spans="14:14" x14ac:dyDescent="0.35">
      <c r="N5019" s="676"/>
    </row>
    <row r="5020" spans="14:14" x14ac:dyDescent="0.35">
      <c r="N5020" s="676"/>
    </row>
    <row r="5021" spans="14:14" x14ac:dyDescent="0.35">
      <c r="N5021" s="676"/>
    </row>
    <row r="5022" spans="14:14" x14ac:dyDescent="0.35">
      <c r="N5022" s="676"/>
    </row>
    <row r="5023" spans="14:14" x14ac:dyDescent="0.35">
      <c r="N5023" s="676"/>
    </row>
    <row r="5024" spans="14:14" x14ac:dyDescent="0.35">
      <c r="N5024" s="676"/>
    </row>
    <row r="5025" spans="14:14" x14ac:dyDescent="0.35">
      <c r="N5025" s="676"/>
    </row>
    <row r="5026" spans="14:14" x14ac:dyDescent="0.35">
      <c r="N5026" s="676"/>
    </row>
    <row r="5027" spans="14:14" x14ac:dyDescent="0.35">
      <c r="N5027" s="676"/>
    </row>
    <row r="5028" spans="14:14" x14ac:dyDescent="0.35">
      <c r="N5028" s="676"/>
    </row>
    <row r="5029" spans="14:14" x14ac:dyDescent="0.35">
      <c r="N5029" s="676"/>
    </row>
    <row r="5030" spans="14:14" x14ac:dyDescent="0.35">
      <c r="N5030" s="676"/>
    </row>
    <row r="5031" spans="14:14" x14ac:dyDescent="0.35">
      <c r="N5031" s="676"/>
    </row>
    <row r="5032" spans="14:14" x14ac:dyDescent="0.35">
      <c r="N5032" s="676"/>
    </row>
    <row r="5033" spans="14:14" x14ac:dyDescent="0.35">
      <c r="N5033" s="676"/>
    </row>
    <row r="5034" spans="14:14" x14ac:dyDescent="0.35">
      <c r="N5034" s="676"/>
    </row>
    <row r="5035" spans="14:14" x14ac:dyDescent="0.35">
      <c r="N5035" s="676"/>
    </row>
    <row r="5036" spans="14:14" x14ac:dyDescent="0.35">
      <c r="N5036" s="676"/>
    </row>
    <row r="5037" spans="14:14" x14ac:dyDescent="0.35">
      <c r="N5037" s="676"/>
    </row>
    <row r="5038" spans="14:14" x14ac:dyDescent="0.35">
      <c r="N5038" s="676"/>
    </row>
    <row r="5039" spans="14:14" x14ac:dyDescent="0.35">
      <c r="N5039" s="676"/>
    </row>
    <row r="5040" spans="14:14" x14ac:dyDescent="0.35">
      <c r="N5040" s="676"/>
    </row>
    <row r="5041" spans="14:14" x14ac:dyDescent="0.35">
      <c r="N5041" s="676"/>
    </row>
    <row r="5042" spans="14:14" x14ac:dyDescent="0.35">
      <c r="N5042" s="676"/>
    </row>
    <row r="5043" spans="14:14" x14ac:dyDescent="0.35">
      <c r="N5043" s="676"/>
    </row>
    <row r="5044" spans="14:14" x14ac:dyDescent="0.35">
      <c r="N5044" s="676"/>
    </row>
    <row r="5045" spans="14:14" x14ac:dyDescent="0.35">
      <c r="N5045" s="676"/>
    </row>
    <row r="5046" spans="14:14" x14ac:dyDescent="0.35">
      <c r="N5046" s="676"/>
    </row>
    <row r="5047" spans="14:14" x14ac:dyDescent="0.35">
      <c r="N5047" s="676"/>
    </row>
    <row r="5048" spans="14:14" x14ac:dyDescent="0.35">
      <c r="N5048" s="676"/>
    </row>
    <row r="5049" spans="14:14" x14ac:dyDescent="0.35">
      <c r="N5049" s="676"/>
    </row>
    <row r="5050" spans="14:14" x14ac:dyDescent="0.35">
      <c r="N5050" s="676"/>
    </row>
    <row r="5051" spans="14:14" x14ac:dyDescent="0.35">
      <c r="N5051" s="676"/>
    </row>
    <row r="5052" spans="14:14" x14ac:dyDescent="0.35">
      <c r="N5052" s="676"/>
    </row>
    <row r="5053" spans="14:14" x14ac:dyDescent="0.35">
      <c r="N5053" s="676"/>
    </row>
    <row r="5054" spans="14:14" x14ac:dyDescent="0.35">
      <c r="N5054" s="676"/>
    </row>
    <row r="5055" spans="14:14" x14ac:dyDescent="0.35">
      <c r="N5055" s="676"/>
    </row>
    <row r="5056" spans="14:14" x14ac:dyDescent="0.35">
      <c r="N5056" s="676"/>
    </row>
    <row r="5057" spans="14:14" x14ac:dyDescent="0.35">
      <c r="N5057" s="676"/>
    </row>
    <row r="5058" spans="14:14" x14ac:dyDescent="0.35">
      <c r="N5058" s="676"/>
    </row>
    <row r="5059" spans="14:14" x14ac:dyDescent="0.35">
      <c r="N5059" s="676"/>
    </row>
    <row r="5060" spans="14:14" x14ac:dyDescent="0.35">
      <c r="N5060" s="676"/>
    </row>
    <row r="5061" spans="14:14" x14ac:dyDescent="0.35">
      <c r="N5061" s="676"/>
    </row>
    <row r="5062" spans="14:14" x14ac:dyDescent="0.35">
      <c r="N5062" s="676"/>
    </row>
    <row r="5063" spans="14:14" x14ac:dyDescent="0.35">
      <c r="N5063" s="676"/>
    </row>
    <row r="5064" spans="14:14" x14ac:dyDescent="0.35">
      <c r="N5064" s="676"/>
    </row>
    <row r="5065" spans="14:14" x14ac:dyDescent="0.35">
      <c r="N5065" s="676"/>
    </row>
    <row r="5066" spans="14:14" x14ac:dyDescent="0.35">
      <c r="N5066" s="676"/>
    </row>
    <row r="5067" spans="14:14" x14ac:dyDescent="0.35">
      <c r="N5067" s="676"/>
    </row>
    <row r="5068" spans="14:14" x14ac:dyDescent="0.35">
      <c r="N5068" s="676"/>
    </row>
    <row r="5069" spans="14:14" x14ac:dyDescent="0.35">
      <c r="N5069" s="676"/>
    </row>
    <row r="5070" spans="14:14" x14ac:dyDescent="0.35">
      <c r="N5070" s="676"/>
    </row>
    <row r="5071" spans="14:14" x14ac:dyDescent="0.35">
      <c r="N5071" s="676"/>
    </row>
    <row r="5072" spans="14:14" x14ac:dyDescent="0.35">
      <c r="N5072" s="676"/>
    </row>
    <row r="5073" spans="14:14" x14ac:dyDescent="0.35">
      <c r="N5073" s="676"/>
    </row>
    <row r="5074" spans="14:14" x14ac:dyDescent="0.35">
      <c r="N5074" s="676"/>
    </row>
    <row r="5075" spans="14:14" x14ac:dyDescent="0.35">
      <c r="N5075" s="676"/>
    </row>
    <row r="5076" spans="14:14" x14ac:dyDescent="0.35">
      <c r="N5076" s="676"/>
    </row>
    <row r="5077" spans="14:14" x14ac:dyDescent="0.35">
      <c r="N5077" s="676"/>
    </row>
    <row r="5078" spans="14:14" x14ac:dyDescent="0.35">
      <c r="N5078" s="676"/>
    </row>
    <row r="5079" spans="14:14" x14ac:dyDescent="0.35">
      <c r="N5079" s="676"/>
    </row>
    <row r="5080" spans="14:14" x14ac:dyDescent="0.35">
      <c r="N5080" s="676"/>
    </row>
    <row r="5081" spans="14:14" x14ac:dyDescent="0.35">
      <c r="N5081" s="676"/>
    </row>
    <row r="5082" spans="14:14" x14ac:dyDescent="0.35">
      <c r="N5082" s="676"/>
    </row>
    <row r="5083" spans="14:14" x14ac:dyDescent="0.35">
      <c r="N5083" s="676"/>
    </row>
    <row r="5084" spans="14:14" x14ac:dyDescent="0.35">
      <c r="N5084" s="676"/>
    </row>
    <row r="5085" spans="14:14" x14ac:dyDescent="0.35">
      <c r="N5085" s="676"/>
    </row>
    <row r="5086" spans="14:14" x14ac:dyDescent="0.35">
      <c r="N5086" s="676"/>
    </row>
    <row r="5087" spans="14:14" x14ac:dyDescent="0.35">
      <c r="N5087" s="676"/>
    </row>
    <row r="5088" spans="14:14" x14ac:dyDescent="0.35">
      <c r="N5088" s="676"/>
    </row>
    <row r="5089" spans="14:14" x14ac:dyDescent="0.35">
      <c r="N5089" s="676"/>
    </row>
    <row r="5090" spans="14:14" x14ac:dyDescent="0.35">
      <c r="N5090" s="676"/>
    </row>
    <row r="5091" spans="14:14" x14ac:dyDescent="0.35">
      <c r="N5091" s="676"/>
    </row>
    <row r="5092" spans="14:14" x14ac:dyDescent="0.35">
      <c r="N5092" s="676"/>
    </row>
    <row r="5093" spans="14:14" x14ac:dyDescent="0.35">
      <c r="N5093" s="676"/>
    </row>
    <row r="5094" spans="14:14" x14ac:dyDescent="0.35">
      <c r="N5094" s="676"/>
    </row>
    <row r="5095" spans="14:14" x14ac:dyDescent="0.35">
      <c r="N5095" s="676"/>
    </row>
    <row r="5096" spans="14:14" x14ac:dyDescent="0.35">
      <c r="N5096" s="676"/>
    </row>
    <row r="5097" spans="14:14" x14ac:dyDescent="0.35">
      <c r="N5097" s="676"/>
    </row>
    <row r="5098" spans="14:14" x14ac:dyDescent="0.35">
      <c r="N5098" s="676"/>
    </row>
    <row r="5099" spans="14:14" x14ac:dyDescent="0.35">
      <c r="N5099" s="676"/>
    </row>
    <row r="5100" spans="14:14" x14ac:dyDescent="0.35">
      <c r="N5100" s="676"/>
    </row>
    <row r="5101" spans="14:14" x14ac:dyDescent="0.35">
      <c r="N5101" s="676"/>
    </row>
    <row r="5102" spans="14:14" x14ac:dyDescent="0.35">
      <c r="N5102" s="676"/>
    </row>
    <row r="5103" spans="14:14" x14ac:dyDescent="0.35">
      <c r="N5103" s="676"/>
    </row>
    <row r="5104" spans="14:14" x14ac:dyDescent="0.35">
      <c r="N5104" s="676"/>
    </row>
    <row r="5105" spans="14:14" x14ac:dyDescent="0.35">
      <c r="N5105" s="676"/>
    </row>
    <row r="5106" spans="14:14" x14ac:dyDescent="0.35">
      <c r="N5106" s="676"/>
    </row>
    <row r="5107" spans="14:14" x14ac:dyDescent="0.35">
      <c r="N5107" s="676"/>
    </row>
    <row r="5108" spans="14:14" x14ac:dyDescent="0.35">
      <c r="N5108" s="676"/>
    </row>
    <row r="5109" spans="14:14" x14ac:dyDescent="0.35">
      <c r="N5109" s="676"/>
    </row>
    <row r="5110" spans="14:14" x14ac:dyDescent="0.35">
      <c r="N5110" s="676"/>
    </row>
    <row r="5111" spans="14:14" x14ac:dyDescent="0.35">
      <c r="N5111" s="676"/>
    </row>
    <row r="5112" spans="14:14" x14ac:dyDescent="0.35">
      <c r="N5112" s="676"/>
    </row>
    <row r="5113" spans="14:14" x14ac:dyDescent="0.35">
      <c r="N5113" s="676"/>
    </row>
    <row r="5114" spans="14:14" x14ac:dyDescent="0.35">
      <c r="N5114" s="676"/>
    </row>
    <row r="5115" spans="14:14" x14ac:dyDescent="0.35">
      <c r="N5115" s="676"/>
    </row>
    <row r="5116" spans="14:14" x14ac:dyDescent="0.35">
      <c r="N5116" s="676"/>
    </row>
    <row r="5117" spans="14:14" x14ac:dyDescent="0.35">
      <c r="N5117" s="676"/>
    </row>
    <row r="5118" spans="14:14" x14ac:dyDescent="0.35">
      <c r="N5118" s="676"/>
    </row>
    <row r="5119" spans="14:14" x14ac:dyDescent="0.35">
      <c r="N5119" s="676"/>
    </row>
    <row r="5120" spans="14:14" x14ac:dyDescent="0.35">
      <c r="N5120" s="676"/>
    </row>
    <row r="5121" spans="14:14" x14ac:dyDescent="0.35">
      <c r="N5121" s="676"/>
    </row>
    <row r="5122" spans="14:14" x14ac:dyDescent="0.35">
      <c r="N5122" s="676"/>
    </row>
    <row r="5123" spans="14:14" x14ac:dyDescent="0.35">
      <c r="N5123" s="676"/>
    </row>
    <row r="5124" spans="14:14" x14ac:dyDescent="0.35">
      <c r="N5124" s="676"/>
    </row>
    <row r="5125" spans="14:14" x14ac:dyDescent="0.35">
      <c r="N5125" s="676"/>
    </row>
    <row r="5126" spans="14:14" x14ac:dyDescent="0.35">
      <c r="N5126" s="676"/>
    </row>
    <row r="5127" spans="14:14" x14ac:dyDescent="0.35">
      <c r="N5127" s="676"/>
    </row>
    <row r="5128" spans="14:14" x14ac:dyDescent="0.35">
      <c r="N5128" s="676"/>
    </row>
    <row r="5129" spans="14:14" x14ac:dyDescent="0.35">
      <c r="N5129" s="676"/>
    </row>
    <row r="5130" spans="14:14" x14ac:dyDescent="0.35">
      <c r="N5130" s="676"/>
    </row>
    <row r="5131" spans="14:14" x14ac:dyDescent="0.35">
      <c r="N5131" s="676"/>
    </row>
    <row r="5132" spans="14:14" x14ac:dyDescent="0.35">
      <c r="N5132" s="676"/>
    </row>
    <row r="5133" spans="14:14" x14ac:dyDescent="0.35">
      <c r="N5133" s="676"/>
    </row>
    <row r="5134" spans="14:14" x14ac:dyDescent="0.35">
      <c r="N5134" s="676"/>
    </row>
    <row r="5135" spans="14:14" x14ac:dyDescent="0.35">
      <c r="N5135" s="676"/>
    </row>
    <row r="5136" spans="14:14" x14ac:dyDescent="0.35">
      <c r="N5136" s="676"/>
    </row>
    <row r="5137" spans="14:14" x14ac:dyDescent="0.35">
      <c r="N5137" s="676"/>
    </row>
    <row r="5138" spans="14:14" x14ac:dyDescent="0.35">
      <c r="N5138" s="676"/>
    </row>
    <row r="5139" spans="14:14" x14ac:dyDescent="0.35">
      <c r="N5139" s="676"/>
    </row>
    <row r="5140" spans="14:14" x14ac:dyDescent="0.35">
      <c r="N5140" s="676"/>
    </row>
    <row r="5141" spans="14:14" x14ac:dyDescent="0.35">
      <c r="N5141" s="676"/>
    </row>
    <row r="5142" spans="14:14" x14ac:dyDescent="0.35">
      <c r="N5142" s="676"/>
    </row>
    <row r="5143" spans="14:14" x14ac:dyDescent="0.35">
      <c r="N5143" s="676"/>
    </row>
    <row r="5144" spans="14:14" x14ac:dyDescent="0.35">
      <c r="N5144" s="676"/>
    </row>
    <row r="5145" spans="14:14" x14ac:dyDescent="0.35">
      <c r="N5145" s="676"/>
    </row>
    <row r="5146" spans="14:14" x14ac:dyDescent="0.35">
      <c r="N5146" s="676"/>
    </row>
    <row r="5147" spans="14:14" x14ac:dyDescent="0.35">
      <c r="N5147" s="676"/>
    </row>
    <row r="5148" spans="14:14" x14ac:dyDescent="0.35">
      <c r="N5148" s="676"/>
    </row>
    <row r="5149" spans="14:14" x14ac:dyDescent="0.35">
      <c r="N5149" s="676"/>
    </row>
    <row r="5150" spans="14:14" x14ac:dyDescent="0.35">
      <c r="N5150" s="676"/>
    </row>
    <row r="5151" spans="14:14" x14ac:dyDescent="0.35">
      <c r="N5151" s="676"/>
    </row>
    <row r="5152" spans="14:14" x14ac:dyDescent="0.35">
      <c r="N5152" s="676"/>
    </row>
    <row r="5153" spans="14:14" x14ac:dyDescent="0.35">
      <c r="N5153" s="676"/>
    </row>
    <row r="5154" spans="14:14" x14ac:dyDescent="0.35">
      <c r="N5154" s="676"/>
    </row>
    <row r="5155" spans="14:14" x14ac:dyDescent="0.35">
      <c r="N5155" s="676"/>
    </row>
    <row r="5156" spans="14:14" x14ac:dyDescent="0.35">
      <c r="N5156" s="676"/>
    </row>
    <row r="5157" spans="14:14" x14ac:dyDescent="0.35">
      <c r="N5157" s="676"/>
    </row>
    <row r="5158" spans="14:14" x14ac:dyDescent="0.35">
      <c r="N5158" s="676"/>
    </row>
    <row r="5159" spans="14:14" x14ac:dyDescent="0.35">
      <c r="N5159" s="676"/>
    </row>
    <row r="5160" spans="14:14" x14ac:dyDescent="0.35">
      <c r="N5160" s="676"/>
    </row>
    <row r="5161" spans="14:14" x14ac:dyDescent="0.35">
      <c r="N5161" s="676"/>
    </row>
    <row r="5162" spans="14:14" x14ac:dyDescent="0.35">
      <c r="N5162" s="676"/>
    </row>
    <row r="5163" spans="14:14" x14ac:dyDescent="0.35">
      <c r="N5163" s="676"/>
    </row>
    <row r="5164" spans="14:14" x14ac:dyDescent="0.35">
      <c r="N5164" s="676"/>
    </row>
    <row r="5165" spans="14:14" x14ac:dyDescent="0.35">
      <c r="N5165" s="676"/>
    </row>
    <row r="5166" spans="14:14" x14ac:dyDescent="0.35">
      <c r="N5166" s="676"/>
    </row>
    <row r="5167" spans="14:14" x14ac:dyDescent="0.35">
      <c r="N5167" s="676"/>
    </row>
    <row r="5168" spans="14:14" x14ac:dyDescent="0.35">
      <c r="N5168" s="676"/>
    </row>
    <row r="5169" spans="14:14" x14ac:dyDescent="0.35">
      <c r="N5169" s="676"/>
    </row>
    <row r="5170" spans="14:14" x14ac:dyDescent="0.35">
      <c r="N5170" s="676"/>
    </row>
    <row r="5171" spans="14:14" x14ac:dyDescent="0.35">
      <c r="N5171" s="676"/>
    </row>
    <row r="5172" spans="14:14" x14ac:dyDescent="0.35">
      <c r="N5172" s="676"/>
    </row>
    <row r="5173" spans="14:14" x14ac:dyDescent="0.35">
      <c r="N5173" s="676"/>
    </row>
    <row r="5174" spans="14:14" x14ac:dyDescent="0.35">
      <c r="N5174" s="676"/>
    </row>
    <row r="5175" spans="14:14" x14ac:dyDescent="0.35">
      <c r="N5175" s="676"/>
    </row>
    <row r="5176" spans="14:14" x14ac:dyDescent="0.35">
      <c r="N5176" s="676"/>
    </row>
    <row r="5177" spans="14:14" x14ac:dyDescent="0.35">
      <c r="N5177" s="676"/>
    </row>
    <row r="5178" spans="14:14" x14ac:dyDescent="0.35">
      <c r="N5178" s="676"/>
    </row>
    <row r="5179" spans="14:14" x14ac:dyDescent="0.35">
      <c r="N5179" s="676"/>
    </row>
    <row r="5180" spans="14:14" x14ac:dyDescent="0.35">
      <c r="N5180" s="676"/>
    </row>
    <row r="5181" spans="14:14" x14ac:dyDescent="0.35">
      <c r="N5181" s="676"/>
    </row>
    <row r="5182" spans="14:14" x14ac:dyDescent="0.35">
      <c r="N5182" s="676"/>
    </row>
    <row r="5183" spans="14:14" x14ac:dyDescent="0.35">
      <c r="N5183" s="676"/>
    </row>
    <row r="5184" spans="14:14" x14ac:dyDescent="0.35">
      <c r="N5184" s="676"/>
    </row>
    <row r="5185" spans="14:14" x14ac:dyDescent="0.35">
      <c r="N5185" s="676"/>
    </row>
    <row r="5186" spans="14:14" x14ac:dyDescent="0.35">
      <c r="N5186" s="676"/>
    </row>
    <row r="5187" spans="14:14" x14ac:dyDescent="0.35">
      <c r="N5187" s="676"/>
    </row>
    <row r="5188" spans="14:14" x14ac:dyDescent="0.35">
      <c r="N5188" s="676"/>
    </row>
    <row r="5189" spans="14:14" x14ac:dyDescent="0.35">
      <c r="N5189" s="676"/>
    </row>
    <row r="5190" spans="14:14" x14ac:dyDescent="0.35">
      <c r="N5190" s="676"/>
    </row>
    <row r="5191" spans="14:14" x14ac:dyDescent="0.35">
      <c r="N5191" s="676"/>
    </row>
    <row r="5192" spans="14:14" x14ac:dyDescent="0.35">
      <c r="N5192" s="676"/>
    </row>
    <row r="5193" spans="14:14" x14ac:dyDescent="0.35">
      <c r="N5193" s="676"/>
    </row>
    <row r="5194" spans="14:14" x14ac:dyDescent="0.35">
      <c r="N5194" s="676"/>
    </row>
    <row r="5195" spans="14:14" x14ac:dyDescent="0.35">
      <c r="N5195" s="676"/>
    </row>
    <row r="5196" spans="14:14" x14ac:dyDescent="0.35">
      <c r="N5196" s="676"/>
    </row>
    <row r="5197" spans="14:14" x14ac:dyDescent="0.35">
      <c r="N5197" s="676"/>
    </row>
    <row r="5198" spans="14:14" x14ac:dyDescent="0.35">
      <c r="N5198" s="676"/>
    </row>
    <row r="5199" spans="14:14" x14ac:dyDescent="0.35">
      <c r="N5199" s="676"/>
    </row>
    <row r="5200" spans="14:14" x14ac:dyDescent="0.35">
      <c r="N5200" s="676"/>
    </row>
    <row r="5201" spans="14:14" x14ac:dyDescent="0.35">
      <c r="N5201" s="676"/>
    </row>
    <row r="5202" spans="14:14" x14ac:dyDescent="0.35">
      <c r="N5202" s="676"/>
    </row>
    <row r="5203" spans="14:14" x14ac:dyDescent="0.35">
      <c r="N5203" s="676"/>
    </row>
    <row r="5204" spans="14:14" x14ac:dyDescent="0.35">
      <c r="N5204" s="676"/>
    </row>
    <row r="5205" spans="14:14" x14ac:dyDescent="0.35">
      <c r="N5205" s="676"/>
    </row>
    <row r="5206" spans="14:14" x14ac:dyDescent="0.35">
      <c r="N5206" s="676"/>
    </row>
    <row r="5207" spans="14:14" x14ac:dyDescent="0.35">
      <c r="N5207" s="676"/>
    </row>
    <row r="5208" spans="14:14" x14ac:dyDescent="0.35">
      <c r="N5208" s="676"/>
    </row>
    <row r="5209" spans="14:14" x14ac:dyDescent="0.35">
      <c r="N5209" s="676"/>
    </row>
    <row r="5210" spans="14:14" x14ac:dyDescent="0.35">
      <c r="N5210" s="676"/>
    </row>
    <row r="5211" spans="14:14" x14ac:dyDescent="0.35">
      <c r="N5211" s="676"/>
    </row>
    <row r="5212" spans="14:14" x14ac:dyDescent="0.35">
      <c r="N5212" s="676"/>
    </row>
    <row r="5213" spans="14:14" x14ac:dyDescent="0.35">
      <c r="N5213" s="676"/>
    </row>
    <row r="5214" spans="14:14" x14ac:dyDescent="0.35">
      <c r="N5214" s="676"/>
    </row>
    <row r="5215" spans="14:14" x14ac:dyDescent="0.35">
      <c r="N5215" s="676"/>
    </row>
    <row r="5216" spans="14:14" x14ac:dyDescent="0.35">
      <c r="N5216" s="676"/>
    </row>
    <row r="5217" spans="14:14" x14ac:dyDescent="0.35">
      <c r="N5217" s="676"/>
    </row>
    <row r="5218" spans="14:14" x14ac:dyDescent="0.35">
      <c r="N5218" s="676"/>
    </row>
    <row r="5219" spans="14:14" x14ac:dyDescent="0.35">
      <c r="N5219" s="676"/>
    </row>
    <row r="5220" spans="14:14" x14ac:dyDescent="0.35">
      <c r="N5220" s="676"/>
    </row>
    <row r="5221" spans="14:14" x14ac:dyDescent="0.35">
      <c r="N5221" s="676"/>
    </row>
    <row r="5222" spans="14:14" x14ac:dyDescent="0.35">
      <c r="N5222" s="676"/>
    </row>
    <row r="5223" spans="14:14" x14ac:dyDescent="0.35">
      <c r="N5223" s="676"/>
    </row>
    <row r="5224" spans="14:14" x14ac:dyDescent="0.35">
      <c r="N5224" s="676"/>
    </row>
    <row r="5225" spans="14:14" x14ac:dyDescent="0.35">
      <c r="N5225" s="676"/>
    </row>
    <row r="5226" spans="14:14" x14ac:dyDescent="0.35">
      <c r="N5226" s="676"/>
    </row>
    <row r="5227" spans="14:14" x14ac:dyDescent="0.35">
      <c r="N5227" s="676"/>
    </row>
    <row r="5228" spans="14:14" x14ac:dyDescent="0.35">
      <c r="N5228" s="676"/>
    </row>
    <row r="5229" spans="14:14" x14ac:dyDescent="0.35">
      <c r="N5229" s="676"/>
    </row>
    <row r="5230" spans="14:14" x14ac:dyDescent="0.35">
      <c r="N5230" s="676"/>
    </row>
    <row r="5231" spans="14:14" x14ac:dyDescent="0.35">
      <c r="N5231" s="676"/>
    </row>
    <row r="5232" spans="14:14" x14ac:dyDescent="0.35">
      <c r="N5232" s="676"/>
    </row>
    <row r="5233" spans="14:14" x14ac:dyDescent="0.35">
      <c r="N5233" s="676"/>
    </row>
    <row r="5234" spans="14:14" x14ac:dyDescent="0.35">
      <c r="N5234" s="676"/>
    </row>
    <row r="5235" spans="14:14" x14ac:dyDescent="0.35">
      <c r="N5235" s="676"/>
    </row>
    <row r="5236" spans="14:14" x14ac:dyDescent="0.35">
      <c r="N5236" s="676"/>
    </row>
    <row r="5237" spans="14:14" x14ac:dyDescent="0.35">
      <c r="N5237" s="676"/>
    </row>
    <row r="5238" spans="14:14" x14ac:dyDescent="0.35">
      <c r="N5238" s="676"/>
    </row>
    <row r="5239" spans="14:14" x14ac:dyDescent="0.35">
      <c r="N5239" s="676"/>
    </row>
    <row r="5240" spans="14:14" x14ac:dyDescent="0.35">
      <c r="N5240" s="676"/>
    </row>
    <row r="5241" spans="14:14" x14ac:dyDescent="0.35">
      <c r="N5241" s="676"/>
    </row>
    <row r="5242" spans="14:14" x14ac:dyDescent="0.35">
      <c r="N5242" s="676"/>
    </row>
    <row r="5243" spans="14:14" x14ac:dyDescent="0.35">
      <c r="N5243" s="676"/>
    </row>
    <row r="5244" spans="14:14" x14ac:dyDescent="0.35">
      <c r="N5244" s="676"/>
    </row>
    <row r="5245" spans="14:14" x14ac:dyDescent="0.35">
      <c r="N5245" s="676"/>
    </row>
    <row r="5246" spans="14:14" x14ac:dyDescent="0.35">
      <c r="N5246" s="676"/>
    </row>
    <row r="5247" spans="14:14" x14ac:dyDescent="0.35">
      <c r="N5247" s="676"/>
    </row>
    <row r="5248" spans="14:14" x14ac:dyDescent="0.35">
      <c r="N5248" s="676"/>
    </row>
    <row r="5249" spans="14:14" x14ac:dyDescent="0.35">
      <c r="N5249" s="676"/>
    </row>
    <row r="5250" spans="14:14" x14ac:dyDescent="0.35">
      <c r="N5250" s="676"/>
    </row>
    <row r="5251" spans="14:14" x14ac:dyDescent="0.35">
      <c r="N5251" s="676"/>
    </row>
    <row r="5252" spans="14:14" x14ac:dyDescent="0.35">
      <c r="N5252" s="676"/>
    </row>
    <row r="5253" spans="14:14" x14ac:dyDescent="0.35">
      <c r="N5253" s="676"/>
    </row>
    <row r="5254" spans="14:14" x14ac:dyDescent="0.35">
      <c r="N5254" s="676"/>
    </row>
    <row r="5255" spans="14:14" x14ac:dyDescent="0.35">
      <c r="N5255" s="676"/>
    </row>
    <row r="5256" spans="14:14" x14ac:dyDescent="0.35">
      <c r="N5256" s="676"/>
    </row>
    <row r="5257" spans="14:14" x14ac:dyDescent="0.35">
      <c r="N5257" s="676"/>
    </row>
    <row r="5258" spans="14:14" x14ac:dyDescent="0.35">
      <c r="N5258" s="676"/>
    </row>
    <row r="5259" spans="14:14" x14ac:dyDescent="0.35">
      <c r="N5259" s="676"/>
    </row>
    <row r="5260" spans="14:14" x14ac:dyDescent="0.35">
      <c r="N5260" s="676"/>
    </row>
    <row r="5261" spans="14:14" x14ac:dyDescent="0.35">
      <c r="N5261" s="676"/>
    </row>
    <row r="5262" spans="14:14" x14ac:dyDescent="0.35">
      <c r="N5262" s="676"/>
    </row>
    <row r="5263" spans="14:14" x14ac:dyDescent="0.35">
      <c r="N5263" s="676"/>
    </row>
    <row r="5264" spans="14:14" x14ac:dyDescent="0.35">
      <c r="N5264" s="676"/>
    </row>
    <row r="5265" spans="14:14" x14ac:dyDescent="0.35">
      <c r="N5265" s="676"/>
    </row>
    <row r="5266" spans="14:14" x14ac:dyDescent="0.35">
      <c r="N5266" s="676"/>
    </row>
    <row r="5267" spans="14:14" x14ac:dyDescent="0.35">
      <c r="N5267" s="676"/>
    </row>
    <row r="5268" spans="14:14" x14ac:dyDescent="0.35">
      <c r="N5268" s="676"/>
    </row>
    <row r="5269" spans="14:14" x14ac:dyDescent="0.35">
      <c r="N5269" s="676"/>
    </row>
    <row r="5270" spans="14:14" x14ac:dyDescent="0.35">
      <c r="N5270" s="676"/>
    </row>
    <row r="5271" spans="14:14" x14ac:dyDescent="0.35">
      <c r="N5271" s="676"/>
    </row>
    <row r="5272" spans="14:14" x14ac:dyDescent="0.35">
      <c r="N5272" s="676"/>
    </row>
    <row r="5273" spans="14:14" x14ac:dyDescent="0.35">
      <c r="N5273" s="676"/>
    </row>
    <row r="5274" spans="14:14" x14ac:dyDescent="0.35">
      <c r="N5274" s="676"/>
    </row>
    <row r="5275" spans="14:14" x14ac:dyDescent="0.35">
      <c r="N5275" s="676"/>
    </row>
    <row r="5276" spans="14:14" x14ac:dyDescent="0.35">
      <c r="N5276" s="676"/>
    </row>
    <row r="5277" spans="14:14" x14ac:dyDescent="0.35">
      <c r="N5277" s="676"/>
    </row>
    <row r="5278" spans="14:14" x14ac:dyDescent="0.35">
      <c r="N5278" s="676"/>
    </row>
    <row r="5279" spans="14:14" x14ac:dyDescent="0.35">
      <c r="N5279" s="676"/>
    </row>
    <row r="5280" spans="14:14" x14ac:dyDescent="0.35">
      <c r="N5280" s="676"/>
    </row>
    <row r="5281" spans="14:14" x14ac:dyDescent="0.35">
      <c r="N5281" s="676"/>
    </row>
    <row r="5282" spans="14:14" x14ac:dyDescent="0.35">
      <c r="N5282" s="676"/>
    </row>
    <row r="5283" spans="14:14" x14ac:dyDescent="0.35">
      <c r="N5283" s="676"/>
    </row>
    <row r="5284" spans="14:14" x14ac:dyDescent="0.35">
      <c r="N5284" s="676"/>
    </row>
    <row r="5285" spans="14:14" x14ac:dyDescent="0.35">
      <c r="N5285" s="676"/>
    </row>
    <row r="5286" spans="14:14" x14ac:dyDescent="0.35">
      <c r="N5286" s="676"/>
    </row>
    <row r="5287" spans="14:14" x14ac:dyDescent="0.35">
      <c r="N5287" s="676"/>
    </row>
    <row r="5288" spans="14:14" x14ac:dyDescent="0.35">
      <c r="N5288" s="676"/>
    </row>
    <row r="5289" spans="14:14" x14ac:dyDescent="0.35">
      <c r="N5289" s="676"/>
    </row>
    <row r="5290" spans="14:14" x14ac:dyDescent="0.35">
      <c r="N5290" s="676"/>
    </row>
    <row r="5291" spans="14:14" x14ac:dyDescent="0.35">
      <c r="N5291" s="676"/>
    </row>
    <row r="5292" spans="14:14" x14ac:dyDescent="0.35">
      <c r="N5292" s="676"/>
    </row>
    <row r="5293" spans="14:14" x14ac:dyDescent="0.35">
      <c r="N5293" s="676"/>
    </row>
    <row r="5294" spans="14:14" x14ac:dyDescent="0.35">
      <c r="N5294" s="676"/>
    </row>
    <row r="5295" spans="14:14" x14ac:dyDescent="0.35">
      <c r="N5295" s="676"/>
    </row>
    <row r="5296" spans="14:14" x14ac:dyDescent="0.35">
      <c r="N5296" s="676"/>
    </row>
    <row r="5297" spans="14:14" x14ac:dyDescent="0.35">
      <c r="N5297" s="676"/>
    </row>
    <row r="5298" spans="14:14" x14ac:dyDescent="0.35">
      <c r="N5298" s="676"/>
    </row>
    <row r="5299" spans="14:14" x14ac:dyDescent="0.35">
      <c r="N5299" s="676"/>
    </row>
    <row r="5300" spans="14:14" x14ac:dyDescent="0.35">
      <c r="N5300" s="676"/>
    </row>
    <row r="5301" spans="14:14" x14ac:dyDescent="0.35">
      <c r="N5301" s="676"/>
    </row>
    <row r="5302" spans="14:14" x14ac:dyDescent="0.35">
      <c r="N5302" s="676"/>
    </row>
    <row r="5303" spans="14:14" x14ac:dyDescent="0.35">
      <c r="N5303" s="676"/>
    </row>
    <row r="5304" spans="14:14" x14ac:dyDescent="0.35">
      <c r="N5304" s="676"/>
    </row>
    <row r="5305" spans="14:14" x14ac:dyDescent="0.35">
      <c r="N5305" s="676"/>
    </row>
    <row r="5306" spans="14:14" x14ac:dyDescent="0.35">
      <c r="N5306" s="676"/>
    </row>
    <row r="5307" spans="14:14" x14ac:dyDescent="0.35">
      <c r="N5307" s="676"/>
    </row>
    <row r="5308" spans="14:14" x14ac:dyDescent="0.35">
      <c r="N5308" s="676"/>
    </row>
    <row r="5309" spans="14:14" x14ac:dyDescent="0.35">
      <c r="N5309" s="676"/>
    </row>
    <row r="5310" spans="14:14" x14ac:dyDescent="0.35">
      <c r="N5310" s="676"/>
    </row>
    <row r="5311" spans="14:14" x14ac:dyDescent="0.35">
      <c r="N5311" s="676"/>
    </row>
    <row r="5312" spans="14:14" x14ac:dyDescent="0.35">
      <c r="N5312" s="676"/>
    </row>
    <row r="5313" spans="14:14" x14ac:dyDescent="0.35">
      <c r="N5313" s="676"/>
    </row>
    <row r="5314" spans="14:14" x14ac:dyDescent="0.35">
      <c r="N5314" s="676"/>
    </row>
    <row r="5315" spans="14:14" x14ac:dyDescent="0.35">
      <c r="N5315" s="676"/>
    </row>
    <row r="5316" spans="14:14" x14ac:dyDescent="0.35">
      <c r="N5316" s="676"/>
    </row>
    <row r="5317" spans="14:14" x14ac:dyDescent="0.35">
      <c r="N5317" s="676"/>
    </row>
    <row r="5318" spans="14:14" x14ac:dyDescent="0.35">
      <c r="N5318" s="676"/>
    </row>
    <row r="5319" spans="14:14" x14ac:dyDescent="0.35">
      <c r="N5319" s="676"/>
    </row>
    <row r="5320" spans="14:14" x14ac:dyDescent="0.35">
      <c r="N5320" s="676"/>
    </row>
    <row r="5321" spans="14:14" x14ac:dyDescent="0.35">
      <c r="N5321" s="676"/>
    </row>
    <row r="5322" spans="14:14" x14ac:dyDescent="0.35">
      <c r="N5322" s="676"/>
    </row>
    <row r="5323" spans="14:14" x14ac:dyDescent="0.35">
      <c r="N5323" s="676"/>
    </row>
    <row r="5324" spans="14:14" x14ac:dyDescent="0.35">
      <c r="N5324" s="676"/>
    </row>
    <row r="5325" spans="14:14" x14ac:dyDescent="0.35">
      <c r="N5325" s="676"/>
    </row>
    <row r="5326" spans="14:14" x14ac:dyDescent="0.35">
      <c r="N5326" s="676"/>
    </row>
    <row r="5327" spans="14:14" x14ac:dyDescent="0.35">
      <c r="N5327" s="676"/>
    </row>
    <row r="5328" spans="14:14" x14ac:dyDescent="0.35">
      <c r="N5328" s="676"/>
    </row>
    <row r="5329" spans="14:14" x14ac:dyDescent="0.35">
      <c r="N5329" s="676"/>
    </row>
    <row r="5330" spans="14:14" x14ac:dyDescent="0.35">
      <c r="N5330" s="676"/>
    </row>
    <row r="5331" spans="14:14" x14ac:dyDescent="0.35">
      <c r="N5331" s="676"/>
    </row>
    <row r="5332" spans="14:14" x14ac:dyDescent="0.35">
      <c r="N5332" s="676"/>
    </row>
    <row r="5333" spans="14:14" x14ac:dyDescent="0.35">
      <c r="N5333" s="676"/>
    </row>
    <row r="5334" spans="14:14" x14ac:dyDescent="0.35">
      <c r="N5334" s="676"/>
    </row>
    <row r="5335" spans="14:14" x14ac:dyDescent="0.35">
      <c r="N5335" s="676"/>
    </row>
    <row r="5336" spans="14:14" x14ac:dyDescent="0.35">
      <c r="N5336" s="676"/>
    </row>
    <row r="5337" spans="14:14" x14ac:dyDescent="0.35">
      <c r="N5337" s="676"/>
    </row>
    <row r="5338" spans="14:14" x14ac:dyDescent="0.35">
      <c r="N5338" s="676"/>
    </row>
    <row r="5339" spans="14:14" x14ac:dyDescent="0.35">
      <c r="N5339" s="676"/>
    </row>
    <row r="5340" spans="14:14" x14ac:dyDescent="0.35">
      <c r="N5340" s="676"/>
    </row>
    <row r="5341" spans="14:14" x14ac:dyDescent="0.35">
      <c r="N5341" s="676"/>
    </row>
    <row r="5342" spans="14:14" x14ac:dyDescent="0.35">
      <c r="N5342" s="676"/>
    </row>
    <row r="5343" spans="14:14" x14ac:dyDescent="0.35">
      <c r="N5343" s="676"/>
    </row>
    <row r="5344" spans="14:14" x14ac:dyDescent="0.35">
      <c r="N5344" s="676"/>
    </row>
    <row r="5345" spans="14:14" x14ac:dyDescent="0.35">
      <c r="N5345" s="676"/>
    </row>
    <row r="5346" spans="14:14" x14ac:dyDescent="0.35">
      <c r="N5346" s="676"/>
    </row>
    <row r="5347" spans="14:14" x14ac:dyDescent="0.35">
      <c r="N5347" s="676"/>
    </row>
    <row r="5348" spans="14:14" x14ac:dyDescent="0.35">
      <c r="N5348" s="676"/>
    </row>
    <row r="5349" spans="14:14" x14ac:dyDescent="0.35">
      <c r="N5349" s="676"/>
    </row>
    <row r="5350" spans="14:14" x14ac:dyDescent="0.35">
      <c r="N5350" s="676"/>
    </row>
    <row r="5351" spans="14:14" x14ac:dyDescent="0.35">
      <c r="N5351" s="676"/>
    </row>
    <row r="5352" spans="14:14" x14ac:dyDescent="0.35">
      <c r="N5352" s="676"/>
    </row>
    <row r="5353" spans="14:14" x14ac:dyDescent="0.35">
      <c r="N5353" s="676"/>
    </row>
    <row r="5354" spans="14:14" x14ac:dyDescent="0.35">
      <c r="N5354" s="676"/>
    </row>
    <row r="5355" spans="14:14" x14ac:dyDescent="0.35">
      <c r="N5355" s="676"/>
    </row>
    <row r="5356" spans="14:14" x14ac:dyDescent="0.35">
      <c r="N5356" s="676"/>
    </row>
    <row r="5357" spans="14:14" x14ac:dyDescent="0.35">
      <c r="N5357" s="676"/>
    </row>
    <row r="5358" spans="14:14" x14ac:dyDescent="0.35">
      <c r="N5358" s="676"/>
    </row>
    <row r="5359" spans="14:14" x14ac:dyDescent="0.35">
      <c r="N5359" s="676"/>
    </row>
    <row r="5360" spans="14:14" x14ac:dyDescent="0.35">
      <c r="N5360" s="676"/>
    </row>
    <row r="5361" spans="14:14" x14ac:dyDescent="0.35">
      <c r="N5361" s="676"/>
    </row>
    <row r="5362" spans="14:14" x14ac:dyDescent="0.35">
      <c r="N5362" s="676"/>
    </row>
    <row r="5363" spans="14:14" x14ac:dyDescent="0.35">
      <c r="N5363" s="676"/>
    </row>
    <row r="5364" spans="14:14" x14ac:dyDescent="0.35">
      <c r="N5364" s="676"/>
    </row>
    <row r="5365" spans="14:14" x14ac:dyDescent="0.35">
      <c r="N5365" s="676"/>
    </row>
    <row r="5366" spans="14:14" x14ac:dyDescent="0.35">
      <c r="N5366" s="676"/>
    </row>
    <row r="5367" spans="14:14" x14ac:dyDescent="0.35">
      <c r="N5367" s="676"/>
    </row>
    <row r="5368" spans="14:14" x14ac:dyDescent="0.35">
      <c r="N5368" s="676"/>
    </row>
    <row r="5369" spans="14:14" x14ac:dyDescent="0.35">
      <c r="N5369" s="676"/>
    </row>
    <row r="5370" spans="14:14" x14ac:dyDescent="0.35">
      <c r="N5370" s="676"/>
    </row>
    <row r="5371" spans="14:14" x14ac:dyDescent="0.35">
      <c r="N5371" s="676"/>
    </row>
    <row r="5372" spans="14:14" x14ac:dyDescent="0.35">
      <c r="N5372" s="676"/>
    </row>
    <row r="5373" spans="14:14" x14ac:dyDescent="0.35">
      <c r="N5373" s="676"/>
    </row>
    <row r="5374" spans="14:14" x14ac:dyDescent="0.35">
      <c r="N5374" s="676"/>
    </row>
    <row r="5375" spans="14:14" x14ac:dyDescent="0.35">
      <c r="N5375" s="676"/>
    </row>
    <row r="5376" spans="14:14" x14ac:dyDescent="0.35">
      <c r="N5376" s="676"/>
    </row>
    <row r="5377" spans="14:14" x14ac:dyDescent="0.35">
      <c r="N5377" s="676"/>
    </row>
    <row r="5378" spans="14:14" x14ac:dyDescent="0.35">
      <c r="N5378" s="676"/>
    </row>
    <row r="5379" spans="14:14" x14ac:dyDescent="0.35">
      <c r="N5379" s="676"/>
    </row>
    <row r="5380" spans="14:14" x14ac:dyDescent="0.35">
      <c r="N5380" s="676"/>
    </row>
    <row r="5381" spans="14:14" x14ac:dyDescent="0.35">
      <c r="N5381" s="676"/>
    </row>
    <row r="5382" spans="14:14" x14ac:dyDescent="0.35">
      <c r="N5382" s="676"/>
    </row>
    <row r="5383" spans="14:14" x14ac:dyDescent="0.35">
      <c r="N5383" s="676"/>
    </row>
    <row r="5384" spans="14:14" x14ac:dyDescent="0.35">
      <c r="N5384" s="676"/>
    </row>
    <row r="5385" spans="14:14" x14ac:dyDescent="0.35">
      <c r="N5385" s="676"/>
    </row>
    <row r="5386" spans="14:14" x14ac:dyDescent="0.35">
      <c r="N5386" s="676"/>
    </row>
    <row r="5387" spans="14:14" x14ac:dyDescent="0.35">
      <c r="N5387" s="676"/>
    </row>
    <row r="5388" spans="14:14" x14ac:dyDescent="0.35">
      <c r="N5388" s="676"/>
    </row>
    <row r="5389" spans="14:14" x14ac:dyDescent="0.35">
      <c r="N5389" s="676"/>
    </row>
    <row r="5390" spans="14:14" x14ac:dyDescent="0.35">
      <c r="N5390" s="676"/>
    </row>
    <row r="5391" spans="14:14" x14ac:dyDescent="0.35">
      <c r="N5391" s="676"/>
    </row>
    <row r="5392" spans="14:14" x14ac:dyDescent="0.35">
      <c r="N5392" s="676"/>
    </row>
    <row r="5393" spans="14:14" x14ac:dyDescent="0.35">
      <c r="N5393" s="676"/>
    </row>
    <row r="5394" spans="14:14" x14ac:dyDescent="0.35">
      <c r="N5394" s="676"/>
    </row>
    <row r="5395" spans="14:14" x14ac:dyDescent="0.35">
      <c r="N5395" s="676"/>
    </row>
    <row r="5396" spans="14:14" x14ac:dyDescent="0.35">
      <c r="N5396" s="676"/>
    </row>
    <row r="5397" spans="14:14" x14ac:dyDescent="0.35">
      <c r="N5397" s="676"/>
    </row>
    <row r="5398" spans="14:14" x14ac:dyDescent="0.35">
      <c r="N5398" s="676"/>
    </row>
    <row r="5399" spans="14:14" x14ac:dyDescent="0.35">
      <c r="N5399" s="676"/>
    </row>
    <row r="5400" spans="14:14" x14ac:dyDescent="0.35">
      <c r="N5400" s="676"/>
    </row>
    <row r="5401" spans="14:14" x14ac:dyDescent="0.35">
      <c r="N5401" s="676"/>
    </row>
    <row r="5402" spans="14:14" x14ac:dyDescent="0.35">
      <c r="N5402" s="676"/>
    </row>
    <row r="5403" spans="14:14" x14ac:dyDescent="0.35">
      <c r="N5403" s="676"/>
    </row>
    <row r="5404" spans="14:14" x14ac:dyDescent="0.35">
      <c r="N5404" s="676"/>
    </row>
    <row r="5405" spans="14:14" x14ac:dyDescent="0.35">
      <c r="N5405" s="676"/>
    </row>
    <row r="5406" spans="14:14" x14ac:dyDescent="0.35">
      <c r="N5406" s="676"/>
    </row>
    <row r="5407" spans="14:14" x14ac:dyDescent="0.35">
      <c r="N5407" s="676"/>
    </row>
    <row r="5408" spans="14:14" x14ac:dyDescent="0.35">
      <c r="N5408" s="676"/>
    </row>
    <row r="5409" spans="14:14" x14ac:dyDescent="0.35">
      <c r="N5409" s="676"/>
    </row>
    <row r="5410" spans="14:14" x14ac:dyDescent="0.35">
      <c r="N5410" s="676"/>
    </row>
    <row r="5411" spans="14:14" x14ac:dyDescent="0.35">
      <c r="N5411" s="676"/>
    </row>
    <row r="5412" spans="14:14" x14ac:dyDescent="0.35">
      <c r="N5412" s="676"/>
    </row>
    <row r="5413" spans="14:14" x14ac:dyDescent="0.35">
      <c r="N5413" s="676"/>
    </row>
    <row r="5414" spans="14:14" x14ac:dyDescent="0.35">
      <c r="N5414" s="676"/>
    </row>
    <row r="5415" spans="14:14" x14ac:dyDescent="0.35">
      <c r="N5415" s="676"/>
    </row>
    <row r="5416" spans="14:14" x14ac:dyDescent="0.35">
      <c r="N5416" s="676"/>
    </row>
    <row r="5417" spans="14:14" x14ac:dyDescent="0.35">
      <c r="N5417" s="676"/>
    </row>
    <row r="5418" spans="14:14" x14ac:dyDescent="0.35">
      <c r="N5418" s="676"/>
    </row>
    <row r="5419" spans="14:14" x14ac:dyDescent="0.35">
      <c r="N5419" s="676"/>
    </row>
    <row r="5420" spans="14:14" x14ac:dyDescent="0.35">
      <c r="N5420" s="676"/>
    </row>
    <row r="5421" spans="14:14" x14ac:dyDescent="0.35">
      <c r="N5421" s="676"/>
    </row>
    <row r="5422" spans="14:14" x14ac:dyDescent="0.35">
      <c r="N5422" s="676"/>
    </row>
    <row r="5423" spans="14:14" x14ac:dyDescent="0.35">
      <c r="N5423" s="676"/>
    </row>
    <row r="5424" spans="14:14" x14ac:dyDescent="0.35">
      <c r="N5424" s="676"/>
    </row>
    <row r="5425" spans="14:14" x14ac:dyDescent="0.35">
      <c r="N5425" s="676"/>
    </row>
    <row r="5426" spans="14:14" x14ac:dyDescent="0.35">
      <c r="N5426" s="676"/>
    </row>
    <row r="5427" spans="14:14" x14ac:dyDescent="0.35">
      <c r="N5427" s="676"/>
    </row>
    <row r="5428" spans="14:14" x14ac:dyDescent="0.35">
      <c r="N5428" s="676"/>
    </row>
    <row r="5429" spans="14:14" x14ac:dyDescent="0.35">
      <c r="N5429" s="676"/>
    </row>
    <row r="5430" spans="14:14" x14ac:dyDescent="0.35">
      <c r="N5430" s="676"/>
    </row>
    <row r="5431" spans="14:14" x14ac:dyDescent="0.35">
      <c r="N5431" s="676"/>
    </row>
    <row r="5432" spans="14:14" x14ac:dyDescent="0.35">
      <c r="N5432" s="676"/>
    </row>
    <row r="5433" spans="14:14" x14ac:dyDescent="0.35">
      <c r="N5433" s="676"/>
    </row>
    <row r="5434" spans="14:14" x14ac:dyDescent="0.35">
      <c r="N5434" s="676"/>
    </row>
    <row r="5435" spans="14:14" x14ac:dyDescent="0.35">
      <c r="N5435" s="676"/>
    </row>
    <row r="5436" spans="14:14" x14ac:dyDescent="0.35">
      <c r="N5436" s="676"/>
    </row>
    <row r="5437" spans="14:14" x14ac:dyDescent="0.35">
      <c r="N5437" s="676"/>
    </row>
    <row r="5438" spans="14:14" x14ac:dyDescent="0.35">
      <c r="N5438" s="676"/>
    </row>
    <row r="5439" spans="14:14" x14ac:dyDescent="0.35">
      <c r="N5439" s="676"/>
    </row>
    <row r="5440" spans="14:14" x14ac:dyDescent="0.35">
      <c r="N5440" s="676"/>
    </row>
    <row r="5441" spans="14:14" x14ac:dyDescent="0.35">
      <c r="N5441" s="676"/>
    </row>
    <row r="5442" spans="14:14" x14ac:dyDescent="0.35">
      <c r="N5442" s="676"/>
    </row>
    <row r="5443" spans="14:14" x14ac:dyDescent="0.35">
      <c r="N5443" s="676"/>
    </row>
    <row r="5444" spans="14:14" x14ac:dyDescent="0.35">
      <c r="N5444" s="676"/>
    </row>
    <row r="5445" spans="14:14" x14ac:dyDescent="0.35">
      <c r="N5445" s="676"/>
    </row>
    <row r="5446" spans="14:14" x14ac:dyDescent="0.35">
      <c r="N5446" s="676"/>
    </row>
    <row r="5447" spans="14:14" x14ac:dyDescent="0.35">
      <c r="N5447" s="676"/>
    </row>
    <row r="5448" spans="14:14" x14ac:dyDescent="0.35">
      <c r="N5448" s="676"/>
    </row>
    <row r="5449" spans="14:14" x14ac:dyDescent="0.35">
      <c r="N5449" s="676"/>
    </row>
    <row r="5450" spans="14:14" x14ac:dyDescent="0.35">
      <c r="N5450" s="676"/>
    </row>
    <row r="5451" spans="14:14" x14ac:dyDescent="0.35">
      <c r="N5451" s="676"/>
    </row>
    <row r="5452" spans="14:14" x14ac:dyDescent="0.35">
      <c r="N5452" s="676"/>
    </row>
    <row r="5453" spans="14:14" x14ac:dyDescent="0.35">
      <c r="N5453" s="676"/>
    </row>
    <row r="5454" spans="14:14" x14ac:dyDescent="0.35">
      <c r="N5454" s="676"/>
    </row>
    <row r="5455" spans="14:14" x14ac:dyDescent="0.35">
      <c r="N5455" s="676"/>
    </row>
    <row r="5456" spans="14:14" x14ac:dyDescent="0.35">
      <c r="N5456" s="676"/>
    </row>
    <row r="5457" spans="14:14" x14ac:dyDescent="0.35">
      <c r="N5457" s="676"/>
    </row>
    <row r="5458" spans="14:14" x14ac:dyDescent="0.35">
      <c r="N5458" s="676"/>
    </row>
    <row r="5459" spans="14:14" x14ac:dyDescent="0.35">
      <c r="N5459" s="676"/>
    </row>
    <row r="5460" spans="14:14" x14ac:dyDescent="0.35">
      <c r="N5460" s="676"/>
    </row>
    <row r="5461" spans="14:14" x14ac:dyDescent="0.35">
      <c r="N5461" s="676"/>
    </row>
    <row r="5462" spans="14:14" x14ac:dyDescent="0.35">
      <c r="N5462" s="676"/>
    </row>
    <row r="5463" spans="14:14" x14ac:dyDescent="0.35">
      <c r="N5463" s="676"/>
    </row>
    <row r="5464" spans="14:14" x14ac:dyDescent="0.35">
      <c r="N5464" s="676"/>
    </row>
    <row r="5465" spans="14:14" x14ac:dyDescent="0.35">
      <c r="N5465" s="676"/>
    </row>
    <row r="5466" spans="14:14" x14ac:dyDescent="0.35">
      <c r="N5466" s="676"/>
    </row>
    <row r="5467" spans="14:14" x14ac:dyDescent="0.35">
      <c r="N5467" s="676"/>
    </row>
    <row r="5468" spans="14:14" x14ac:dyDescent="0.35">
      <c r="N5468" s="676"/>
    </row>
    <row r="5469" spans="14:14" x14ac:dyDescent="0.35">
      <c r="N5469" s="676"/>
    </row>
    <row r="5470" spans="14:14" x14ac:dyDescent="0.35">
      <c r="N5470" s="676"/>
    </row>
    <row r="5471" spans="14:14" x14ac:dyDescent="0.35">
      <c r="N5471" s="676"/>
    </row>
    <row r="5472" spans="14:14" x14ac:dyDescent="0.35">
      <c r="N5472" s="676"/>
    </row>
    <row r="5473" spans="14:14" x14ac:dyDescent="0.35">
      <c r="N5473" s="676"/>
    </row>
    <row r="5474" spans="14:14" x14ac:dyDescent="0.35">
      <c r="N5474" s="676"/>
    </row>
    <row r="5475" spans="14:14" x14ac:dyDescent="0.35">
      <c r="N5475" s="676"/>
    </row>
    <row r="5476" spans="14:14" x14ac:dyDescent="0.35">
      <c r="N5476" s="676"/>
    </row>
    <row r="5477" spans="14:14" x14ac:dyDescent="0.35">
      <c r="N5477" s="676"/>
    </row>
    <row r="5478" spans="14:14" x14ac:dyDescent="0.35">
      <c r="N5478" s="676"/>
    </row>
    <row r="5479" spans="14:14" x14ac:dyDescent="0.35">
      <c r="N5479" s="676"/>
    </row>
    <row r="5480" spans="14:14" x14ac:dyDescent="0.35">
      <c r="N5480" s="676"/>
    </row>
    <row r="5481" spans="14:14" x14ac:dyDescent="0.35">
      <c r="N5481" s="676"/>
    </row>
    <row r="5482" spans="14:14" x14ac:dyDescent="0.35">
      <c r="N5482" s="676"/>
    </row>
    <row r="5483" spans="14:14" x14ac:dyDescent="0.35">
      <c r="N5483" s="676"/>
    </row>
    <row r="5484" spans="14:14" x14ac:dyDescent="0.35">
      <c r="N5484" s="676"/>
    </row>
    <row r="5485" spans="14:14" x14ac:dyDescent="0.35">
      <c r="N5485" s="676"/>
    </row>
    <row r="5486" spans="14:14" x14ac:dyDescent="0.35">
      <c r="N5486" s="676"/>
    </row>
    <row r="5487" spans="14:14" x14ac:dyDescent="0.35">
      <c r="N5487" s="676"/>
    </row>
    <row r="5488" spans="14:14" x14ac:dyDescent="0.35">
      <c r="N5488" s="676"/>
    </row>
    <row r="5489" spans="14:14" x14ac:dyDescent="0.35">
      <c r="N5489" s="676"/>
    </row>
    <row r="5490" spans="14:14" x14ac:dyDescent="0.35">
      <c r="N5490" s="676"/>
    </row>
    <row r="5491" spans="14:14" x14ac:dyDescent="0.35">
      <c r="N5491" s="676"/>
    </row>
    <row r="5492" spans="14:14" x14ac:dyDescent="0.35">
      <c r="N5492" s="676"/>
    </row>
    <row r="5493" spans="14:14" x14ac:dyDescent="0.35">
      <c r="N5493" s="676"/>
    </row>
    <row r="5494" spans="14:14" x14ac:dyDescent="0.35">
      <c r="N5494" s="676"/>
    </row>
    <row r="5495" spans="14:14" x14ac:dyDescent="0.35">
      <c r="N5495" s="676"/>
    </row>
    <row r="5496" spans="14:14" x14ac:dyDescent="0.35">
      <c r="N5496" s="676"/>
    </row>
    <row r="5497" spans="14:14" x14ac:dyDescent="0.35">
      <c r="N5497" s="676"/>
    </row>
    <row r="5498" spans="14:14" x14ac:dyDescent="0.35">
      <c r="N5498" s="676"/>
    </row>
    <row r="5499" spans="14:14" x14ac:dyDescent="0.35">
      <c r="N5499" s="676"/>
    </row>
    <row r="5500" spans="14:14" x14ac:dyDescent="0.35">
      <c r="N5500" s="676"/>
    </row>
    <row r="5501" spans="14:14" x14ac:dyDescent="0.35">
      <c r="N5501" s="676"/>
    </row>
    <row r="5502" spans="14:14" x14ac:dyDescent="0.35">
      <c r="N5502" s="676"/>
    </row>
    <row r="5503" spans="14:14" x14ac:dyDescent="0.35">
      <c r="N5503" s="676"/>
    </row>
    <row r="5504" spans="14:14" x14ac:dyDescent="0.35">
      <c r="N5504" s="676"/>
    </row>
    <row r="5505" spans="14:14" x14ac:dyDescent="0.35">
      <c r="N5505" s="676"/>
    </row>
    <row r="5506" spans="14:14" x14ac:dyDescent="0.35">
      <c r="N5506" s="676"/>
    </row>
    <row r="5507" spans="14:14" x14ac:dyDescent="0.35">
      <c r="N5507" s="676"/>
    </row>
    <row r="5508" spans="14:14" x14ac:dyDescent="0.35">
      <c r="N5508" s="676"/>
    </row>
    <row r="5509" spans="14:14" x14ac:dyDescent="0.35">
      <c r="N5509" s="676"/>
    </row>
    <row r="5510" spans="14:14" x14ac:dyDescent="0.35">
      <c r="N5510" s="676"/>
    </row>
    <row r="5511" spans="14:14" x14ac:dyDescent="0.35">
      <c r="N5511" s="676"/>
    </row>
    <row r="5512" spans="14:14" x14ac:dyDescent="0.35">
      <c r="N5512" s="676"/>
    </row>
    <row r="5513" spans="14:14" x14ac:dyDescent="0.35">
      <c r="N5513" s="676"/>
    </row>
    <row r="5514" spans="14:14" x14ac:dyDescent="0.35">
      <c r="N5514" s="676"/>
    </row>
    <row r="5515" spans="14:14" x14ac:dyDescent="0.35">
      <c r="N5515" s="676"/>
    </row>
    <row r="5516" spans="14:14" x14ac:dyDescent="0.35">
      <c r="N5516" s="676"/>
    </row>
    <row r="5517" spans="14:14" x14ac:dyDescent="0.35">
      <c r="N5517" s="676"/>
    </row>
    <row r="5518" spans="14:14" x14ac:dyDescent="0.35">
      <c r="N5518" s="676"/>
    </row>
    <row r="5519" spans="14:14" x14ac:dyDescent="0.35">
      <c r="N5519" s="676"/>
    </row>
    <row r="5520" spans="14:14" x14ac:dyDescent="0.35">
      <c r="N5520" s="676"/>
    </row>
    <row r="5521" spans="14:14" x14ac:dyDescent="0.35">
      <c r="N5521" s="676"/>
    </row>
    <row r="5522" spans="14:14" x14ac:dyDescent="0.35">
      <c r="N5522" s="676"/>
    </row>
    <row r="5523" spans="14:14" x14ac:dyDescent="0.35">
      <c r="N5523" s="676"/>
    </row>
    <row r="5524" spans="14:14" x14ac:dyDescent="0.35">
      <c r="N5524" s="676"/>
    </row>
    <row r="5525" spans="14:14" x14ac:dyDescent="0.35">
      <c r="N5525" s="676"/>
    </row>
    <row r="5526" spans="14:14" x14ac:dyDescent="0.35">
      <c r="N5526" s="676"/>
    </row>
    <row r="5527" spans="14:14" x14ac:dyDescent="0.35">
      <c r="N5527" s="676"/>
    </row>
    <row r="5528" spans="14:14" x14ac:dyDescent="0.35">
      <c r="N5528" s="676"/>
    </row>
    <row r="5529" spans="14:14" x14ac:dyDescent="0.35">
      <c r="N5529" s="676"/>
    </row>
    <row r="5530" spans="14:14" x14ac:dyDescent="0.35">
      <c r="N5530" s="676"/>
    </row>
    <row r="5531" spans="14:14" x14ac:dyDescent="0.35">
      <c r="N5531" s="676"/>
    </row>
    <row r="5532" spans="14:14" x14ac:dyDescent="0.35">
      <c r="N5532" s="676"/>
    </row>
    <row r="5533" spans="14:14" x14ac:dyDescent="0.35">
      <c r="N5533" s="676"/>
    </row>
    <row r="5534" spans="14:14" x14ac:dyDescent="0.35">
      <c r="N5534" s="676"/>
    </row>
    <row r="5535" spans="14:14" x14ac:dyDescent="0.35">
      <c r="N5535" s="676"/>
    </row>
    <row r="5536" spans="14:14" x14ac:dyDescent="0.35">
      <c r="N5536" s="676"/>
    </row>
    <row r="5537" spans="14:14" x14ac:dyDescent="0.35">
      <c r="N5537" s="676"/>
    </row>
    <row r="5538" spans="14:14" x14ac:dyDescent="0.35">
      <c r="N5538" s="676"/>
    </row>
    <row r="5539" spans="14:14" x14ac:dyDescent="0.35">
      <c r="N5539" s="676"/>
    </row>
    <row r="5540" spans="14:14" x14ac:dyDescent="0.35">
      <c r="N5540" s="676"/>
    </row>
    <row r="5541" spans="14:14" x14ac:dyDescent="0.35">
      <c r="N5541" s="676"/>
    </row>
    <row r="5542" spans="14:14" x14ac:dyDescent="0.35">
      <c r="N5542" s="676"/>
    </row>
    <row r="5543" spans="14:14" x14ac:dyDescent="0.35">
      <c r="N5543" s="676"/>
    </row>
    <row r="5544" spans="14:14" x14ac:dyDescent="0.35">
      <c r="N5544" s="676"/>
    </row>
    <row r="5545" spans="14:14" x14ac:dyDescent="0.35">
      <c r="N5545" s="676"/>
    </row>
    <row r="5546" spans="14:14" x14ac:dyDescent="0.35">
      <c r="N5546" s="676"/>
    </row>
    <row r="5547" spans="14:14" x14ac:dyDescent="0.35">
      <c r="N5547" s="676"/>
    </row>
    <row r="5548" spans="14:14" x14ac:dyDescent="0.35">
      <c r="N5548" s="676"/>
    </row>
    <row r="5549" spans="14:14" x14ac:dyDescent="0.35">
      <c r="N5549" s="676"/>
    </row>
    <row r="5550" spans="14:14" x14ac:dyDescent="0.35">
      <c r="N5550" s="676"/>
    </row>
    <row r="5551" spans="14:14" x14ac:dyDescent="0.35">
      <c r="N5551" s="676"/>
    </row>
    <row r="5552" spans="14:14" x14ac:dyDescent="0.35">
      <c r="N5552" s="676"/>
    </row>
    <row r="5553" spans="14:14" x14ac:dyDescent="0.35">
      <c r="N5553" s="676"/>
    </row>
    <row r="5554" spans="14:14" x14ac:dyDescent="0.35">
      <c r="N5554" s="676"/>
    </row>
    <row r="5555" spans="14:14" x14ac:dyDescent="0.35">
      <c r="N5555" s="676"/>
    </row>
    <row r="5556" spans="14:14" x14ac:dyDescent="0.35">
      <c r="N5556" s="676"/>
    </row>
    <row r="5557" spans="14:14" x14ac:dyDescent="0.35">
      <c r="N5557" s="676"/>
    </row>
    <row r="5558" spans="14:14" x14ac:dyDescent="0.35">
      <c r="N5558" s="676"/>
    </row>
    <row r="5559" spans="14:14" x14ac:dyDescent="0.35">
      <c r="N5559" s="676"/>
    </row>
    <row r="5560" spans="14:14" x14ac:dyDescent="0.35">
      <c r="N5560" s="676"/>
    </row>
    <row r="5561" spans="14:14" x14ac:dyDescent="0.35">
      <c r="N5561" s="676"/>
    </row>
    <row r="5562" spans="14:14" x14ac:dyDescent="0.35">
      <c r="N5562" s="676"/>
    </row>
    <row r="5563" spans="14:14" x14ac:dyDescent="0.35">
      <c r="N5563" s="676"/>
    </row>
    <row r="5564" spans="14:14" x14ac:dyDescent="0.35">
      <c r="N5564" s="676"/>
    </row>
    <row r="5565" spans="14:14" x14ac:dyDescent="0.35">
      <c r="N5565" s="676"/>
    </row>
    <row r="5566" spans="14:14" x14ac:dyDescent="0.35">
      <c r="N5566" s="676"/>
    </row>
    <row r="5567" spans="14:14" x14ac:dyDescent="0.35">
      <c r="N5567" s="676"/>
    </row>
    <row r="5568" spans="14:14" x14ac:dyDescent="0.35">
      <c r="N5568" s="676"/>
    </row>
    <row r="5569" spans="14:14" x14ac:dyDescent="0.35">
      <c r="N5569" s="676"/>
    </row>
    <row r="5570" spans="14:14" x14ac:dyDescent="0.35">
      <c r="N5570" s="676"/>
    </row>
    <row r="5571" spans="14:14" x14ac:dyDescent="0.35">
      <c r="N5571" s="676"/>
    </row>
    <row r="5572" spans="14:14" x14ac:dyDescent="0.35">
      <c r="N5572" s="676"/>
    </row>
    <row r="5573" spans="14:14" x14ac:dyDescent="0.35">
      <c r="N5573" s="676"/>
    </row>
    <row r="5574" spans="14:14" x14ac:dyDescent="0.35">
      <c r="N5574" s="676"/>
    </row>
    <row r="5575" spans="14:14" x14ac:dyDescent="0.35">
      <c r="N5575" s="676"/>
    </row>
    <row r="5576" spans="14:14" x14ac:dyDescent="0.35">
      <c r="N5576" s="676"/>
    </row>
    <row r="5577" spans="14:14" x14ac:dyDescent="0.35">
      <c r="N5577" s="676"/>
    </row>
    <row r="5578" spans="14:14" x14ac:dyDescent="0.35">
      <c r="N5578" s="676"/>
    </row>
    <row r="5579" spans="14:14" x14ac:dyDescent="0.35">
      <c r="N5579" s="676"/>
    </row>
    <row r="5580" spans="14:14" x14ac:dyDescent="0.35">
      <c r="N5580" s="676"/>
    </row>
    <row r="5581" spans="14:14" x14ac:dyDescent="0.35">
      <c r="N5581" s="676"/>
    </row>
    <row r="5582" spans="14:14" x14ac:dyDescent="0.35">
      <c r="N5582" s="676"/>
    </row>
    <row r="5583" spans="14:14" x14ac:dyDescent="0.35">
      <c r="N5583" s="676"/>
    </row>
    <row r="5584" spans="14:14" x14ac:dyDescent="0.35">
      <c r="N5584" s="676"/>
    </row>
    <row r="5585" spans="14:14" x14ac:dyDescent="0.35">
      <c r="N5585" s="676"/>
    </row>
    <row r="5586" spans="14:14" x14ac:dyDescent="0.35">
      <c r="N5586" s="676"/>
    </row>
    <row r="5587" spans="14:14" x14ac:dyDescent="0.35">
      <c r="N5587" s="676"/>
    </row>
    <row r="5588" spans="14:14" x14ac:dyDescent="0.35">
      <c r="N5588" s="676"/>
    </row>
    <row r="5589" spans="14:14" x14ac:dyDescent="0.35">
      <c r="N5589" s="676"/>
    </row>
    <row r="5590" spans="14:14" x14ac:dyDescent="0.35">
      <c r="N5590" s="676"/>
    </row>
    <row r="5591" spans="14:14" x14ac:dyDescent="0.35">
      <c r="N5591" s="676"/>
    </row>
    <row r="5592" spans="14:14" x14ac:dyDescent="0.35">
      <c r="N5592" s="676"/>
    </row>
    <row r="5593" spans="14:14" x14ac:dyDescent="0.35">
      <c r="N5593" s="676"/>
    </row>
    <row r="5594" spans="14:14" x14ac:dyDescent="0.35">
      <c r="N5594" s="676"/>
    </row>
    <row r="5595" spans="14:14" x14ac:dyDescent="0.35">
      <c r="N5595" s="676"/>
    </row>
    <row r="5596" spans="14:14" x14ac:dyDescent="0.35">
      <c r="N5596" s="676"/>
    </row>
    <row r="5597" spans="14:14" x14ac:dyDescent="0.35">
      <c r="N5597" s="676"/>
    </row>
    <row r="5598" spans="14:14" x14ac:dyDescent="0.35">
      <c r="N5598" s="676"/>
    </row>
    <row r="5599" spans="14:14" x14ac:dyDescent="0.35">
      <c r="N5599" s="676"/>
    </row>
    <row r="5600" spans="14:14" x14ac:dyDescent="0.35">
      <c r="N5600" s="676"/>
    </row>
    <row r="5601" spans="14:14" x14ac:dyDescent="0.35">
      <c r="N5601" s="676"/>
    </row>
    <row r="5602" spans="14:14" x14ac:dyDescent="0.35">
      <c r="N5602" s="676"/>
    </row>
    <row r="5603" spans="14:14" x14ac:dyDescent="0.35">
      <c r="N5603" s="676"/>
    </row>
    <row r="5604" spans="14:14" x14ac:dyDescent="0.35">
      <c r="N5604" s="676"/>
    </row>
    <row r="5605" spans="14:14" x14ac:dyDescent="0.35">
      <c r="N5605" s="676"/>
    </row>
    <row r="5606" spans="14:14" x14ac:dyDescent="0.35">
      <c r="N5606" s="676"/>
    </row>
    <row r="5607" spans="14:14" x14ac:dyDescent="0.35">
      <c r="N5607" s="676"/>
    </row>
    <row r="5608" spans="14:14" x14ac:dyDescent="0.35">
      <c r="N5608" s="676"/>
    </row>
    <row r="5609" spans="14:14" x14ac:dyDescent="0.35">
      <c r="N5609" s="676"/>
    </row>
    <row r="5610" spans="14:14" x14ac:dyDescent="0.35">
      <c r="N5610" s="676"/>
    </row>
    <row r="5611" spans="14:14" x14ac:dyDescent="0.35">
      <c r="N5611" s="676"/>
    </row>
    <row r="5612" spans="14:14" x14ac:dyDescent="0.35">
      <c r="N5612" s="676"/>
    </row>
    <row r="5613" spans="14:14" x14ac:dyDescent="0.35">
      <c r="N5613" s="676"/>
    </row>
    <row r="5614" spans="14:14" x14ac:dyDescent="0.35">
      <c r="N5614" s="676"/>
    </row>
    <row r="5615" spans="14:14" x14ac:dyDescent="0.35">
      <c r="N5615" s="676"/>
    </row>
    <row r="5616" spans="14:14" x14ac:dyDescent="0.35">
      <c r="N5616" s="676"/>
    </row>
    <row r="5617" spans="14:14" x14ac:dyDescent="0.35">
      <c r="N5617" s="676"/>
    </row>
    <row r="5618" spans="14:14" x14ac:dyDescent="0.35">
      <c r="N5618" s="676"/>
    </row>
    <row r="5619" spans="14:14" x14ac:dyDescent="0.35">
      <c r="N5619" s="676"/>
    </row>
    <row r="5620" spans="14:14" x14ac:dyDescent="0.35">
      <c r="N5620" s="676"/>
    </row>
    <row r="5621" spans="14:14" x14ac:dyDescent="0.35">
      <c r="N5621" s="676"/>
    </row>
    <row r="5622" spans="14:14" x14ac:dyDescent="0.35">
      <c r="N5622" s="676"/>
    </row>
    <row r="5623" spans="14:14" x14ac:dyDescent="0.35">
      <c r="N5623" s="676"/>
    </row>
    <row r="5624" spans="14:14" x14ac:dyDescent="0.35">
      <c r="N5624" s="676"/>
    </row>
    <row r="5625" spans="14:14" x14ac:dyDescent="0.35">
      <c r="N5625" s="676"/>
    </row>
    <row r="5626" spans="14:14" x14ac:dyDescent="0.35">
      <c r="N5626" s="676"/>
    </row>
    <row r="5627" spans="14:14" x14ac:dyDescent="0.35">
      <c r="N5627" s="676"/>
    </row>
    <row r="5628" spans="14:14" x14ac:dyDescent="0.35">
      <c r="N5628" s="676"/>
    </row>
    <row r="5629" spans="14:14" x14ac:dyDescent="0.35">
      <c r="N5629" s="676"/>
    </row>
    <row r="5630" spans="14:14" x14ac:dyDescent="0.35">
      <c r="N5630" s="676"/>
    </row>
    <row r="5631" spans="14:14" x14ac:dyDescent="0.35">
      <c r="N5631" s="676"/>
    </row>
    <row r="5632" spans="14:14" x14ac:dyDescent="0.35">
      <c r="N5632" s="676"/>
    </row>
    <row r="5633" spans="14:14" x14ac:dyDescent="0.35">
      <c r="N5633" s="676"/>
    </row>
    <row r="5634" spans="14:14" x14ac:dyDescent="0.35">
      <c r="N5634" s="676"/>
    </row>
    <row r="5635" spans="14:14" x14ac:dyDescent="0.35">
      <c r="N5635" s="676"/>
    </row>
    <row r="5636" spans="14:14" x14ac:dyDescent="0.35">
      <c r="N5636" s="676"/>
    </row>
    <row r="5637" spans="14:14" x14ac:dyDescent="0.35">
      <c r="N5637" s="676"/>
    </row>
    <row r="5638" spans="14:14" x14ac:dyDescent="0.35">
      <c r="N5638" s="676"/>
    </row>
    <row r="5639" spans="14:14" x14ac:dyDescent="0.35">
      <c r="N5639" s="676"/>
    </row>
    <row r="5640" spans="14:14" x14ac:dyDescent="0.35">
      <c r="N5640" s="676"/>
    </row>
    <row r="5641" spans="14:14" x14ac:dyDescent="0.35">
      <c r="N5641" s="676"/>
    </row>
    <row r="5642" spans="14:14" x14ac:dyDescent="0.35">
      <c r="N5642" s="676"/>
    </row>
    <row r="5643" spans="14:14" x14ac:dyDescent="0.35">
      <c r="N5643" s="676"/>
    </row>
    <row r="5644" spans="14:14" x14ac:dyDescent="0.35">
      <c r="N5644" s="676"/>
    </row>
    <row r="5645" spans="14:14" x14ac:dyDescent="0.35">
      <c r="N5645" s="676"/>
    </row>
    <row r="5646" spans="14:14" x14ac:dyDescent="0.35">
      <c r="N5646" s="676"/>
    </row>
    <row r="5647" spans="14:14" x14ac:dyDescent="0.35">
      <c r="N5647" s="676"/>
    </row>
    <row r="5648" spans="14:14" x14ac:dyDescent="0.35">
      <c r="N5648" s="676"/>
    </row>
    <row r="5649" spans="14:14" x14ac:dyDescent="0.35">
      <c r="N5649" s="676"/>
    </row>
    <row r="5650" spans="14:14" x14ac:dyDescent="0.35">
      <c r="N5650" s="676"/>
    </row>
    <row r="5651" spans="14:14" x14ac:dyDescent="0.35">
      <c r="N5651" s="676"/>
    </row>
    <row r="5652" spans="14:14" x14ac:dyDescent="0.35">
      <c r="N5652" s="676"/>
    </row>
    <row r="5653" spans="14:14" x14ac:dyDescent="0.35">
      <c r="N5653" s="676"/>
    </row>
    <row r="5654" spans="14:14" x14ac:dyDescent="0.35">
      <c r="N5654" s="676"/>
    </row>
    <row r="5655" spans="14:14" x14ac:dyDescent="0.35">
      <c r="N5655" s="676"/>
    </row>
    <row r="5656" spans="14:14" x14ac:dyDescent="0.35">
      <c r="N5656" s="676"/>
    </row>
    <row r="5657" spans="14:14" x14ac:dyDescent="0.35">
      <c r="N5657" s="676"/>
    </row>
    <row r="5658" spans="14:14" x14ac:dyDescent="0.35">
      <c r="N5658" s="676"/>
    </row>
    <row r="5659" spans="14:14" x14ac:dyDescent="0.35">
      <c r="N5659" s="676"/>
    </row>
    <row r="5660" spans="14:14" x14ac:dyDescent="0.35">
      <c r="N5660" s="676"/>
    </row>
    <row r="5661" spans="14:14" x14ac:dyDescent="0.35">
      <c r="N5661" s="676"/>
    </row>
    <row r="5662" spans="14:14" x14ac:dyDescent="0.35">
      <c r="N5662" s="676"/>
    </row>
    <row r="5663" spans="14:14" x14ac:dyDescent="0.35">
      <c r="N5663" s="676"/>
    </row>
    <row r="5664" spans="14:14" x14ac:dyDescent="0.35">
      <c r="N5664" s="676"/>
    </row>
    <row r="5665" spans="14:14" x14ac:dyDescent="0.35">
      <c r="N5665" s="676"/>
    </row>
    <row r="5666" spans="14:14" x14ac:dyDescent="0.35">
      <c r="N5666" s="676"/>
    </row>
    <row r="5667" spans="14:14" x14ac:dyDescent="0.35">
      <c r="N5667" s="676"/>
    </row>
    <row r="5668" spans="14:14" x14ac:dyDescent="0.35">
      <c r="N5668" s="676"/>
    </row>
    <row r="5669" spans="14:14" x14ac:dyDescent="0.35">
      <c r="N5669" s="676"/>
    </row>
    <row r="5670" spans="14:14" x14ac:dyDescent="0.35">
      <c r="N5670" s="676"/>
    </row>
    <row r="5671" spans="14:14" x14ac:dyDescent="0.35">
      <c r="N5671" s="676"/>
    </row>
    <row r="5672" spans="14:14" x14ac:dyDescent="0.35">
      <c r="N5672" s="676"/>
    </row>
    <row r="5673" spans="14:14" x14ac:dyDescent="0.35">
      <c r="N5673" s="676"/>
    </row>
    <row r="5674" spans="14:14" x14ac:dyDescent="0.35">
      <c r="N5674" s="676"/>
    </row>
    <row r="5675" spans="14:14" x14ac:dyDescent="0.35">
      <c r="N5675" s="676"/>
    </row>
    <row r="5676" spans="14:14" x14ac:dyDescent="0.35">
      <c r="N5676" s="676"/>
    </row>
    <row r="5677" spans="14:14" x14ac:dyDescent="0.35">
      <c r="N5677" s="676"/>
    </row>
    <row r="5678" spans="14:14" x14ac:dyDescent="0.35">
      <c r="N5678" s="676"/>
    </row>
    <row r="5679" spans="14:14" x14ac:dyDescent="0.35">
      <c r="N5679" s="676"/>
    </row>
    <row r="5680" spans="14:14" x14ac:dyDescent="0.35">
      <c r="N5680" s="676"/>
    </row>
    <row r="5681" spans="14:14" x14ac:dyDescent="0.35">
      <c r="N5681" s="676"/>
    </row>
    <row r="5682" spans="14:14" x14ac:dyDescent="0.35">
      <c r="N5682" s="676"/>
    </row>
    <row r="5683" spans="14:14" x14ac:dyDescent="0.35">
      <c r="N5683" s="676"/>
    </row>
    <row r="5684" spans="14:14" x14ac:dyDescent="0.35">
      <c r="N5684" s="676"/>
    </row>
    <row r="5685" spans="14:14" x14ac:dyDescent="0.35">
      <c r="N5685" s="676"/>
    </row>
    <row r="5686" spans="14:14" x14ac:dyDescent="0.35">
      <c r="N5686" s="676"/>
    </row>
    <row r="5687" spans="14:14" x14ac:dyDescent="0.35">
      <c r="N5687" s="676"/>
    </row>
    <row r="5688" spans="14:14" x14ac:dyDescent="0.35">
      <c r="N5688" s="676"/>
    </row>
    <row r="5689" spans="14:14" x14ac:dyDescent="0.35">
      <c r="N5689" s="676"/>
    </row>
    <row r="5690" spans="14:14" x14ac:dyDescent="0.35">
      <c r="N5690" s="676"/>
    </row>
    <row r="5691" spans="14:14" x14ac:dyDescent="0.35">
      <c r="N5691" s="676"/>
    </row>
    <row r="5692" spans="14:14" x14ac:dyDescent="0.35">
      <c r="N5692" s="676"/>
    </row>
    <row r="5693" spans="14:14" x14ac:dyDescent="0.35">
      <c r="N5693" s="676"/>
    </row>
    <row r="5694" spans="14:14" x14ac:dyDescent="0.35">
      <c r="N5694" s="676"/>
    </row>
    <row r="5695" spans="14:14" x14ac:dyDescent="0.35">
      <c r="N5695" s="676"/>
    </row>
    <row r="5696" spans="14:14" x14ac:dyDescent="0.35">
      <c r="N5696" s="676"/>
    </row>
    <row r="5697" spans="14:14" x14ac:dyDescent="0.35">
      <c r="N5697" s="676"/>
    </row>
    <row r="5698" spans="14:14" x14ac:dyDescent="0.35">
      <c r="N5698" s="676"/>
    </row>
    <row r="5699" spans="14:14" x14ac:dyDescent="0.35">
      <c r="N5699" s="676"/>
    </row>
    <row r="5700" spans="14:14" x14ac:dyDescent="0.35">
      <c r="N5700" s="676"/>
    </row>
    <row r="5701" spans="14:14" x14ac:dyDescent="0.35">
      <c r="N5701" s="676"/>
    </row>
    <row r="5702" spans="14:14" x14ac:dyDescent="0.35">
      <c r="N5702" s="676"/>
    </row>
    <row r="5703" spans="14:14" x14ac:dyDescent="0.35">
      <c r="N5703" s="676"/>
    </row>
    <row r="5704" spans="14:14" x14ac:dyDescent="0.35">
      <c r="N5704" s="676"/>
    </row>
    <row r="5705" spans="14:14" x14ac:dyDescent="0.35">
      <c r="N5705" s="676"/>
    </row>
    <row r="5706" spans="14:14" x14ac:dyDescent="0.35">
      <c r="N5706" s="676"/>
    </row>
    <row r="5707" spans="14:14" x14ac:dyDescent="0.35">
      <c r="N5707" s="676"/>
    </row>
    <row r="5708" spans="14:14" x14ac:dyDescent="0.35">
      <c r="N5708" s="676"/>
    </row>
    <row r="5709" spans="14:14" x14ac:dyDescent="0.35">
      <c r="N5709" s="676"/>
    </row>
    <row r="5710" spans="14:14" x14ac:dyDescent="0.35">
      <c r="N5710" s="676"/>
    </row>
    <row r="5711" spans="14:14" x14ac:dyDescent="0.35">
      <c r="N5711" s="676"/>
    </row>
    <row r="5712" spans="14:14" x14ac:dyDescent="0.35">
      <c r="N5712" s="676"/>
    </row>
    <row r="5713" spans="14:14" x14ac:dyDescent="0.35">
      <c r="N5713" s="676"/>
    </row>
    <row r="5714" spans="14:14" x14ac:dyDescent="0.35">
      <c r="N5714" s="676"/>
    </row>
    <row r="5715" spans="14:14" x14ac:dyDescent="0.35">
      <c r="N5715" s="676"/>
    </row>
    <row r="5716" spans="14:14" x14ac:dyDescent="0.35">
      <c r="N5716" s="676"/>
    </row>
    <row r="5717" spans="14:14" x14ac:dyDescent="0.35">
      <c r="N5717" s="676"/>
    </row>
    <row r="5718" spans="14:14" x14ac:dyDescent="0.35">
      <c r="N5718" s="676"/>
    </row>
    <row r="5719" spans="14:14" x14ac:dyDescent="0.35">
      <c r="N5719" s="676"/>
    </row>
    <row r="5720" spans="14:14" x14ac:dyDescent="0.35">
      <c r="N5720" s="676"/>
    </row>
    <row r="5721" spans="14:14" x14ac:dyDescent="0.35">
      <c r="N5721" s="676"/>
    </row>
    <row r="5722" spans="14:14" x14ac:dyDescent="0.35">
      <c r="N5722" s="676"/>
    </row>
    <row r="5723" spans="14:14" x14ac:dyDescent="0.35">
      <c r="N5723" s="676"/>
    </row>
    <row r="5724" spans="14:14" x14ac:dyDescent="0.35">
      <c r="N5724" s="676"/>
    </row>
    <row r="5725" spans="14:14" x14ac:dyDescent="0.35">
      <c r="N5725" s="676"/>
    </row>
    <row r="5726" spans="14:14" x14ac:dyDescent="0.35">
      <c r="N5726" s="676"/>
    </row>
    <row r="5727" spans="14:14" x14ac:dyDescent="0.35">
      <c r="N5727" s="676"/>
    </row>
    <row r="5728" spans="14:14" x14ac:dyDescent="0.35">
      <c r="N5728" s="676"/>
    </row>
    <row r="5729" spans="14:14" x14ac:dyDescent="0.35">
      <c r="N5729" s="676"/>
    </row>
    <row r="5730" spans="14:14" x14ac:dyDescent="0.35">
      <c r="N5730" s="676"/>
    </row>
    <row r="5731" spans="14:14" x14ac:dyDescent="0.35">
      <c r="N5731" s="676"/>
    </row>
    <row r="5732" spans="14:14" x14ac:dyDescent="0.35">
      <c r="N5732" s="676"/>
    </row>
    <row r="5733" spans="14:14" x14ac:dyDescent="0.35">
      <c r="N5733" s="676"/>
    </row>
    <row r="5734" spans="14:14" x14ac:dyDescent="0.35">
      <c r="N5734" s="676"/>
    </row>
    <row r="5735" spans="14:14" x14ac:dyDescent="0.35">
      <c r="N5735" s="676"/>
    </row>
    <row r="5736" spans="14:14" x14ac:dyDescent="0.35">
      <c r="N5736" s="676"/>
    </row>
    <row r="5737" spans="14:14" x14ac:dyDescent="0.35">
      <c r="N5737" s="676"/>
    </row>
    <row r="5738" spans="14:14" x14ac:dyDescent="0.35">
      <c r="N5738" s="676"/>
    </row>
    <row r="5739" spans="14:14" x14ac:dyDescent="0.35">
      <c r="N5739" s="676"/>
    </row>
    <row r="5740" spans="14:14" x14ac:dyDescent="0.35">
      <c r="N5740" s="676"/>
    </row>
    <row r="5741" spans="14:14" x14ac:dyDescent="0.35">
      <c r="N5741" s="676"/>
    </row>
    <row r="5742" spans="14:14" x14ac:dyDescent="0.35">
      <c r="N5742" s="676"/>
    </row>
    <row r="5743" spans="14:14" x14ac:dyDescent="0.35">
      <c r="N5743" s="676"/>
    </row>
    <row r="5744" spans="14:14" x14ac:dyDescent="0.35">
      <c r="N5744" s="676"/>
    </row>
    <row r="5745" spans="14:14" x14ac:dyDescent="0.35">
      <c r="N5745" s="676"/>
    </row>
    <row r="5746" spans="14:14" x14ac:dyDescent="0.35">
      <c r="N5746" s="676"/>
    </row>
    <row r="5747" spans="14:14" x14ac:dyDescent="0.35">
      <c r="N5747" s="676"/>
    </row>
    <row r="5748" spans="14:14" x14ac:dyDescent="0.35">
      <c r="N5748" s="676"/>
    </row>
    <row r="5749" spans="14:14" x14ac:dyDescent="0.35">
      <c r="N5749" s="676"/>
    </row>
    <row r="5750" spans="14:14" x14ac:dyDescent="0.35">
      <c r="N5750" s="676"/>
    </row>
    <row r="5751" spans="14:14" x14ac:dyDescent="0.35">
      <c r="N5751" s="676"/>
    </row>
    <row r="5752" spans="14:14" x14ac:dyDescent="0.35">
      <c r="N5752" s="676"/>
    </row>
    <row r="5753" spans="14:14" x14ac:dyDescent="0.35">
      <c r="N5753" s="676"/>
    </row>
    <row r="5754" spans="14:14" x14ac:dyDescent="0.35">
      <c r="N5754" s="676"/>
    </row>
    <row r="5755" spans="14:14" x14ac:dyDescent="0.35">
      <c r="N5755" s="676"/>
    </row>
    <row r="5756" spans="14:14" x14ac:dyDescent="0.35">
      <c r="N5756" s="676"/>
    </row>
    <row r="5757" spans="14:14" x14ac:dyDescent="0.35">
      <c r="N5757" s="676"/>
    </row>
    <row r="5758" spans="14:14" x14ac:dyDescent="0.35">
      <c r="N5758" s="676"/>
    </row>
    <row r="5759" spans="14:14" x14ac:dyDescent="0.35">
      <c r="N5759" s="676"/>
    </row>
    <row r="5760" spans="14:14" x14ac:dyDescent="0.35">
      <c r="N5760" s="676"/>
    </row>
    <row r="5761" spans="14:14" x14ac:dyDescent="0.35">
      <c r="N5761" s="676"/>
    </row>
    <row r="5762" spans="14:14" x14ac:dyDescent="0.35">
      <c r="N5762" s="676"/>
    </row>
    <row r="5763" spans="14:14" x14ac:dyDescent="0.35">
      <c r="N5763" s="676"/>
    </row>
    <row r="5764" spans="14:14" x14ac:dyDescent="0.35">
      <c r="N5764" s="676"/>
    </row>
    <row r="5765" spans="14:14" x14ac:dyDescent="0.35">
      <c r="N5765" s="676"/>
    </row>
    <row r="5766" spans="14:14" x14ac:dyDescent="0.35">
      <c r="N5766" s="676"/>
    </row>
    <row r="5767" spans="14:14" x14ac:dyDescent="0.35">
      <c r="N5767" s="676"/>
    </row>
    <row r="5768" spans="14:14" x14ac:dyDescent="0.35">
      <c r="N5768" s="676"/>
    </row>
    <row r="5769" spans="14:14" x14ac:dyDescent="0.35">
      <c r="N5769" s="676"/>
    </row>
    <row r="5770" spans="14:14" x14ac:dyDescent="0.35">
      <c r="N5770" s="676"/>
    </row>
    <row r="5771" spans="14:14" x14ac:dyDescent="0.35">
      <c r="N5771" s="676"/>
    </row>
    <row r="5772" spans="14:14" x14ac:dyDescent="0.35">
      <c r="N5772" s="676"/>
    </row>
    <row r="5773" spans="14:14" x14ac:dyDescent="0.35">
      <c r="N5773" s="676"/>
    </row>
    <row r="5774" spans="14:14" x14ac:dyDescent="0.35">
      <c r="N5774" s="676"/>
    </row>
    <row r="5775" spans="14:14" x14ac:dyDescent="0.35">
      <c r="N5775" s="676"/>
    </row>
    <row r="5776" spans="14:14" x14ac:dyDescent="0.35">
      <c r="N5776" s="676"/>
    </row>
    <row r="5777" spans="14:14" x14ac:dyDescent="0.35">
      <c r="N5777" s="676"/>
    </row>
    <row r="5778" spans="14:14" x14ac:dyDescent="0.35">
      <c r="N5778" s="676"/>
    </row>
    <row r="5779" spans="14:14" x14ac:dyDescent="0.35">
      <c r="N5779" s="676"/>
    </row>
    <row r="5780" spans="14:14" x14ac:dyDescent="0.35">
      <c r="N5780" s="676"/>
    </row>
    <row r="5781" spans="14:14" x14ac:dyDescent="0.35">
      <c r="N5781" s="676"/>
    </row>
    <row r="5782" spans="14:14" x14ac:dyDescent="0.35">
      <c r="N5782" s="676"/>
    </row>
    <row r="5783" spans="14:14" x14ac:dyDescent="0.35">
      <c r="N5783" s="676"/>
    </row>
    <row r="5784" spans="14:14" x14ac:dyDescent="0.35">
      <c r="N5784" s="676"/>
    </row>
    <row r="5785" spans="14:14" x14ac:dyDescent="0.35">
      <c r="N5785" s="676"/>
    </row>
    <row r="5786" spans="14:14" x14ac:dyDescent="0.35">
      <c r="N5786" s="676"/>
    </row>
    <row r="5787" spans="14:14" x14ac:dyDescent="0.35">
      <c r="N5787" s="676"/>
    </row>
    <row r="5788" spans="14:14" x14ac:dyDescent="0.35">
      <c r="N5788" s="676"/>
    </row>
    <row r="5789" spans="14:14" x14ac:dyDescent="0.35">
      <c r="N5789" s="676"/>
    </row>
    <row r="5790" spans="14:14" x14ac:dyDescent="0.35">
      <c r="N5790" s="676"/>
    </row>
    <row r="5791" spans="14:14" x14ac:dyDescent="0.35">
      <c r="N5791" s="676"/>
    </row>
    <row r="5792" spans="14:14" x14ac:dyDescent="0.35">
      <c r="N5792" s="676"/>
    </row>
    <row r="5793" spans="14:14" x14ac:dyDescent="0.35">
      <c r="N5793" s="676"/>
    </row>
    <row r="5794" spans="14:14" x14ac:dyDescent="0.35">
      <c r="N5794" s="676"/>
    </row>
    <row r="5795" spans="14:14" x14ac:dyDescent="0.35">
      <c r="N5795" s="676"/>
    </row>
    <row r="5796" spans="14:14" x14ac:dyDescent="0.35">
      <c r="N5796" s="676"/>
    </row>
    <row r="5797" spans="14:14" x14ac:dyDescent="0.35">
      <c r="N5797" s="676"/>
    </row>
    <row r="5798" spans="14:14" x14ac:dyDescent="0.35">
      <c r="N5798" s="676"/>
    </row>
    <row r="5799" spans="14:14" x14ac:dyDescent="0.35">
      <c r="N5799" s="676"/>
    </row>
    <row r="5800" spans="14:14" x14ac:dyDescent="0.35">
      <c r="N5800" s="676"/>
    </row>
    <row r="5801" spans="14:14" x14ac:dyDescent="0.35">
      <c r="N5801" s="676"/>
    </row>
    <row r="5802" spans="14:14" x14ac:dyDescent="0.35">
      <c r="N5802" s="676"/>
    </row>
    <row r="5803" spans="14:14" x14ac:dyDescent="0.35">
      <c r="N5803" s="676"/>
    </row>
    <row r="5804" spans="14:14" x14ac:dyDescent="0.35">
      <c r="N5804" s="676"/>
    </row>
    <row r="5805" spans="14:14" x14ac:dyDescent="0.35">
      <c r="N5805" s="676"/>
    </row>
    <row r="5806" spans="14:14" x14ac:dyDescent="0.35">
      <c r="N5806" s="676"/>
    </row>
    <row r="5807" spans="14:14" x14ac:dyDescent="0.35">
      <c r="N5807" s="676"/>
    </row>
    <row r="5808" spans="14:14" x14ac:dyDescent="0.35">
      <c r="N5808" s="676"/>
    </row>
    <row r="5809" spans="14:14" x14ac:dyDescent="0.35">
      <c r="N5809" s="676"/>
    </row>
    <row r="5810" spans="14:14" x14ac:dyDescent="0.35">
      <c r="N5810" s="676"/>
    </row>
    <row r="5811" spans="14:14" x14ac:dyDescent="0.35">
      <c r="N5811" s="676"/>
    </row>
    <row r="5812" spans="14:14" x14ac:dyDescent="0.35">
      <c r="N5812" s="676"/>
    </row>
    <row r="5813" spans="14:14" x14ac:dyDescent="0.35">
      <c r="N5813" s="676"/>
    </row>
    <row r="5814" spans="14:14" x14ac:dyDescent="0.35">
      <c r="N5814" s="676"/>
    </row>
    <row r="5815" spans="14:14" x14ac:dyDescent="0.35">
      <c r="N5815" s="676"/>
    </row>
    <row r="5816" spans="14:14" x14ac:dyDescent="0.35">
      <c r="N5816" s="676"/>
    </row>
    <row r="5817" spans="14:14" x14ac:dyDescent="0.35">
      <c r="N5817" s="676"/>
    </row>
    <row r="5818" spans="14:14" x14ac:dyDescent="0.35">
      <c r="N5818" s="676"/>
    </row>
    <row r="5819" spans="14:14" x14ac:dyDescent="0.35">
      <c r="N5819" s="676"/>
    </row>
    <row r="5820" spans="14:14" x14ac:dyDescent="0.35">
      <c r="N5820" s="676"/>
    </row>
    <row r="5821" spans="14:14" x14ac:dyDescent="0.35">
      <c r="N5821" s="676"/>
    </row>
    <row r="5822" spans="14:14" x14ac:dyDescent="0.35">
      <c r="N5822" s="676"/>
    </row>
    <row r="5823" spans="14:14" x14ac:dyDescent="0.35">
      <c r="N5823" s="676"/>
    </row>
    <row r="5824" spans="14:14" x14ac:dyDescent="0.35">
      <c r="N5824" s="676"/>
    </row>
    <row r="5825" spans="14:14" x14ac:dyDescent="0.35">
      <c r="N5825" s="676"/>
    </row>
    <row r="5826" spans="14:14" x14ac:dyDescent="0.35">
      <c r="N5826" s="676"/>
    </row>
    <row r="5827" spans="14:14" x14ac:dyDescent="0.35">
      <c r="N5827" s="676"/>
    </row>
    <row r="5828" spans="14:14" x14ac:dyDescent="0.35">
      <c r="N5828" s="676"/>
    </row>
    <row r="5829" spans="14:14" x14ac:dyDescent="0.35">
      <c r="N5829" s="676"/>
    </row>
    <row r="5830" spans="14:14" x14ac:dyDescent="0.35">
      <c r="N5830" s="676"/>
    </row>
    <row r="5831" spans="14:14" x14ac:dyDescent="0.35">
      <c r="N5831" s="676"/>
    </row>
    <row r="5832" spans="14:14" x14ac:dyDescent="0.35">
      <c r="N5832" s="676"/>
    </row>
    <row r="5833" spans="14:14" x14ac:dyDescent="0.35">
      <c r="N5833" s="676"/>
    </row>
    <row r="5834" spans="14:14" x14ac:dyDescent="0.35">
      <c r="N5834" s="676"/>
    </row>
    <row r="5835" spans="14:14" x14ac:dyDescent="0.35">
      <c r="N5835" s="676"/>
    </row>
    <row r="5836" spans="14:14" x14ac:dyDescent="0.35">
      <c r="N5836" s="676"/>
    </row>
    <row r="5837" spans="14:14" x14ac:dyDescent="0.35">
      <c r="N5837" s="676"/>
    </row>
    <row r="5838" spans="14:14" x14ac:dyDescent="0.35">
      <c r="N5838" s="676"/>
    </row>
    <row r="5839" spans="14:14" x14ac:dyDescent="0.35">
      <c r="N5839" s="676"/>
    </row>
    <row r="5840" spans="14:14" x14ac:dyDescent="0.35">
      <c r="N5840" s="676"/>
    </row>
    <row r="5841" spans="14:14" x14ac:dyDescent="0.35">
      <c r="N5841" s="676"/>
    </row>
    <row r="5842" spans="14:14" x14ac:dyDescent="0.35">
      <c r="N5842" s="676"/>
    </row>
    <row r="5843" spans="14:14" x14ac:dyDescent="0.35">
      <c r="N5843" s="676"/>
    </row>
    <row r="5844" spans="14:14" x14ac:dyDescent="0.35">
      <c r="N5844" s="676"/>
    </row>
    <row r="5845" spans="14:14" x14ac:dyDescent="0.35">
      <c r="N5845" s="676"/>
    </row>
    <row r="5846" spans="14:14" x14ac:dyDescent="0.35">
      <c r="N5846" s="676"/>
    </row>
    <row r="5847" spans="14:14" x14ac:dyDescent="0.35">
      <c r="N5847" s="676"/>
    </row>
    <row r="5848" spans="14:14" x14ac:dyDescent="0.35">
      <c r="N5848" s="676"/>
    </row>
    <row r="5849" spans="14:14" x14ac:dyDescent="0.35">
      <c r="N5849" s="676"/>
    </row>
    <row r="5850" spans="14:14" x14ac:dyDescent="0.35">
      <c r="N5850" s="676"/>
    </row>
    <row r="5851" spans="14:14" x14ac:dyDescent="0.35">
      <c r="N5851" s="676"/>
    </row>
    <row r="5852" spans="14:14" x14ac:dyDescent="0.35">
      <c r="N5852" s="676"/>
    </row>
    <row r="5853" spans="14:14" x14ac:dyDescent="0.35">
      <c r="N5853" s="676"/>
    </row>
    <row r="5854" spans="14:14" x14ac:dyDescent="0.35">
      <c r="N5854" s="676"/>
    </row>
    <row r="5855" spans="14:14" x14ac:dyDescent="0.35">
      <c r="N5855" s="676"/>
    </row>
    <row r="5856" spans="14:14" x14ac:dyDescent="0.35">
      <c r="N5856" s="676"/>
    </row>
    <row r="5857" spans="14:14" x14ac:dyDescent="0.35">
      <c r="N5857" s="676"/>
    </row>
    <row r="5858" spans="14:14" x14ac:dyDescent="0.35">
      <c r="N5858" s="676"/>
    </row>
    <row r="5859" spans="14:14" x14ac:dyDescent="0.35">
      <c r="N5859" s="676"/>
    </row>
    <row r="5860" spans="14:14" x14ac:dyDescent="0.35">
      <c r="N5860" s="676"/>
    </row>
    <row r="5861" spans="14:14" x14ac:dyDescent="0.35">
      <c r="N5861" s="676"/>
    </row>
    <row r="5862" spans="14:14" x14ac:dyDescent="0.35">
      <c r="N5862" s="676"/>
    </row>
    <row r="5863" spans="14:14" x14ac:dyDescent="0.35">
      <c r="N5863" s="676"/>
    </row>
    <row r="5864" spans="14:14" x14ac:dyDescent="0.35">
      <c r="N5864" s="676"/>
    </row>
    <row r="5865" spans="14:14" x14ac:dyDescent="0.35">
      <c r="N5865" s="676"/>
    </row>
    <row r="5866" spans="14:14" x14ac:dyDescent="0.35">
      <c r="N5866" s="676"/>
    </row>
    <row r="5867" spans="14:14" x14ac:dyDescent="0.35">
      <c r="N5867" s="676"/>
    </row>
    <row r="5868" spans="14:14" x14ac:dyDescent="0.35">
      <c r="N5868" s="676"/>
    </row>
    <row r="5869" spans="14:14" x14ac:dyDescent="0.35">
      <c r="N5869" s="676"/>
    </row>
    <row r="5870" spans="14:14" x14ac:dyDescent="0.35">
      <c r="N5870" s="676"/>
    </row>
    <row r="5871" spans="14:14" x14ac:dyDescent="0.35">
      <c r="N5871" s="676"/>
    </row>
    <row r="5872" spans="14:14" x14ac:dyDescent="0.35">
      <c r="N5872" s="676"/>
    </row>
    <row r="5873" spans="14:14" x14ac:dyDescent="0.35">
      <c r="N5873" s="676"/>
    </row>
    <row r="5874" spans="14:14" x14ac:dyDescent="0.35">
      <c r="N5874" s="676"/>
    </row>
    <row r="5875" spans="14:14" x14ac:dyDescent="0.35">
      <c r="N5875" s="676"/>
    </row>
    <row r="5876" spans="14:14" x14ac:dyDescent="0.35">
      <c r="N5876" s="676"/>
    </row>
    <row r="5877" spans="14:14" x14ac:dyDescent="0.35">
      <c r="N5877" s="676"/>
    </row>
    <row r="5878" spans="14:14" x14ac:dyDescent="0.35">
      <c r="N5878" s="676"/>
    </row>
    <row r="5879" spans="14:14" x14ac:dyDescent="0.35">
      <c r="N5879" s="676"/>
    </row>
    <row r="5880" spans="14:14" x14ac:dyDescent="0.35">
      <c r="N5880" s="676"/>
    </row>
    <row r="5881" spans="14:14" x14ac:dyDescent="0.35">
      <c r="N5881" s="676"/>
    </row>
    <row r="5882" spans="14:14" x14ac:dyDescent="0.35">
      <c r="N5882" s="676"/>
    </row>
    <row r="5883" spans="14:14" x14ac:dyDescent="0.35">
      <c r="N5883" s="676"/>
    </row>
    <row r="5884" spans="14:14" x14ac:dyDescent="0.35">
      <c r="N5884" s="676"/>
    </row>
    <row r="5885" spans="14:14" x14ac:dyDescent="0.35">
      <c r="N5885" s="676"/>
    </row>
    <row r="5886" spans="14:14" x14ac:dyDescent="0.35">
      <c r="N5886" s="676"/>
    </row>
    <row r="5887" spans="14:14" x14ac:dyDescent="0.35">
      <c r="N5887" s="676"/>
    </row>
    <row r="5888" spans="14:14" x14ac:dyDescent="0.35">
      <c r="N5888" s="676"/>
    </row>
    <row r="5889" spans="14:14" x14ac:dyDescent="0.35">
      <c r="N5889" s="676"/>
    </row>
    <row r="5890" spans="14:14" x14ac:dyDescent="0.35">
      <c r="N5890" s="676"/>
    </row>
    <row r="5891" spans="14:14" x14ac:dyDescent="0.35">
      <c r="N5891" s="676"/>
    </row>
    <row r="5892" spans="14:14" x14ac:dyDescent="0.35">
      <c r="N5892" s="676"/>
    </row>
    <row r="5893" spans="14:14" x14ac:dyDescent="0.35">
      <c r="N5893" s="676"/>
    </row>
    <row r="5894" spans="14:14" x14ac:dyDescent="0.35">
      <c r="N5894" s="676"/>
    </row>
    <row r="5895" spans="14:14" x14ac:dyDescent="0.35">
      <c r="N5895" s="676"/>
    </row>
    <row r="5896" spans="14:14" x14ac:dyDescent="0.35">
      <c r="N5896" s="676"/>
    </row>
    <row r="5897" spans="14:14" x14ac:dyDescent="0.35">
      <c r="N5897" s="676"/>
    </row>
    <row r="5898" spans="14:14" x14ac:dyDescent="0.35">
      <c r="N5898" s="676"/>
    </row>
    <row r="5899" spans="14:14" x14ac:dyDescent="0.35">
      <c r="N5899" s="676"/>
    </row>
    <row r="5900" spans="14:14" x14ac:dyDescent="0.35">
      <c r="N5900" s="676"/>
    </row>
    <row r="5901" spans="14:14" x14ac:dyDescent="0.35">
      <c r="N5901" s="676"/>
    </row>
    <row r="5902" spans="14:14" x14ac:dyDescent="0.35">
      <c r="N5902" s="676"/>
    </row>
    <row r="5903" spans="14:14" x14ac:dyDescent="0.35">
      <c r="N5903" s="676"/>
    </row>
    <row r="5904" spans="14:14" x14ac:dyDescent="0.35">
      <c r="N5904" s="676"/>
    </row>
    <row r="5905" spans="14:14" x14ac:dyDescent="0.35">
      <c r="N5905" s="676"/>
    </row>
    <row r="5906" spans="14:14" x14ac:dyDescent="0.35">
      <c r="N5906" s="676"/>
    </row>
    <row r="5907" spans="14:14" x14ac:dyDescent="0.35">
      <c r="N5907" s="676"/>
    </row>
    <row r="5908" spans="14:14" x14ac:dyDescent="0.35">
      <c r="N5908" s="676"/>
    </row>
    <row r="5909" spans="14:14" x14ac:dyDescent="0.35">
      <c r="N5909" s="676"/>
    </row>
    <row r="5910" spans="14:14" x14ac:dyDescent="0.35">
      <c r="N5910" s="676"/>
    </row>
    <row r="5911" spans="14:14" x14ac:dyDescent="0.35">
      <c r="N5911" s="676"/>
    </row>
    <row r="5912" spans="14:14" x14ac:dyDescent="0.35">
      <c r="N5912" s="676"/>
    </row>
    <row r="5913" spans="14:14" x14ac:dyDescent="0.35">
      <c r="N5913" s="676"/>
    </row>
    <row r="5914" spans="14:14" x14ac:dyDescent="0.35">
      <c r="N5914" s="676"/>
    </row>
    <row r="5915" spans="14:14" x14ac:dyDescent="0.35">
      <c r="N5915" s="676"/>
    </row>
    <row r="5916" spans="14:14" x14ac:dyDescent="0.35">
      <c r="N5916" s="676"/>
    </row>
    <row r="5917" spans="14:14" x14ac:dyDescent="0.35">
      <c r="N5917" s="676"/>
    </row>
    <row r="5918" spans="14:14" x14ac:dyDescent="0.35">
      <c r="N5918" s="676"/>
    </row>
    <row r="5919" spans="14:14" x14ac:dyDescent="0.35">
      <c r="N5919" s="676"/>
    </row>
    <row r="5920" spans="14:14" x14ac:dyDescent="0.35">
      <c r="N5920" s="676"/>
    </row>
    <row r="5921" spans="14:14" x14ac:dyDescent="0.35">
      <c r="N5921" s="676"/>
    </row>
    <row r="5922" spans="14:14" x14ac:dyDescent="0.35">
      <c r="N5922" s="676"/>
    </row>
    <row r="5923" spans="14:14" x14ac:dyDescent="0.35">
      <c r="N5923" s="676"/>
    </row>
    <row r="5924" spans="14:14" x14ac:dyDescent="0.35">
      <c r="N5924" s="676"/>
    </row>
    <row r="5925" spans="14:14" x14ac:dyDescent="0.35">
      <c r="N5925" s="676"/>
    </row>
    <row r="5926" spans="14:14" x14ac:dyDescent="0.35">
      <c r="N5926" s="676"/>
    </row>
    <row r="5927" spans="14:14" x14ac:dyDescent="0.35">
      <c r="N5927" s="676"/>
    </row>
    <row r="5928" spans="14:14" x14ac:dyDescent="0.35">
      <c r="N5928" s="676"/>
    </row>
    <row r="5929" spans="14:14" x14ac:dyDescent="0.35">
      <c r="N5929" s="676"/>
    </row>
    <row r="5930" spans="14:14" x14ac:dyDescent="0.35">
      <c r="N5930" s="676"/>
    </row>
    <row r="5931" spans="14:14" x14ac:dyDescent="0.35">
      <c r="N5931" s="676"/>
    </row>
    <row r="5932" spans="14:14" x14ac:dyDescent="0.35">
      <c r="N5932" s="676"/>
    </row>
    <row r="5933" spans="14:14" x14ac:dyDescent="0.35">
      <c r="N5933" s="676"/>
    </row>
    <row r="5934" spans="14:14" x14ac:dyDescent="0.35">
      <c r="N5934" s="676"/>
    </row>
    <row r="5935" spans="14:14" x14ac:dyDescent="0.35">
      <c r="N5935" s="676"/>
    </row>
    <row r="5936" spans="14:14" x14ac:dyDescent="0.35">
      <c r="N5936" s="676"/>
    </row>
    <row r="5937" spans="14:14" x14ac:dyDescent="0.35">
      <c r="N5937" s="676"/>
    </row>
    <row r="5938" spans="14:14" x14ac:dyDescent="0.35">
      <c r="N5938" s="676"/>
    </row>
    <row r="5939" spans="14:14" x14ac:dyDescent="0.35">
      <c r="N5939" s="676"/>
    </row>
    <row r="5940" spans="14:14" x14ac:dyDescent="0.35">
      <c r="N5940" s="676"/>
    </row>
    <row r="5941" spans="14:14" x14ac:dyDescent="0.35">
      <c r="N5941" s="676"/>
    </row>
    <row r="5942" spans="14:14" x14ac:dyDescent="0.35">
      <c r="N5942" s="676"/>
    </row>
    <row r="5943" spans="14:14" x14ac:dyDescent="0.35">
      <c r="N5943" s="676"/>
    </row>
    <row r="5944" spans="14:14" x14ac:dyDescent="0.35">
      <c r="N5944" s="676"/>
    </row>
    <row r="5945" spans="14:14" x14ac:dyDescent="0.35">
      <c r="N5945" s="676"/>
    </row>
    <row r="5946" spans="14:14" x14ac:dyDescent="0.35">
      <c r="N5946" s="676"/>
    </row>
    <row r="5947" spans="14:14" x14ac:dyDescent="0.35">
      <c r="N5947" s="676"/>
    </row>
    <row r="5948" spans="14:14" x14ac:dyDescent="0.35">
      <c r="N5948" s="676"/>
    </row>
    <row r="5949" spans="14:14" x14ac:dyDescent="0.35">
      <c r="N5949" s="676"/>
    </row>
    <row r="5950" spans="14:14" x14ac:dyDescent="0.35">
      <c r="N5950" s="676"/>
    </row>
    <row r="5951" spans="14:14" x14ac:dyDescent="0.35">
      <c r="N5951" s="676"/>
    </row>
    <row r="5952" spans="14:14" x14ac:dyDescent="0.35">
      <c r="N5952" s="676"/>
    </row>
    <row r="5953" spans="14:14" x14ac:dyDescent="0.35">
      <c r="N5953" s="676"/>
    </row>
    <row r="5954" spans="14:14" x14ac:dyDescent="0.35">
      <c r="N5954" s="676"/>
    </row>
    <row r="5955" spans="14:14" x14ac:dyDescent="0.35">
      <c r="N5955" s="676"/>
    </row>
    <row r="5956" spans="14:14" x14ac:dyDescent="0.35">
      <c r="N5956" s="676"/>
    </row>
    <row r="5957" spans="14:14" x14ac:dyDescent="0.35">
      <c r="N5957" s="676"/>
    </row>
    <row r="5958" spans="14:14" x14ac:dyDescent="0.35">
      <c r="N5958" s="676"/>
    </row>
    <row r="5959" spans="14:14" x14ac:dyDescent="0.35">
      <c r="N5959" s="676"/>
    </row>
    <row r="5960" spans="14:14" x14ac:dyDescent="0.35">
      <c r="N5960" s="676"/>
    </row>
    <row r="5961" spans="14:14" x14ac:dyDescent="0.35">
      <c r="N5961" s="676"/>
    </row>
    <row r="5962" spans="14:14" x14ac:dyDescent="0.35">
      <c r="N5962" s="676"/>
    </row>
    <row r="5963" spans="14:14" x14ac:dyDescent="0.35">
      <c r="N5963" s="676"/>
    </row>
    <row r="5964" spans="14:14" x14ac:dyDescent="0.35">
      <c r="N5964" s="676"/>
    </row>
    <row r="5965" spans="14:14" x14ac:dyDescent="0.35">
      <c r="N5965" s="676"/>
    </row>
    <row r="5966" spans="14:14" x14ac:dyDescent="0.35">
      <c r="N5966" s="676"/>
    </row>
    <row r="5967" spans="14:14" x14ac:dyDescent="0.35">
      <c r="N5967" s="676"/>
    </row>
    <row r="5968" spans="14:14" x14ac:dyDescent="0.35">
      <c r="N5968" s="676"/>
    </row>
    <row r="5969" spans="14:14" x14ac:dyDescent="0.35">
      <c r="N5969" s="676"/>
    </row>
    <row r="5970" spans="14:14" x14ac:dyDescent="0.35">
      <c r="N5970" s="676"/>
    </row>
    <row r="5971" spans="14:14" x14ac:dyDescent="0.35">
      <c r="N5971" s="676"/>
    </row>
    <row r="5972" spans="14:14" x14ac:dyDescent="0.35">
      <c r="N5972" s="676"/>
    </row>
    <row r="5973" spans="14:14" x14ac:dyDescent="0.35">
      <c r="N5973" s="676"/>
    </row>
    <row r="5974" spans="14:14" x14ac:dyDescent="0.35">
      <c r="N5974" s="676"/>
    </row>
    <row r="5975" spans="14:14" x14ac:dyDescent="0.35">
      <c r="N5975" s="676"/>
    </row>
    <row r="5976" spans="14:14" x14ac:dyDescent="0.35">
      <c r="N5976" s="676"/>
    </row>
    <row r="5977" spans="14:14" x14ac:dyDescent="0.35">
      <c r="N5977" s="676"/>
    </row>
    <row r="5978" spans="14:14" x14ac:dyDescent="0.35">
      <c r="N5978" s="676"/>
    </row>
    <row r="5979" spans="14:14" x14ac:dyDescent="0.35">
      <c r="N5979" s="676"/>
    </row>
    <row r="5980" spans="14:14" x14ac:dyDescent="0.35">
      <c r="N5980" s="676"/>
    </row>
    <row r="5981" spans="14:14" x14ac:dyDescent="0.35">
      <c r="N5981" s="676"/>
    </row>
    <row r="5982" spans="14:14" x14ac:dyDescent="0.35">
      <c r="N5982" s="676"/>
    </row>
    <row r="5983" spans="14:14" x14ac:dyDescent="0.35">
      <c r="N5983" s="676"/>
    </row>
    <row r="5984" spans="14:14" x14ac:dyDescent="0.35">
      <c r="N5984" s="676"/>
    </row>
    <row r="5985" spans="14:14" x14ac:dyDescent="0.35">
      <c r="N5985" s="676"/>
    </row>
    <row r="5986" spans="14:14" x14ac:dyDescent="0.35">
      <c r="N5986" s="676"/>
    </row>
    <row r="5987" spans="14:14" x14ac:dyDescent="0.35">
      <c r="N5987" s="676"/>
    </row>
    <row r="5988" spans="14:14" x14ac:dyDescent="0.35">
      <c r="N5988" s="676"/>
    </row>
    <row r="5989" spans="14:14" x14ac:dyDescent="0.35">
      <c r="N5989" s="676"/>
    </row>
    <row r="5990" spans="14:14" x14ac:dyDescent="0.35">
      <c r="N5990" s="676"/>
    </row>
    <row r="5991" spans="14:14" x14ac:dyDescent="0.35">
      <c r="N5991" s="676"/>
    </row>
    <row r="5992" spans="14:14" x14ac:dyDescent="0.35">
      <c r="N5992" s="676"/>
    </row>
    <row r="5993" spans="14:14" x14ac:dyDescent="0.35">
      <c r="N5993" s="676"/>
    </row>
    <row r="5994" spans="14:14" x14ac:dyDescent="0.35">
      <c r="N5994" s="676"/>
    </row>
    <row r="5995" spans="14:14" x14ac:dyDescent="0.35">
      <c r="N5995" s="676"/>
    </row>
    <row r="5996" spans="14:14" x14ac:dyDescent="0.35">
      <c r="N5996" s="676"/>
    </row>
    <row r="5997" spans="14:14" x14ac:dyDescent="0.35">
      <c r="N5997" s="676"/>
    </row>
    <row r="5998" spans="14:14" x14ac:dyDescent="0.35">
      <c r="N5998" s="676"/>
    </row>
    <row r="5999" spans="14:14" x14ac:dyDescent="0.35">
      <c r="N5999" s="676"/>
    </row>
    <row r="6000" spans="14:14" x14ac:dyDescent="0.35">
      <c r="N6000" s="676"/>
    </row>
    <row r="6001" spans="14:14" x14ac:dyDescent="0.35">
      <c r="N6001" s="676"/>
    </row>
    <row r="6002" spans="14:14" x14ac:dyDescent="0.35">
      <c r="N6002" s="676"/>
    </row>
    <row r="6003" spans="14:14" x14ac:dyDescent="0.35">
      <c r="N6003" s="676"/>
    </row>
    <row r="6004" spans="14:14" x14ac:dyDescent="0.35">
      <c r="N6004" s="676"/>
    </row>
    <row r="6005" spans="14:14" x14ac:dyDescent="0.35">
      <c r="N6005" s="676"/>
    </row>
    <row r="6006" spans="14:14" x14ac:dyDescent="0.35">
      <c r="N6006" s="676"/>
    </row>
    <row r="6007" spans="14:14" x14ac:dyDescent="0.35">
      <c r="N6007" s="676"/>
    </row>
    <row r="6008" spans="14:14" x14ac:dyDescent="0.35">
      <c r="N6008" s="676"/>
    </row>
    <row r="6009" spans="14:14" x14ac:dyDescent="0.35">
      <c r="N6009" s="676"/>
    </row>
    <row r="6010" spans="14:14" x14ac:dyDescent="0.35">
      <c r="N6010" s="676"/>
    </row>
    <row r="6011" spans="14:14" x14ac:dyDescent="0.35">
      <c r="N6011" s="676"/>
    </row>
    <row r="6012" spans="14:14" x14ac:dyDescent="0.35">
      <c r="N6012" s="676"/>
    </row>
    <row r="6013" spans="14:14" x14ac:dyDescent="0.35">
      <c r="N6013" s="676"/>
    </row>
    <row r="6014" spans="14:14" x14ac:dyDescent="0.35">
      <c r="N6014" s="676"/>
    </row>
    <row r="6015" spans="14:14" x14ac:dyDescent="0.35">
      <c r="N6015" s="676"/>
    </row>
    <row r="6016" spans="14:14" x14ac:dyDescent="0.35">
      <c r="N6016" s="676"/>
    </row>
    <row r="6017" spans="14:14" x14ac:dyDescent="0.35">
      <c r="N6017" s="676"/>
    </row>
    <row r="6018" spans="14:14" x14ac:dyDescent="0.35">
      <c r="N6018" s="676"/>
    </row>
    <row r="6019" spans="14:14" x14ac:dyDescent="0.35">
      <c r="N6019" s="676"/>
    </row>
    <row r="6020" spans="14:14" x14ac:dyDescent="0.35">
      <c r="N6020" s="676"/>
    </row>
    <row r="6021" spans="14:14" x14ac:dyDescent="0.35">
      <c r="N6021" s="676"/>
    </row>
    <row r="6022" spans="14:14" x14ac:dyDescent="0.35">
      <c r="N6022" s="676"/>
    </row>
    <row r="6023" spans="14:14" x14ac:dyDescent="0.35">
      <c r="N6023" s="676"/>
    </row>
    <row r="6024" spans="14:14" x14ac:dyDescent="0.35">
      <c r="N6024" s="676"/>
    </row>
    <row r="6025" spans="14:14" x14ac:dyDescent="0.35">
      <c r="N6025" s="676"/>
    </row>
    <row r="6026" spans="14:14" x14ac:dyDescent="0.35">
      <c r="N6026" s="676"/>
    </row>
    <row r="6027" spans="14:14" x14ac:dyDescent="0.35">
      <c r="N6027" s="676"/>
    </row>
    <row r="6028" spans="14:14" x14ac:dyDescent="0.35">
      <c r="N6028" s="676"/>
    </row>
    <row r="6029" spans="14:14" x14ac:dyDescent="0.35">
      <c r="N6029" s="676"/>
    </row>
    <row r="6030" spans="14:14" x14ac:dyDescent="0.35">
      <c r="N6030" s="676"/>
    </row>
    <row r="6031" spans="14:14" x14ac:dyDescent="0.35">
      <c r="N6031" s="676"/>
    </row>
    <row r="6032" spans="14:14" x14ac:dyDescent="0.35">
      <c r="N6032" s="676"/>
    </row>
    <row r="6033" spans="14:14" x14ac:dyDescent="0.35">
      <c r="N6033" s="676"/>
    </row>
    <row r="6034" spans="14:14" x14ac:dyDescent="0.35">
      <c r="N6034" s="676"/>
    </row>
    <row r="6035" spans="14:14" x14ac:dyDescent="0.35">
      <c r="N6035" s="676"/>
    </row>
    <row r="6036" spans="14:14" x14ac:dyDescent="0.35">
      <c r="N6036" s="676"/>
    </row>
    <row r="6037" spans="14:14" x14ac:dyDescent="0.35">
      <c r="N6037" s="676"/>
    </row>
    <row r="6038" spans="14:14" x14ac:dyDescent="0.35">
      <c r="N6038" s="676"/>
    </row>
    <row r="6039" spans="14:14" x14ac:dyDescent="0.35">
      <c r="N6039" s="676"/>
    </row>
    <row r="6040" spans="14:14" x14ac:dyDescent="0.35">
      <c r="N6040" s="676"/>
    </row>
    <row r="6041" spans="14:14" x14ac:dyDescent="0.35">
      <c r="N6041" s="676"/>
    </row>
    <row r="6042" spans="14:14" x14ac:dyDescent="0.35">
      <c r="N6042" s="676"/>
    </row>
    <row r="6043" spans="14:14" x14ac:dyDescent="0.35">
      <c r="N6043" s="676"/>
    </row>
    <row r="6044" spans="14:14" x14ac:dyDescent="0.35">
      <c r="N6044" s="676"/>
    </row>
    <row r="6045" spans="14:14" x14ac:dyDescent="0.35">
      <c r="N6045" s="676"/>
    </row>
    <row r="6046" spans="14:14" x14ac:dyDescent="0.35">
      <c r="N6046" s="676"/>
    </row>
    <row r="6047" spans="14:14" x14ac:dyDescent="0.35">
      <c r="N6047" s="676"/>
    </row>
    <row r="6048" spans="14:14" x14ac:dyDescent="0.35">
      <c r="N6048" s="676"/>
    </row>
    <row r="6049" spans="14:14" x14ac:dyDescent="0.35">
      <c r="N6049" s="676"/>
    </row>
    <row r="6050" spans="14:14" x14ac:dyDescent="0.35">
      <c r="N6050" s="676"/>
    </row>
    <row r="6051" spans="14:14" x14ac:dyDescent="0.35">
      <c r="N6051" s="676"/>
    </row>
    <row r="6052" spans="14:14" x14ac:dyDescent="0.35">
      <c r="N6052" s="676"/>
    </row>
    <row r="6053" spans="14:14" x14ac:dyDescent="0.35">
      <c r="N6053" s="676"/>
    </row>
    <row r="6054" spans="14:14" x14ac:dyDescent="0.35">
      <c r="N6054" s="676"/>
    </row>
    <row r="6055" spans="14:14" x14ac:dyDescent="0.35">
      <c r="N6055" s="676"/>
    </row>
    <row r="6056" spans="14:14" x14ac:dyDescent="0.35">
      <c r="N6056" s="676"/>
    </row>
    <row r="6057" spans="14:14" x14ac:dyDescent="0.35">
      <c r="N6057" s="676"/>
    </row>
    <row r="6058" spans="14:14" x14ac:dyDescent="0.35">
      <c r="N6058" s="676"/>
    </row>
    <row r="6059" spans="14:14" x14ac:dyDescent="0.35">
      <c r="N6059" s="676"/>
    </row>
    <row r="6060" spans="14:14" x14ac:dyDescent="0.35">
      <c r="N6060" s="676"/>
    </row>
    <row r="6061" spans="14:14" x14ac:dyDescent="0.35">
      <c r="N6061" s="676"/>
    </row>
    <row r="6062" spans="14:14" x14ac:dyDescent="0.35">
      <c r="N6062" s="676"/>
    </row>
    <row r="6063" spans="14:14" x14ac:dyDescent="0.35">
      <c r="N6063" s="676"/>
    </row>
    <row r="6064" spans="14:14" x14ac:dyDescent="0.35">
      <c r="N6064" s="676"/>
    </row>
    <row r="6065" spans="14:14" x14ac:dyDescent="0.35">
      <c r="N6065" s="676"/>
    </row>
    <row r="6066" spans="14:14" x14ac:dyDescent="0.35">
      <c r="N6066" s="676"/>
    </row>
    <row r="6067" spans="14:14" x14ac:dyDescent="0.35">
      <c r="N6067" s="676"/>
    </row>
    <row r="6068" spans="14:14" x14ac:dyDescent="0.35">
      <c r="N6068" s="676"/>
    </row>
    <row r="6069" spans="14:14" x14ac:dyDescent="0.35">
      <c r="N6069" s="676"/>
    </row>
    <row r="6070" spans="14:14" x14ac:dyDescent="0.35">
      <c r="N6070" s="676"/>
    </row>
    <row r="6071" spans="14:14" x14ac:dyDescent="0.35">
      <c r="N6071" s="676"/>
    </row>
    <row r="6072" spans="14:14" x14ac:dyDescent="0.35">
      <c r="N6072" s="676"/>
    </row>
    <row r="6073" spans="14:14" x14ac:dyDescent="0.35">
      <c r="N6073" s="676"/>
    </row>
    <row r="6074" spans="14:14" x14ac:dyDescent="0.35">
      <c r="N6074" s="676"/>
    </row>
    <row r="6075" spans="14:14" x14ac:dyDescent="0.35">
      <c r="N6075" s="676"/>
    </row>
    <row r="6076" spans="14:14" x14ac:dyDescent="0.35">
      <c r="N6076" s="676"/>
    </row>
    <row r="6077" spans="14:14" x14ac:dyDescent="0.35">
      <c r="N6077" s="676"/>
    </row>
    <row r="6078" spans="14:14" x14ac:dyDescent="0.35">
      <c r="N6078" s="676"/>
    </row>
    <row r="6079" spans="14:14" x14ac:dyDescent="0.35">
      <c r="N6079" s="676"/>
    </row>
    <row r="6080" spans="14:14" x14ac:dyDescent="0.35">
      <c r="N6080" s="676"/>
    </row>
    <row r="6081" spans="14:14" x14ac:dyDescent="0.35">
      <c r="N6081" s="676"/>
    </row>
    <row r="6082" spans="14:14" x14ac:dyDescent="0.35">
      <c r="N6082" s="676"/>
    </row>
    <row r="6083" spans="14:14" x14ac:dyDescent="0.35">
      <c r="N6083" s="676"/>
    </row>
    <row r="6084" spans="14:14" x14ac:dyDescent="0.35">
      <c r="N6084" s="676"/>
    </row>
    <row r="6085" spans="14:14" x14ac:dyDescent="0.35">
      <c r="N6085" s="676"/>
    </row>
    <row r="6086" spans="14:14" x14ac:dyDescent="0.35">
      <c r="N6086" s="676"/>
    </row>
    <row r="6087" spans="14:14" x14ac:dyDescent="0.35">
      <c r="N6087" s="676"/>
    </row>
    <row r="6088" spans="14:14" x14ac:dyDescent="0.35">
      <c r="N6088" s="676"/>
    </row>
    <row r="6089" spans="14:14" x14ac:dyDescent="0.35">
      <c r="N6089" s="676"/>
    </row>
    <row r="6090" spans="14:14" x14ac:dyDescent="0.35">
      <c r="N6090" s="676"/>
    </row>
    <row r="6091" spans="14:14" x14ac:dyDescent="0.35">
      <c r="N6091" s="676"/>
    </row>
    <row r="6092" spans="14:14" x14ac:dyDescent="0.35">
      <c r="N6092" s="676"/>
    </row>
    <row r="6093" spans="14:14" x14ac:dyDescent="0.35">
      <c r="N6093" s="676"/>
    </row>
    <row r="6094" spans="14:14" x14ac:dyDescent="0.35">
      <c r="N6094" s="676"/>
    </row>
    <row r="6095" spans="14:14" x14ac:dyDescent="0.35">
      <c r="N6095" s="676"/>
    </row>
    <row r="6096" spans="14:14" x14ac:dyDescent="0.35">
      <c r="N6096" s="676"/>
    </row>
    <row r="6097" spans="14:14" x14ac:dyDescent="0.35">
      <c r="N6097" s="676"/>
    </row>
    <row r="6098" spans="14:14" x14ac:dyDescent="0.35">
      <c r="N6098" s="676"/>
    </row>
    <row r="6099" spans="14:14" x14ac:dyDescent="0.35">
      <c r="N6099" s="676"/>
    </row>
    <row r="6100" spans="14:14" x14ac:dyDescent="0.35">
      <c r="N6100" s="676"/>
    </row>
    <row r="6101" spans="14:14" x14ac:dyDescent="0.35">
      <c r="N6101" s="676"/>
    </row>
    <row r="6102" spans="14:14" x14ac:dyDescent="0.35">
      <c r="N6102" s="676"/>
    </row>
    <row r="6103" spans="14:14" x14ac:dyDescent="0.35">
      <c r="N6103" s="676"/>
    </row>
    <row r="6104" spans="14:14" x14ac:dyDescent="0.35">
      <c r="N6104" s="676"/>
    </row>
    <row r="6105" spans="14:14" x14ac:dyDescent="0.35">
      <c r="N6105" s="676"/>
    </row>
    <row r="6106" spans="14:14" x14ac:dyDescent="0.35">
      <c r="N6106" s="676"/>
    </row>
    <row r="6107" spans="14:14" x14ac:dyDescent="0.35">
      <c r="N6107" s="676"/>
    </row>
    <row r="6108" spans="14:14" x14ac:dyDescent="0.35">
      <c r="N6108" s="676"/>
    </row>
    <row r="6109" spans="14:14" x14ac:dyDescent="0.35">
      <c r="N6109" s="676"/>
    </row>
    <row r="6110" spans="14:14" x14ac:dyDescent="0.35">
      <c r="N6110" s="676"/>
    </row>
    <row r="6111" spans="14:14" x14ac:dyDescent="0.35">
      <c r="N6111" s="676"/>
    </row>
    <row r="6112" spans="14:14" x14ac:dyDescent="0.35">
      <c r="N6112" s="676"/>
    </row>
    <row r="6113" spans="14:14" x14ac:dyDescent="0.35">
      <c r="N6113" s="676"/>
    </row>
    <row r="6114" spans="14:14" x14ac:dyDescent="0.35">
      <c r="N6114" s="676"/>
    </row>
    <row r="6115" spans="14:14" x14ac:dyDescent="0.35">
      <c r="N6115" s="676"/>
    </row>
    <row r="6116" spans="14:14" x14ac:dyDescent="0.35">
      <c r="N6116" s="676"/>
    </row>
    <row r="6117" spans="14:14" x14ac:dyDescent="0.35">
      <c r="N6117" s="676"/>
    </row>
    <row r="6118" spans="14:14" x14ac:dyDescent="0.35">
      <c r="N6118" s="676"/>
    </row>
    <row r="6119" spans="14:14" x14ac:dyDescent="0.35">
      <c r="N6119" s="676"/>
    </row>
    <row r="6120" spans="14:14" x14ac:dyDescent="0.35">
      <c r="N6120" s="676"/>
    </row>
    <row r="6121" spans="14:14" x14ac:dyDescent="0.35">
      <c r="N6121" s="676"/>
    </row>
    <row r="6122" spans="14:14" x14ac:dyDescent="0.35">
      <c r="N6122" s="676"/>
    </row>
    <row r="6123" spans="14:14" x14ac:dyDescent="0.35">
      <c r="N6123" s="676"/>
    </row>
    <row r="6124" spans="14:14" x14ac:dyDescent="0.35">
      <c r="N6124" s="676"/>
    </row>
    <row r="6125" spans="14:14" x14ac:dyDescent="0.35">
      <c r="N6125" s="676"/>
    </row>
    <row r="6126" spans="14:14" x14ac:dyDescent="0.35">
      <c r="N6126" s="676"/>
    </row>
    <row r="6127" spans="14:14" x14ac:dyDescent="0.35">
      <c r="N6127" s="676"/>
    </row>
    <row r="6128" spans="14:14" x14ac:dyDescent="0.35">
      <c r="N6128" s="676"/>
    </row>
    <row r="6129" spans="14:14" x14ac:dyDescent="0.35">
      <c r="N6129" s="676"/>
    </row>
    <row r="6130" spans="14:14" x14ac:dyDescent="0.35">
      <c r="N6130" s="676"/>
    </row>
    <row r="6131" spans="14:14" x14ac:dyDescent="0.35">
      <c r="N6131" s="676"/>
    </row>
    <row r="6132" spans="14:14" x14ac:dyDescent="0.35">
      <c r="N6132" s="676"/>
    </row>
    <row r="6133" spans="14:14" x14ac:dyDescent="0.35">
      <c r="N6133" s="676"/>
    </row>
    <row r="6134" spans="14:14" x14ac:dyDescent="0.35">
      <c r="N6134" s="676"/>
    </row>
    <row r="6135" spans="14:14" x14ac:dyDescent="0.35">
      <c r="N6135" s="676"/>
    </row>
    <row r="6136" spans="14:14" x14ac:dyDescent="0.35">
      <c r="N6136" s="676"/>
    </row>
    <row r="6137" spans="14:14" x14ac:dyDescent="0.35">
      <c r="N6137" s="676"/>
    </row>
    <row r="6138" spans="14:14" x14ac:dyDescent="0.35">
      <c r="N6138" s="676"/>
    </row>
    <row r="6139" spans="14:14" x14ac:dyDescent="0.35">
      <c r="N6139" s="676"/>
    </row>
    <row r="6140" spans="14:14" x14ac:dyDescent="0.35">
      <c r="N6140" s="676"/>
    </row>
    <row r="6141" spans="14:14" x14ac:dyDescent="0.35">
      <c r="N6141" s="676"/>
    </row>
    <row r="6142" spans="14:14" x14ac:dyDescent="0.35">
      <c r="N6142" s="676"/>
    </row>
    <row r="6143" spans="14:14" x14ac:dyDescent="0.35">
      <c r="N6143" s="676"/>
    </row>
    <row r="6144" spans="14:14" x14ac:dyDescent="0.35">
      <c r="N6144" s="676"/>
    </row>
    <row r="6145" spans="14:14" x14ac:dyDescent="0.35">
      <c r="N6145" s="676"/>
    </row>
    <row r="6146" spans="14:14" x14ac:dyDescent="0.35">
      <c r="N6146" s="676"/>
    </row>
    <row r="6147" spans="14:14" x14ac:dyDescent="0.35">
      <c r="N6147" s="676"/>
    </row>
    <row r="6148" spans="14:14" x14ac:dyDescent="0.35">
      <c r="N6148" s="676"/>
    </row>
    <row r="6149" spans="14:14" x14ac:dyDescent="0.35">
      <c r="N6149" s="676"/>
    </row>
    <row r="6150" spans="14:14" x14ac:dyDescent="0.35">
      <c r="N6150" s="676"/>
    </row>
    <row r="6151" spans="14:14" x14ac:dyDescent="0.35">
      <c r="N6151" s="676"/>
    </row>
    <row r="6152" spans="14:14" x14ac:dyDescent="0.35">
      <c r="N6152" s="676"/>
    </row>
    <row r="6153" spans="14:14" x14ac:dyDescent="0.35">
      <c r="N6153" s="676"/>
    </row>
    <row r="6154" spans="14:14" x14ac:dyDescent="0.35">
      <c r="N6154" s="676"/>
    </row>
    <row r="6155" spans="14:14" x14ac:dyDescent="0.35">
      <c r="N6155" s="676"/>
    </row>
    <row r="6156" spans="14:14" x14ac:dyDescent="0.35">
      <c r="N6156" s="676"/>
    </row>
    <row r="6157" spans="14:14" x14ac:dyDescent="0.35">
      <c r="N6157" s="676"/>
    </row>
    <row r="6158" spans="14:14" x14ac:dyDescent="0.35">
      <c r="N6158" s="676"/>
    </row>
    <row r="6159" spans="14:14" x14ac:dyDescent="0.35">
      <c r="N6159" s="676"/>
    </row>
    <row r="6160" spans="14:14" x14ac:dyDescent="0.35">
      <c r="N6160" s="676"/>
    </row>
    <row r="6161" spans="14:14" x14ac:dyDescent="0.35">
      <c r="N6161" s="676"/>
    </row>
    <row r="6162" spans="14:14" x14ac:dyDescent="0.35">
      <c r="N6162" s="676"/>
    </row>
    <row r="6163" spans="14:14" x14ac:dyDescent="0.35">
      <c r="N6163" s="676"/>
    </row>
    <row r="6164" spans="14:14" x14ac:dyDescent="0.35">
      <c r="N6164" s="676"/>
    </row>
    <row r="6165" spans="14:14" x14ac:dyDescent="0.35">
      <c r="N6165" s="676"/>
    </row>
    <row r="6166" spans="14:14" x14ac:dyDescent="0.35">
      <c r="N6166" s="676"/>
    </row>
    <row r="6167" spans="14:14" x14ac:dyDescent="0.35">
      <c r="N6167" s="676"/>
    </row>
    <row r="6168" spans="14:14" x14ac:dyDescent="0.35">
      <c r="N6168" s="676"/>
    </row>
    <row r="6169" spans="14:14" x14ac:dyDescent="0.35">
      <c r="N6169" s="676"/>
    </row>
    <row r="6170" spans="14:14" x14ac:dyDescent="0.35">
      <c r="N6170" s="676"/>
    </row>
    <row r="6171" spans="14:14" x14ac:dyDescent="0.35">
      <c r="N6171" s="676"/>
    </row>
    <row r="6172" spans="14:14" x14ac:dyDescent="0.35">
      <c r="N6172" s="676"/>
    </row>
    <row r="6173" spans="14:14" x14ac:dyDescent="0.35">
      <c r="N6173" s="676"/>
    </row>
    <row r="6174" spans="14:14" x14ac:dyDescent="0.35">
      <c r="N6174" s="676"/>
    </row>
    <row r="6175" spans="14:14" x14ac:dyDescent="0.35">
      <c r="N6175" s="676"/>
    </row>
    <row r="6176" spans="14:14" x14ac:dyDescent="0.35">
      <c r="N6176" s="676"/>
    </row>
    <row r="6177" spans="14:14" x14ac:dyDescent="0.35">
      <c r="N6177" s="676"/>
    </row>
    <row r="6178" spans="14:14" x14ac:dyDescent="0.35">
      <c r="N6178" s="676"/>
    </row>
    <row r="6179" spans="14:14" x14ac:dyDescent="0.35">
      <c r="N6179" s="676"/>
    </row>
    <row r="6180" spans="14:14" x14ac:dyDescent="0.35">
      <c r="N6180" s="676"/>
    </row>
    <row r="6181" spans="14:14" x14ac:dyDescent="0.35">
      <c r="N6181" s="676"/>
    </row>
    <row r="6182" spans="14:14" x14ac:dyDescent="0.35">
      <c r="N6182" s="676"/>
    </row>
    <row r="6183" spans="14:14" x14ac:dyDescent="0.35">
      <c r="N6183" s="676"/>
    </row>
    <row r="6184" spans="14:14" x14ac:dyDescent="0.35">
      <c r="N6184" s="676"/>
    </row>
    <row r="6185" spans="14:14" x14ac:dyDescent="0.35">
      <c r="N6185" s="676"/>
    </row>
    <row r="6186" spans="14:14" x14ac:dyDescent="0.35">
      <c r="N6186" s="676"/>
    </row>
    <row r="6187" spans="14:14" x14ac:dyDescent="0.35">
      <c r="N6187" s="676"/>
    </row>
    <row r="6188" spans="14:14" x14ac:dyDescent="0.35">
      <c r="N6188" s="676"/>
    </row>
    <row r="6189" spans="14:14" x14ac:dyDescent="0.35">
      <c r="N6189" s="676"/>
    </row>
    <row r="6190" spans="14:14" x14ac:dyDescent="0.35">
      <c r="N6190" s="676"/>
    </row>
    <row r="6191" spans="14:14" x14ac:dyDescent="0.35">
      <c r="N6191" s="676"/>
    </row>
    <row r="6192" spans="14:14" x14ac:dyDescent="0.35">
      <c r="N6192" s="676"/>
    </row>
    <row r="6193" spans="14:14" x14ac:dyDescent="0.35">
      <c r="N6193" s="676"/>
    </row>
    <row r="6194" spans="14:14" x14ac:dyDescent="0.35">
      <c r="N6194" s="676"/>
    </row>
    <row r="6195" spans="14:14" x14ac:dyDescent="0.35">
      <c r="N6195" s="676"/>
    </row>
    <row r="6196" spans="14:14" x14ac:dyDescent="0.35">
      <c r="N6196" s="676"/>
    </row>
    <row r="6197" spans="14:14" x14ac:dyDescent="0.35">
      <c r="N6197" s="676"/>
    </row>
    <row r="6198" spans="14:14" x14ac:dyDescent="0.35">
      <c r="N6198" s="676"/>
    </row>
    <row r="6199" spans="14:14" x14ac:dyDescent="0.35">
      <c r="N6199" s="676"/>
    </row>
    <row r="6200" spans="14:14" x14ac:dyDescent="0.35">
      <c r="N6200" s="676"/>
    </row>
    <row r="6201" spans="14:14" x14ac:dyDescent="0.35">
      <c r="N6201" s="676"/>
    </row>
    <row r="6202" spans="14:14" x14ac:dyDescent="0.35">
      <c r="N6202" s="676"/>
    </row>
    <row r="6203" spans="14:14" x14ac:dyDescent="0.35">
      <c r="N6203" s="676"/>
    </row>
    <row r="6204" spans="14:14" x14ac:dyDescent="0.35">
      <c r="N6204" s="676"/>
    </row>
    <row r="6205" spans="14:14" x14ac:dyDescent="0.35">
      <c r="N6205" s="676"/>
    </row>
    <row r="6206" spans="14:14" x14ac:dyDescent="0.35">
      <c r="N6206" s="676"/>
    </row>
    <row r="6207" spans="14:14" x14ac:dyDescent="0.35">
      <c r="N6207" s="676"/>
    </row>
    <row r="6208" spans="14:14" x14ac:dyDescent="0.35">
      <c r="N6208" s="676"/>
    </row>
    <row r="6209" spans="14:14" x14ac:dyDescent="0.35">
      <c r="N6209" s="676"/>
    </row>
    <row r="6210" spans="14:14" x14ac:dyDescent="0.35">
      <c r="N6210" s="676"/>
    </row>
    <row r="6211" spans="14:14" x14ac:dyDescent="0.35">
      <c r="N6211" s="676"/>
    </row>
    <row r="6212" spans="14:14" x14ac:dyDescent="0.35">
      <c r="N6212" s="676"/>
    </row>
    <row r="6213" spans="14:14" x14ac:dyDescent="0.35">
      <c r="N6213" s="676"/>
    </row>
    <row r="6214" spans="14:14" x14ac:dyDescent="0.35">
      <c r="N6214" s="676"/>
    </row>
    <row r="6215" spans="14:14" x14ac:dyDescent="0.35">
      <c r="N6215" s="676"/>
    </row>
    <row r="6216" spans="14:14" x14ac:dyDescent="0.35">
      <c r="N6216" s="676"/>
    </row>
    <row r="6217" spans="14:14" x14ac:dyDescent="0.35">
      <c r="N6217" s="676"/>
    </row>
    <row r="6218" spans="14:14" x14ac:dyDescent="0.35">
      <c r="N6218" s="676"/>
    </row>
    <row r="6219" spans="14:14" x14ac:dyDescent="0.35">
      <c r="N6219" s="676"/>
    </row>
    <row r="6220" spans="14:14" x14ac:dyDescent="0.35">
      <c r="N6220" s="676"/>
    </row>
    <row r="6221" spans="14:14" x14ac:dyDescent="0.35">
      <c r="N6221" s="676"/>
    </row>
    <row r="6222" spans="14:14" x14ac:dyDescent="0.35">
      <c r="N6222" s="676"/>
    </row>
    <row r="6223" spans="14:14" x14ac:dyDescent="0.35">
      <c r="N6223" s="676"/>
    </row>
    <row r="6224" spans="14:14" x14ac:dyDescent="0.35">
      <c r="N6224" s="676"/>
    </row>
    <row r="6225" spans="14:14" x14ac:dyDescent="0.35">
      <c r="N6225" s="676"/>
    </row>
    <row r="6226" spans="14:14" x14ac:dyDescent="0.35">
      <c r="N6226" s="676"/>
    </row>
    <row r="6227" spans="14:14" x14ac:dyDescent="0.35">
      <c r="N6227" s="676"/>
    </row>
    <row r="6228" spans="14:14" x14ac:dyDescent="0.35">
      <c r="N6228" s="676"/>
    </row>
    <row r="6229" spans="14:14" x14ac:dyDescent="0.35">
      <c r="N6229" s="676"/>
    </row>
    <row r="6230" spans="14:14" x14ac:dyDescent="0.35">
      <c r="N6230" s="676"/>
    </row>
    <row r="6231" spans="14:14" x14ac:dyDescent="0.35">
      <c r="N6231" s="676"/>
    </row>
    <row r="6232" spans="14:14" x14ac:dyDescent="0.35">
      <c r="N6232" s="676"/>
    </row>
    <row r="6233" spans="14:14" x14ac:dyDescent="0.35">
      <c r="N6233" s="676"/>
    </row>
    <row r="6234" spans="14:14" x14ac:dyDescent="0.35">
      <c r="N6234" s="676"/>
    </row>
    <row r="6235" spans="14:14" x14ac:dyDescent="0.35">
      <c r="N6235" s="676"/>
    </row>
    <row r="6236" spans="14:14" x14ac:dyDescent="0.35">
      <c r="N6236" s="676"/>
    </row>
    <row r="6237" spans="14:14" x14ac:dyDescent="0.35">
      <c r="N6237" s="676"/>
    </row>
    <row r="6238" spans="14:14" x14ac:dyDescent="0.35">
      <c r="N6238" s="676"/>
    </row>
    <row r="6239" spans="14:14" x14ac:dyDescent="0.35">
      <c r="N6239" s="676"/>
    </row>
    <row r="6240" spans="14:14" x14ac:dyDescent="0.35">
      <c r="N6240" s="676"/>
    </row>
    <row r="6241" spans="14:14" x14ac:dyDescent="0.35">
      <c r="N6241" s="676"/>
    </row>
    <row r="6242" spans="14:14" x14ac:dyDescent="0.35">
      <c r="N6242" s="676"/>
    </row>
    <row r="6243" spans="14:14" x14ac:dyDescent="0.35">
      <c r="N6243" s="676"/>
    </row>
    <row r="6244" spans="14:14" x14ac:dyDescent="0.35">
      <c r="N6244" s="676"/>
    </row>
    <row r="6245" spans="14:14" x14ac:dyDescent="0.35">
      <c r="N6245" s="676"/>
    </row>
    <row r="6246" spans="14:14" x14ac:dyDescent="0.35">
      <c r="N6246" s="676"/>
    </row>
    <row r="6247" spans="14:14" x14ac:dyDescent="0.35">
      <c r="N6247" s="676"/>
    </row>
    <row r="6248" spans="14:14" x14ac:dyDescent="0.35">
      <c r="N6248" s="676"/>
    </row>
    <row r="6249" spans="14:14" x14ac:dyDescent="0.35">
      <c r="N6249" s="676"/>
    </row>
    <row r="6250" spans="14:14" x14ac:dyDescent="0.35">
      <c r="N6250" s="676"/>
    </row>
    <row r="6251" spans="14:14" x14ac:dyDescent="0.35">
      <c r="N6251" s="676"/>
    </row>
    <row r="6252" spans="14:14" x14ac:dyDescent="0.35">
      <c r="N6252" s="676"/>
    </row>
    <row r="6253" spans="14:14" x14ac:dyDescent="0.35">
      <c r="N6253" s="676"/>
    </row>
    <row r="6254" spans="14:14" x14ac:dyDescent="0.35">
      <c r="N6254" s="676"/>
    </row>
    <row r="6255" spans="14:14" x14ac:dyDescent="0.35">
      <c r="N6255" s="676"/>
    </row>
    <row r="6256" spans="14:14" x14ac:dyDescent="0.35">
      <c r="N6256" s="676"/>
    </row>
    <row r="6257" spans="14:14" x14ac:dyDescent="0.35">
      <c r="N6257" s="676"/>
    </row>
    <row r="6258" spans="14:14" x14ac:dyDescent="0.35">
      <c r="N6258" s="676"/>
    </row>
    <row r="6259" spans="14:14" x14ac:dyDescent="0.35">
      <c r="N6259" s="676"/>
    </row>
    <row r="6260" spans="14:14" x14ac:dyDescent="0.35">
      <c r="N6260" s="676"/>
    </row>
    <row r="6261" spans="14:14" x14ac:dyDescent="0.35">
      <c r="N6261" s="676"/>
    </row>
    <row r="6262" spans="14:14" x14ac:dyDescent="0.35">
      <c r="N6262" s="676"/>
    </row>
    <row r="6263" spans="14:14" x14ac:dyDescent="0.35">
      <c r="N6263" s="676"/>
    </row>
    <row r="6264" spans="14:14" x14ac:dyDescent="0.35">
      <c r="N6264" s="676"/>
    </row>
    <row r="6265" spans="14:14" x14ac:dyDescent="0.35">
      <c r="N6265" s="676"/>
    </row>
    <row r="6266" spans="14:14" x14ac:dyDescent="0.35">
      <c r="N6266" s="676"/>
    </row>
    <row r="6267" spans="14:14" x14ac:dyDescent="0.35">
      <c r="N6267" s="676"/>
    </row>
    <row r="6268" spans="14:14" x14ac:dyDescent="0.35">
      <c r="N6268" s="676"/>
    </row>
    <row r="6269" spans="14:14" x14ac:dyDescent="0.35">
      <c r="N6269" s="676"/>
    </row>
    <row r="6270" spans="14:14" x14ac:dyDescent="0.35">
      <c r="N6270" s="676"/>
    </row>
    <row r="6271" spans="14:14" x14ac:dyDescent="0.35">
      <c r="N6271" s="676"/>
    </row>
    <row r="6272" spans="14:14" x14ac:dyDescent="0.35">
      <c r="N6272" s="676"/>
    </row>
    <row r="6273" spans="14:14" x14ac:dyDescent="0.35">
      <c r="N6273" s="676"/>
    </row>
    <row r="6274" spans="14:14" x14ac:dyDescent="0.35">
      <c r="N6274" s="676"/>
    </row>
    <row r="6275" spans="14:14" x14ac:dyDescent="0.35">
      <c r="N6275" s="676"/>
    </row>
    <row r="6276" spans="14:14" x14ac:dyDescent="0.35">
      <c r="N6276" s="676"/>
    </row>
    <row r="6277" spans="14:14" x14ac:dyDescent="0.35">
      <c r="N6277" s="676"/>
    </row>
    <row r="6278" spans="14:14" x14ac:dyDescent="0.35">
      <c r="N6278" s="676"/>
    </row>
    <row r="6279" spans="14:14" x14ac:dyDescent="0.35">
      <c r="N6279" s="676"/>
    </row>
    <row r="6280" spans="14:14" x14ac:dyDescent="0.35">
      <c r="N6280" s="676"/>
    </row>
    <row r="6281" spans="14:14" x14ac:dyDescent="0.35">
      <c r="N6281" s="676"/>
    </row>
    <row r="6282" spans="14:14" x14ac:dyDescent="0.35">
      <c r="N6282" s="676"/>
    </row>
    <row r="6283" spans="14:14" x14ac:dyDescent="0.35">
      <c r="N6283" s="676"/>
    </row>
    <row r="6284" spans="14:14" x14ac:dyDescent="0.35">
      <c r="N6284" s="676"/>
    </row>
    <row r="6285" spans="14:14" x14ac:dyDescent="0.35">
      <c r="N6285" s="676"/>
    </row>
    <row r="6286" spans="14:14" x14ac:dyDescent="0.35">
      <c r="N6286" s="676"/>
    </row>
    <row r="6287" spans="14:14" x14ac:dyDescent="0.35">
      <c r="N6287" s="676"/>
    </row>
    <row r="6288" spans="14:14" x14ac:dyDescent="0.35">
      <c r="N6288" s="676"/>
    </row>
    <row r="6289" spans="14:14" x14ac:dyDescent="0.35">
      <c r="N6289" s="676"/>
    </row>
    <row r="6290" spans="14:14" x14ac:dyDescent="0.35">
      <c r="N6290" s="676"/>
    </row>
    <row r="6291" spans="14:14" x14ac:dyDescent="0.35">
      <c r="N6291" s="676"/>
    </row>
    <row r="6292" spans="14:14" x14ac:dyDescent="0.35">
      <c r="N6292" s="676"/>
    </row>
    <row r="6293" spans="14:14" x14ac:dyDescent="0.35">
      <c r="N6293" s="676"/>
    </row>
    <row r="6294" spans="14:14" x14ac:dyDescent="0.35">
      <c r="N6294" s="676"/>
    </row>
    <row r="6295" spans="14:14" x14ac:dyDescent="0.35">
      <c r="N6295" s="676"/>
    </row>
    <row r="6296" spans="14:14" x14ac:dyDescent="0.35">
      <c r="N6296" s="676"/>
    </row>
    <row r="6297" spans="14:14" x14ac:dyDescent="0.35">
      <c r="N6297" s="676"/>
    </row>
    <row r="6298" spans="14:14" x14ac:dyDescent="0.35">
      <c r="N6298" s="676"/>
    </row>
    <row r="6299" spans="14:14" x14ac:dyDescent="0.35">
      <c r="N6299" s="676"/>
    </row>
    <row r="6300" spans="14:14" x14ac:dyDescent="0.35">
      <c r="N6300" s="676"/>
    </row>
    <row r="6301" spans="14:14" x14ac:dyDescent="0.35">
      <c r="N6301" s="676"/>
    </row>
    <row r="6302" spans="14:14" x14ac:dyDescent="0.35">
      <c r="N6302" s="676"/>
    </row>
    <row r="6303" spans="14:14" x14ac:dyDescent="0.35">
      <c r="N6303" s="676"/>
    </row>
    <row r="6304" spans="14:14" x14ac:dyDescent="0.35">
      <c r="N6304" s="676"/>
    </row>
    <row r="6305" spans="14:14" x14ac:dyDescent="0.35">
      <c r="N6305" s="676"/>
    </row>
    <row r="6306" spans="14:14" x14ac:dyDescent="0.35">
      <c r="N6306" s="676"/>
    </row>
    <row r="6307" spans="14:14" x14ac:dyDescent="0.35">
      <c r="N6307" s="676"/>
    </row>
    <row r="6308" spans="14:14" x14ac:dyDescent="0.35">
      <c r="N6308" s="676"/>
    </row>
    <row r="6309" spans="14:14" x14ac:dyDescent="0.35">
      <c r="N6309" s="676"/>
    </row>
    <row r="6310" spans="14:14" x14ac:dyDescent="0.35">
      <c r="N6310" s="676"/>
    </row>
    <row r="6311" spans="14:14" x14ac:dyDescent="0.35">
      <c r="N6311" s="676"/>
    </row>
    <row r="6312" spans="14:14" x14ac:dyDescent="0.35">
      <c r="N6312" s="676"/>
    </row>
    <row r="6313" spans="14:14" x14ac:dyDescent="0.35">
      <c r="N6313" s="676"/>
    </row>
    <row r="6314" spans="14:14" x14ac:dyDescent="0.35">
      <c r="N6314" s="676"/>
    </row>
    <row r="6315" spans="14:14" x14ac:dyDescent="0.35">
      <c r="N6315" s="676"/>
    </row>
    <row r="6316" spans="14:14" x14ac:dyDescent="0.35">
      <c r="N6316" s="676"/>
    </row>
    <row r="6317" spans="14:14" x14ac:dyDescent="0.35">
      <c r="N6317" s="676"/>
    </row>
    <row r="6318" spans="14:14" x14ac:dyDescent="0.35">
      <c r="N6318" s="676"/>
    </row>
    <row r="6319" spans="14:14" x14ac:dyDescent="0.35">
      <c r="N6319" s="676"/>
    </row>
    <row r="6320" spans="14:14" x14ac:dyDescent="0.35">
      <c r="N6320" s="676"/>
    </row>
    <row r="6321" spans="14:14" x14ac:dyDescent="0.35">
      <c r="N6321" s="676"/>
    </row>
    <row r="6322" spans="14:14" x14ac:dyDescent="0.35">
      <c r="N6322" s="676"/>
    </row>
    <row r="6323" spans="14:14" x14ac:dyDescent="0.35">
      <c r="N6323" s="676"/>
    </row>
    <row r="6324" spans="14:14" x14ac:dyDescent="0.35">
      <c r="N6324" s="676"/>
    </row>
    <row r="6325" spans="14:14" x14ac:dyDescent="0.35">
      <c r="N6325" s="676"/>
    </row>
    <row r="6326" spans="14:14" x14ac:dyDescent="0.35">
      <c r="N6326" s="676"/>
    </row>
    <row r="6327" spans="14:14" x14ac:dyDescent="0.35">
      <c r="N6327" s="676"/>
    </row>
    <row r="6328" spans="14:14" x14ac:dyDescent="0.35">
      <c r="N6328" s="676"/>
    </row>
    <row r="6329" spans="14:14" x14ac:dyDescent="0.35">
      <c r="N6329" s="676"/>
    </row>
    <row r="6330" spans="14:14" x14ac:dyDescent="0.35">
      <c r="N6330" s="676"/>
    </row>
    <row r="6331" spans="14:14" x14ac:dyDescent="0.35">
      <c r="N6331" s="676"/>
    </row>
    <row r="6332" spans="14:14" x14ac:dyDescent="0.35">
      <c r="N6332" s="676"/>
    </row>
    <row r="6333" spans="14:14" x14ac:dyDescent="0.35">
      <c r="N6333" s="676"/>
    </row>
    <row r="6334" spans="14:14" x14ac:dyDescent="0.35">
      <c r="N6334" s="676"/>
    </row>
    <row r="6335" spans="14:14" x14ac:dyDescent="0.35">
      <c r="N6335" s="676"/>
    </row>
    <row r="6336" spans="14:14" x14ac:dyDescent="0.35">
      <c r="N6336" s="676"/>
    </row>
    <row r="6337" spans="14:14" x14ac:dyDescent="0.35">
      <c r="N6337" s="676"/>
    </row>
    <row r="6338" spans="14:14" x14ac:dyDescent="0.35">
      <c r="N6338" s="676"/>
    </row>
    <row r="6339" spans="14:14" x14ac:dyDescent="0.35">
      <c r="N6339" s="676"/>
    </row>
    <row r="6340" spans="14:14" x14ac:dyDescent="0.35">
      <c r="N6340" s="676"/>
    </row>
    <row r="6341" spans="14:14" x14ac:dyDescent="0.35">
      <c r="N6341" s="676"/>
    </row>
    <row r="6342" spans="14:14" x14ac:dyDescent="0.35">
      <c r="N6342" s="676"/>
    </row>
    <row r="6343" spans="14:14" x14ac:dyDescent="0.35">
      <c r="N6343" s="676"/>
    </row>
    <row r="6344" spans="14:14" x14ac:dyDescent="0.35">
      <c r="N6344" s="676"/>
    </row>
    <row r="6345" spans="14:14" x14ac:dyDescent="0.35">
      <c r="N6345" s="676"/>
    </row>
    <row r="6346" spans="14:14" x14ac:dyDescent="0.35">
      <c r="N6346" s="676"/>
    </row>
    <row r="6347" spans="14:14" x14ac:dyDescent="0.35">
      <c r="N6347" s="676"/>
    </row>
    <row r="6348" spans="14:14" x14ac:dyDescent="0.35">
      <c r="N6348" s="676"/>
    </row>
    <row r="6349" spans="14:14" x14ac:dyDescent="0.35">
      <c r="N6349" s="676"/>
    </row>
    <row r="6350" spans="14:14" x14ac:dyDescent="0.35">
      <c r="N6350" s="676"/>
    </row>
    <row r="6351" spans="14:14" x14ac:dyDescent="0.35">
      <c r="N6351" s="676"/>
    </row>
    <row r="6352" spans="14:14" x14ac:dyDescent="0.35">
      <c r="N6352" s="676"/>
    </row>
    <row r="6353" spans="14:14" x14ac:dyDescent="0.35">
      <c r="N6353" s="676"/>
    </row>
    <row r="6354" spans="14:14" x14ac:dyDescent="0.35">
      <c r="N6354" s="676"/>
    </row>
    <row r="6355" spans="14:14" x14ac:dyDescent="0.35">
      <c r="N6355" s="676"/>
    </row>
    <row r="6356" spans="14:14" x14ac:dyDescent="0.35">
      <c r="N6356" s="676"/>
    </row>
    <row r="6357" spans="14:14" x14ac:dyDescent="0.35">
      <c r="N6357" s="676"/>
    </row>
    <row r="6358" spans="14:14" x14ac:dyDescent="0.35">
      <c r="N6358" s="676"/>
    </row>
    <row r="6359" spans="14:14" x14ac:dyDescent="0.35">
      <c r="N6359" s="676"/>
    </row>
    <row r="6360" spans="14:14" x14ac:dyDescent="0.35">
      <c r="N6360" s="676"/>
    </row>
    <row r="6361" spans="14:14" x14ac:dyDescent="0.35">
      <c r="N6361" s="676"/>
    </row>
    <row r="6362" spans="14:14" x14ac:dyDescent="0.35">
      <c r="N6362" s="676"/>
    </row>
    <row r="6363" spans="14:14" x14ac:dyDescent="0.35">
      <c r="N6363" s="676"/>
    </row>
    <row r="6364" spans="14:14" x14ac:dyDescent="0.35">
      <c r="N6364" s="676"/>
    </row>
    <row r="6365" spans="14:14" x14ac:dyDescent="0.35">
      <c r="N6365" s="676"/>
    </row>
    <row r="6366" spans="14:14" x14ac:dyDescent="0.35">
      <c r="N6366" s="676"/>
    </row>
    <row r="6367" spans="14:14" x14ac:dyDescent="0.35">
      <c r="N6367" s="676"/>
    </row>
    <row r="6368" spans="14:14" x14ac:dyDescent="0.35">
      <c r="N6368" s="676"/>
    </row>
    <row r="6369" spans="14:14" x14ac:dyDescent="0.35">
      <c r="N6369" s="676"/>
    </row>
    <row r="6370" spans="14:14" x14ac:dyDescent="0.35">
      <c r="N6370" s="676"/>
    </row>
    <row r="6371" spans="14:14" x14ac:dyDescent="0.35">
      <c r="N6371" s="676"/>
    </row>
    <row r="6372" spans="14:14" x14ac:dyDescent="0.35">
      <c r="N6372" s="676"/>
    </row>
    <row r="6373" spans="14:14" x14ac:dyDescent="0.35">
      <c r="N6373" s="676"/>
    </row>
    <row r="6374" spans="14:14" x14ac:dyDescent="0.35">
      <c r="N6374" s="676"/>
    </row>
    <row r="6375" spans="14:14" x14ac:dyDescent="0.35">
      <c r="N6375" s="676"/>
    </row>
    <row r="6376" spans="14:14" x14ac:dyDescent="0.35">
      <c r="N6376" s="676"/>
    </row>
    <row r="6377" spans="14:14" x14ac:dyDescent="0.35">
      <c r="N6377" s="676"/>
    </row>
    <row r="6378" spans="14:14" x14ac:dyDescent="0.35">
      <c r="N6378" s="676"/>
    </row>
    <row r="6379" spans="14:14" x14ac:dyDescent="0.35">
      <c r="N6379" s="676"/>
    </row>
    <row r="6380" spans="14:14" x14ac:dyDescent="0.35">
      <c r="N6380" s="676"/>
    </row>
    <row r="6381" spans="14:14" x14ac:dyDescent="0.35">
      <c r="N6381" s="676"/>
    </row>
    <row r="6382" spans="14:14" x14ac:dyDescent="0.35">
      <c r="N6382" s="676"/>
    </row>
    <row r="6383" spans="14:14" x14ac:dyDescent="0.35">
      <c r="N6383" s="676"/>
    </row>
    <row r="6384" spans="14:14" x14ac:dyDescent="0.35">
      <c r="N6384" s="676"/>
    </row>
    <row r="6385" spans="14:14" x14ac:dyDescent="0.35">
      <c r="N6385" s="676"/>
    </row>
    <row r="6386" spans="14:14" x14ac:dyDescent="0.35">
      <c r="N6386" s="676"/>
    </row>
    <row r="6387" spans="14:14" x14ac:dyDescent="0.35">
      <c r="N6387" s="676"/>
    </row>
    <row r="6388" spans="14:14" x14ac:dyDescent="0.35">
      <c r="N6388" s="676"/>
    </row>
    <row r="6389" spans="14:14" x14ac:dyDescent="0.35">
      <c r="N6389" s="676"/>
    </row>
    <row r="6390" spans="14:14" x14ac:dyDescent="0.35">
      <c r="N6390" s="676"/>
    </row>
    <row r="6391" spans="14:14" x14ac:dyDescent="0.35">
      <c r="N6391" s="676"/>
    </row>
    <row r="6392" spans="14:14" x14ac:dyDescent="0.35">
      <c r="N6392" s="676"/>
    </row>
    <row r="6393" spans="14:14" x14ac:dyDescent="0.35">
      <c r="N6393" s="676"/>
    </row>
    <row r="6394" spans="14:14" x14ac:dyDescent="0.35">
      <c r="N6394" s="676"/>
    </row>
    <row r="6395" spans="14:14" x14ac:dyDescent="0.35">
      <c r="N6395" s="676"/>
    </row>
    <row r="6396" spans="14:14" x14ac:dyDescent="0.35">
      <c r="N6396" s="676"/>
    </row>
    <row r="6397" spans="14:14" x14ac:dyDescent="0.35">
      <c r="N6397" s="676"/>
    </row>
    <row r="6398" spans="14:14" x14ac:dyDescent="0.35">
      <c r="N6398" s="676"/>
    </row>
    <row r="6399" spans="14:14" x14ac:dyDescent="0.35">
      <c r="N6399" s="676"/>
    </row>
    <row r="6400" spans="14:14" x14ac:dyDescent="0.35">
      <c r="N6400" s="676"/>
    </row>
    <row r="6401" spans="14:14" x14ac:dyDescent="0.35">
      <c r="N6401" s="676"/>
    </row>
    <row r="6402" spans="14:14" x14ac:dyDescent="0.35">
      <c r="N6402" s="676"/>
    </row>
    <row r="6403" spans="14:14" x14ac:dyDescent="0.35">
      <c r="N6403" s="676"/>
    </row>
    <row r="6404" spans="14:14" x14ac:dyDescent="0.35">
      <c r="N6404" s="676"/>
    </row>
    <row r="6405" spans="14:14" x14ac:dyDescent="0.35">
      <c r="N6405" s="676"/>
    </row>
    <row r="6406" spans="14:14" x14ac:dyDescent="0.35">
      <c r="N6406" s="676"/>
    </row>
    <row r="6407" spans="14:14" x14ac:dyDescent="0.35">
      <c r="N6407" s="676"/>
    </row>
    <row r="6408" spans="14:14" x14ac:dyDescent="0.35">
      <c r="N6408" s="676"/>
    </row>
    <row r="6409" spans="14:14" x14ac:dyDescent="0.35">
      <c r="N6409" s="676"/>
    </row>
    <row r="6410" spans="14:14" x14ac:dyDescent="0.35">
      <c r="N6410" s="676"/>
    </row>
    <row r="6411" spans="14:14" x14ac:dyDescent="0.35">
      <c r="N6411" s="676"/>
    </row>
    <row r="6412" spans="14:14" x14ac:dyDescent="0.35">
      <c r="N6412" s="676"/>
    </row>
    <row r="6413" spans="14:14" x14ac:dyDescent="0.35">
      <c r="N6413" s="676"/>
    </row>
    <row r="6414" spans="14:14" x14ac:dyDescent="0.35">
      <c r="N6414" s="676"/>
    </row>
    <row r="6415" spans="14:14" x14ac:dyDescent="0.35">
      <c r="N6415" s="676"/>
    </row>
    <row r="6416" spans="14:14" x14ac:dyDescent="0.35">
      <c r="N6416" s="676"/>
    </row>
    <row r="6417" spans="14:14" x14ac:dyDescent="0.35">
      <c r="N6417" s="676"/>
    </row>
    <row r="6418" spans="14:14" x14ac:dyDescent="0.35">
      <c r="N6418" s="676"/>
    </row>
    <row r="6419" spans="14:14" x14ac:dyDescent="0.35">
      <c r="N6419" s="676"/>
    </row>
    <row r="6420" spans="14:14" x14ac:dyDescent="0.35">
      <c r="N6420" s="676"/>
    </row>
    <row r="6421" spans="14:14" x14ac:dyDescent="0.35">
      <c r="N6421" s="676"/>
    </row>
    <row r="6422" spans="14:14" x14ac:dyDescent="0.35">
      <c r="N6422" s="676"/>
    </row>
    <row r="6423" spans="14:14" x14ac:dyDescent="0.35">
      <c r="N6423" s="676"/>
    </row>
    <row r="6424" spans="14:14" x14ac:dyDescent="0.35">
      <c r="N6424" s="676"/>
    </row>
    <row r="6425" spans="14:14" x14ac:dyDescent="0.35">
      <c r="N6425" s="676"/>
    </row>
    <row r="6426" spans="14:14" x14ac:dyDescent="0.35">
      <c r="N6426" s="676"/>
    </row>
    <row r="6427" spans="14:14" x14ac:dyDescent="0.35">
      <c r="N6427" s="676"/>
    </row>
    <row r="6428" spans="14:14" x14ac:dyDescent="0.35">
      <c r="N6428" s="676"/>
    </row>
    <row r="6429" spans="14:14" x14ac:dyDescent="0.35">
      <c r="N6429" s="676"/>
    </row>
    <row r="6430" spans="14:14" x14ac:dyDescent="0.35">
      <c r="N6430" s="676"/>
    </row>
    <row r="6431" spans="14:14" x14ac:dyDescent="0.35">
      <c r="N6431" s="676"/>
    </row>
    <row r="6432" spans="14:14" x14ac:dyDescent="0.35">
      <c r="N6432" s="676"/>
    </row>
    <row r="6433" spans="14:14" x14ac:dyDescent="0.35">
      <c r="N6433" s="676"/>
    </row>
    <row r="6434" spans="14:14" x14ac:dyDescent="0.35">
      <c r="N6434" s="676"/>
    </row>
    <row r="6435" spans="14:14" x14ac:dyDescent="0.35">
      <c r="N6435" s="676"/>
    </row>
    <row r="6436" spans="14:14" x14ac:dyDescent="0.35">
      <c r="N6436" s="676"/>
    </row>
    <row r="6437" spans="14:14" x14ac:dyDescent="0.35">
      <c r="N6437" s="676"/>
    </row>
    <row r="6438" spans="14:14" x14ac:dyDescent="0.35">
      <c r="N6438" s="676"/>
    </row>
    <row r="6439" spans="14:14" x14ac:dyDescent="0.35">
      <c r="N6439" s="676"/>
    </row>
    <row r="6440" spans="14:14" x14ac:dyDescent="0.35">
      <c r="N6440" s="676"/>
    </row>
    <row r="6441" spans="14:14" x14ac:dyDescent="0.35">
      <c r="N6441" s="676"/>
    </row>
    <row r="6442" spans="14:14" x14ac:dyDescent="0.35">
      <c r="N6442" s="676"/>
    </row>
    <row r="6443" spans="14:14" x14ac:dyDescent="0.35">
      <c r="N6443" s="676"/>
    </row>
    <row r="6444" spans="14:14" x14ac:dyDescent="0.35">
      <c r="N6444" s="676"/>
    </row>
    <row r="6445" spans="14:14" x14ac:dyDescent="0.35">
      <c r="N6445" s="676"/>
    </row>
    <row r="6446" spans="14:14" x14ac:dyDescent="0.35">
      <c r="N6446" s="676"/>
    </row>
    <row r="6447" spans="14:14" x14ac:dyDescent="0.35">
      <c r="N6447" s="676"/>
    </row>
    <row r="6448" spans="14:14" x14ac:dyDescent="0.35">
      <c r="N6448" s="676"/>
    </row>
    <row r="6449" spans="14:14" x14ac:dyDescent="0.35">
      <c r="N6449" s="676"/>
    </row>
    <row r="6450" spans="14:14" x14ac:dyDescent="0.35">
      <c r="N6450" s="676"/>
    </row>
    <row r="6451" spans="14:14" x14ac:dyDescent="0.35">
      <c r="N6451" s="676"/>
    </row>
    <row r="6452" spans="14:14" x14ac:dyDescent="0.35">
      <c r="N6452" s="676"/>
    </row>
    <row r="6453" spans="14:14" x14ac:dyDescent="0.35">
      <c r="N6453" s="676"/>
    </row>
    <row r="6454" spans="14:14" x14ac:dyDescent="0.35">
      <c r="N6454" s="676"/>
    </row>
    <row r="6455" spans="14:14" x14ac:dyDescent="0.35">
      <c r="N6455" s="676"/>
    </row>
    <row r="6456" spans="14:14" x14ac:dyDescent="0.35">
      <c r="N6456" s="676"/>
    </row>
    <row r="6457" spans="14:14" x14ac:dyDescent="0.35">
      <c r="N6457" s="676"/>
    </row>
    <row r="6458" spans="14:14" x14ac:dyDescent="0.35">
      <c r="N6458" s="676"/>
    </row>
    <row r="6459" spans="14:14" x14ac:dyDescent="0.35">
      <c r="N6459" s="676"/>
    </row>
    <row r="6460" spans="14:14" x14ac:dyDescent="0.35">
      <c r="N6460" s="676"/>
    </row>
    <row r="6461" spans="14:14" x14ac:dyDescent="0.35">
      <c r="N6461" s="676"/>
    </row>
    <row r="6462" spans="14:14" x14ac:dyDescent="0.35">
      <c r="N6462" s="676"/>
    </row>
    <row r="6463" spans="14:14" x14ac:dyDescent="0.35">
      <c r="N6463" s="676"/>
    </row>
    <row r="6464" spans="14:14" x14ac:dyDescent="0.35">
      <c r="N6464" s="676"/>
    </row>
    <row r="6465" spans="14:14" x14ac:dyDescent="0.35">
      <c r="N6465" s="676"/>
    </row>
    <row r="6466" spans="14:14" x14ac:dyDescent="0.35">
      <c r="N6466" s="676"/>
    </row>
    <row r="6467" spans="14:14" x14ac:dyDescent="0.35">
      <c r="N6467" s="676"/>
    </row>
    <row r="6468" spans="14:14" x14ac:dyDescent="0.35">
      <c r="N6468" s="676"/>
    </row>
    <row r="6469" spans="14:14" x14ac:dyDescent="0.35">
      <c r="N6469" s="676"/>
    </row>
    <row r="6470" spans="14:14" x14ac:dyDescent="0.35">
      <c r="N6470" s="676"/>
    </row>
    <row r="6471" spans="14:14" x14ac:dyDescent="0.35">
      <c r="N6471" s="676"/>
    </row>
    <row r="6472" spans="14:14" x14ac:dyDescent="0.35">
      <c r="N6472" s="676"/>
    </row>
    <row r="6473" spans="14:14" x14ac:dyDescent="0.35">
      <c r="N6473" s="676"/>
    </row>
    <row r="6474" spans="14:14" x14ac:dyDescent="0.35">
      <c r="N6474" s="676"/>
    </row>
    <row r="6475" spans="14:14" x14ac:dyDescent="0.35">
      <c r="N6475" s="676"/>
    </row>
    <row r="6476" spans="14:14" x14ac:dyDescent="0.35">
      <c r="N6476" s="676"/>
    </row>
    <row r="6477" spans="14:14" x14ac:dyDescent="0.35">
      <c r="N6477" s="676"/>
    </row>
    <row r="6478" spans="14:14" x14ac:dyDescent="0.35">
      <c r="N6478" s="676"/>
    </row>
    <row r="6479" spans="14:14" x14ac:dyDescent="0.35">
      <c r="N6479" s="676"/>
    </row>
    <row r="6480" spans="14:14" x14ac:dyDescent="0.35">
      <c r="N6480" s="676"/>
    </row>
    <row r="6481" spans="14:14" x14ac:dyDescent="0.35">
      <c r="N6481" s="676"/>
    </row>
    <row r="6482" spans="14:14" x14ac:dyDescent="0.35">
      <c r="N6482" s="676"/>
    </row>
    <row r="6483" spans="14:14" x14ac:dyDescent="0.35">
      <c r="N6483" s="676"/>
    </row>
    <row r="6484" spans="14:14" x14ac:dyDescent="0.35">
      <c r="N6484" s="676"/>
    </row>
    <row r="6485" spans="14:14" x14ac:dyDescent="0.35">
      <c r="N6485" s="676"/>
    </row>
    <row r="6486" spans="14:14" x14ac:dyDescent="0.35">
      <c r="N6486" s="676"/>
    </row>
    <row r="6487" spans="14:14" x14ac:dyDescent="0.35">
      <c r="N6487" s="676"/>
    </row>
    <row r="6488" spans="14:14" x14ac:dyDescent="0.35">
      <c r="N6488" s="676"/>
    </row>
    <row r="6489" spans="14:14" x14ac:dyDescent="0.35">
      <c r="N6489" s="676"/>
    </row>
    <row r="6490" spans="14:14" x14ac:dyDescent="0.35">
      <c r="N6490" s="676"/>
    </row>
    <row r="6491" spans="14:14" x14ac:dyDescent="0.35">
      <c r="N6491" s="676"/>
    </row>
    <row r="6492" spans="14:14" x14ac:dyDescent="0.35">
      <c r="N6492" s="676"/>
    </row>
    <row r="6493" spans="14:14" x14ac:dyDescent="0.35">
      <c r="N6493" s="676"/>
    </row>
    <row r="6494" spans="14:14" x14ac:dyDescent="0.35">
      <c r="N6494" s="676"/>
    </row>
    <row r="6495" spans="14:14" x14ac:dyDescent="0.35">
      <c r="N6495" s="676"/>
    </row>
    <row r="6496" spans="14:14" x14ac:dyDescent="0.35">
      <c r="N6496" s="676"/>
    </row>
    <row r="6497" spans="14:14" x14ac:dyDescent="0.35">
      <c r="N6497" s="676"/>
    </row>
    <row r="6498" spans="14:14" x14ac:dyDescent="0.35">
      <c r="N6498" s="676"/>
    </row>
    <row r="6499" spans="14:14" x14ac:dyDescent="0.35">
      <c r="N6499" s="676"/>
    </row>
    <row r="6500" spans="14:14" x14ac:dyDescent="0.35">
      <c r="N6500" s="676"/>
    </row>
    <row r="6501" spans="14:14" x14ac:dyDescent="0.35">
      <c r="N6501" s="676"/>
    </row>
    <row r="6502" spans="14:14" x14ac:dyDescent="0.35">
      <c r="N6502" s="676"/>
    </row>
    <row r="6503" spans="14:14" x14ac:dyDescent="0.35">
      <c r="N6503" s="676"/>
    </row>
    <row r="6504" spans="14:14" x14ac:dyDescent="0.35">
      <c r="N6504" s="676"/>
    </row>
    <row r="6505" spans="14:14" x14ac:dyDescent="0.35">
      <c r="N6505" s="676"/>
    </row>
    <row r="6506" spans="14:14" x14ac:dyDescent="0.35">
      <c r="N6506" s="676"/>
    </row>
    <row r="6507" spans="14:14" x14ac:dyDescent="0.35">
      <c r="N6507" s="676"/>
    </row>
    <row r="6508" spans="14:14" x14ac:dyDescent="0.35">
      <c r="N6508" s="676"/>
    </row>
    <row r="6509" spans="14:14" x14ac:dyDescent="0.35">
      <c r="N6509" s="676"/>
    </row>
    <row r="6510" spans="14:14" x14ac:dyDescent="0.35">
      <c r="N6510" s="676"/>
    </row>
    <row r="6511" spans="14:14" x14ac:dyDescent="0.35">
      <c r="N6511" s="676"/>
    </row>
    <row r="6512" spans="14:14" x14ac:dyDescent="0.35">
      <c r="N6512" s="676"/>
    </row>
    <row r="6513" spans="14:14" x14ac:dyDescent="0.35">
      <c r="N6513" s="676"/>
    </row>
    <row r="6514" spans="14:14" x14ac:dyDescent="0.35">
      <c r="N6514" s="676"/>
    </row>
    <row r="6515" spans="14:14" x14ac:dyDescent="0.35">
      <c r="N6515" s="676"/>
    </row>
    <row r="6516" spans="14:14" x14ac:dyDescent="0.35">
      <c r="N6516" s="676"/>
    </row>
    <row r="6517" spans="14:14" x14ac:dyDescent="0.35">
      <c r="N6517" s="676"/>
    </row>
    <row r="6518" spans="14:14" x14ac:dyDescent="0.35">
      <c r="N6518" s="676"/>
    </row>
    <row r="6519" spans="14:14" x14ac:dyDescent="0.35">
      <c r="N6519" s="676"/>
    </row>
    <row r="6520" spans="14:14" x14ac:dyDescent="0.35">
      <c r="N6520" s="676"/>
    </row>
    <row r="6521" spans="14:14" x14ac:dyDescent="0.35">
      <c r="N6521" s="676"/>
    </row>
    <row r="6522" spans="14:14" x14ac:dyDescent="0.35">
      <c r="N6522" s="676"/>
    </row>
    <row r="6523" spans="14:14" x14ac:dyDescent="0.35">
      <c r="N6523" s="676"/>
    </row>
    <row r="6524" spans="14:14" x14ac:dyDescent="0.35">
      <c r="N6524" s="676"/>
    </row>
    <row r="6525" spans="14:14" x14ac:dyDescent="0.35">
      <c r="N6525" s="676"/>
    </row>
    <row r="6526" spans="14:14" x14ac:dyDescent="0.35">
      <c r="N6526" s="676"/>
    </row>
    <row r="6527" spans="14:14" x14ac:dyDescent="0.35">
      <c r="N6527" s="676"/>
    </row>
    <row r="6528" spans="14:14" x14ac:dyDescent="0.35">
      <c r="N6528" s="676"/>
    </row>
    <row r="6529" spans="14:14" x14ac:dyDescent="0.35">
      <c r="N6529" s="676"/>
    </row>
    <row r="6530" spans="14:14" x14ac:dyDescent="0.35">
      <c r="N6530" s="676"/>
    </row>
    <row r="6531" spans="14:14" x14ac:dyDescent="0.35">
      <c r="N6531" s="676"/>
    </row>
    <row r="6532" spans="14:14" x14ac:dyDescent="0.35">
      <c r="N6532" s="676"/>
    </row>
    <row r="6533" spans="14:14" x14ac:dyDescent="0.35">
      <c r="N6533" s="676"/>
    </row>
    <row r="6534" spans="14:14" x14ac:dyDescent="0.35">
      <c r="N6534" s="676"/>
    </row>
    <row r="6535" spans="14:14" x14ac:dyDescent="0.35">
      <c r="N6535" s="676"/>
    </row>
    <row r="6536" spans="14:14" x14ac:dyDescent="0.35">
      <c r="N6536" s="676"/>
    </row>
    <row r="6537" spans="14:14" x14ac:dyDescent="0.35">
      <c r="N6537" s="676"/>
    </row>
    <row r="6538" spans="14:14" x14ac:dyDescent="0.35">
      <c r="N6538" s="676"/>
    </row>
    <row r="6539" spans="14:14" x14ac:dyDescent="0.35">
      <c r="N6539" s="676"/>
    </row>
    <row r="6540" spans="14:14" x14ac:dyDescent="0.35">
      <c r="N6540" s="676"/>
    </row>
    <row r="6541" spans="14:14" x14ac:dyDescent="0.35">
      <c r="N6541" s="676"/>
    </row>
    <row r="6542" spans="14:14" x14ac:dyDescent="0.35">
      <c r="N6542" s="676"/>
    </row>
    <row r="6543" spans="14:14" x14ac:dyDescent="0.35">
      <c r="N6543" s="676"/>
    </row>
    <row r="6544" spans="14:14" x14ac:dyDescent="0.35">
      <c r="N6544" s="676"/>
    </row>
    <row r="6545" spans="14:14" x14ac:dyDescent="0.35">
      <c r="N6545" s="676"/>
    </row>
    <row r="6546" spans="14:14" x14ac:dyDescent="0.35">
      <c r="N6546" s="676"/>
    </row>
    <row r="6547" spans="14:14" x14ac:dyDescent="0.35">
      <c r="N6547" s="676"/>
    </row>
    <row r="6548" spans="14:14" x14ac:dyDescent="0.35">
      <c r="N6548" s="676"/>
    </row>
    <row r="6549" spans="14:14" x14ac:dyDescent="0.35">
      <c r="N6549" s="676"/>
    </row>
    <row r="6550" spans="14:14" x14ac:dyDescent="0.35">
      <c r="N6550" s="676"/>
    </row>
    <row r="6551" spans="14:14" x14ac:dyDescent="0.35">
      <c r="N6551" s="676"/>
    </row>
    <row r="6552" spans="14:14" x14ac:dyDescent="0.35">
      <c r="N6552" s="676"/>
    </row>
    <row r="6553" spans="14:14" x14ac:dyDescent="0.35">
      <c r="N6553" s="676"/>
    </row>
    <row r="6554" spans="14:14" x14ac:dyDescent="0.35">
      <c r="N6554" s="676"/>
    </row>
    <row r="6555" spans="14:14" x14ac:dyDescent="0.35">
      <c r="N6555" s="676"/>
    </row>
    <row r="6556" spans="14:14" x14ac:dyDescent="0.35">
      <c r="N6556" s="676"/>
    </row>
    <row r="6557" spans="14:14" x14ac:dyDescent="0.35">
      <c r="N6557" s="676"/>
    </row>
    <row r="6558" spans="14:14" x14ac:dyDescent="0.35">
      <c r="N6558" s="676"/>
    </row>
    <row r="6559" spans="14:14" x14ac:dyDescent="0.35">
      <c r="N6559" s="676"/>
    </row>
    <row r="6560" spans="14:14" x14ac:dyDescent="0.35">
      <c r="N6560" s="676"/>
    </row>
    <row r="6561" spans="14:14" x14ac:dyDescent="0.35">
      <c r="N6561" s="676"/>
    </row>
    <row r="6562" spans="14:14" x14ac:dyDescent="0.35">
      <c r="N6562" s="676"/>
    </row>
    <row r="6563" spans="14:14" x14ac:dyDescent="0.35">
      <c r="N6563" s="676"/>
    </row>
    <row r="6564" spans="14:14" x14ac:dyDescent="0.35">
      <c r="N6564" s="676"/>
    </row>
    <row r="6565" spans="14:14" x14ac:dyDescent="0.35">
      <c r="N6565" s="676"/>
    </row>
    <row r="6566" spans="14:14" x14ac:dyDescent="0.35">
      <c r="N6566" s="676"/>
    </row>
    <row r="6567" spans="14:14" x14ac:dyDescent="0.35">
      <c r="N6567" s="676"/>
    </row>
    <row r="6568" spans="14:14" x14ac:dyDescent="0.35">
      <c r="N6568" s="676"/>
    </row>
    <row r="6569" spans="14:14" x14ac:dyDescent="0.35">
      <c r="N6569" s="676"/>
    </row>
    <row r="6570" spans="14:14" x14ac:dyDescent="0.35">
      <c r="N6570" s="676"/>
    </row>
    <row r="6571" spans="14:14" x14ac:dyDescent="0.35">
      <c r="N6571" s="676"/>
    </row>
    <row r="6572" spans="14:14" x14ac:dyDescent="0.35">
      <c r="N6572" s="676"/>
    </row>
    <row r="6573" spans="14:14" x14ac:dyDescent="0.35">
      <c r="N6573" s="676"/>
    </row>
    <row r="6574" spans="14:14" x14ac:dyDescent="0.35">
      <c r="N6574" s="676"/>
    </row>
    <row r="6575" spans="14:14" x14ac:dyDescent="0.35">
      <c r="N6575" s="676"/>
    </row>
    <row r="6576" spans="14:14" x14ac:dyDescent="0.35">
      <c r="N6576" s="676"/>
    </row>
    <row r="6577" spans="14:14" x14ac:dyDescent="0.35">
      <c r="N6577" s="676"/>
    </row>
    <row r="6578" spans="14:14" x14ac:dyDescent="0.35">
      <c r="N6578" s="676"/>
    </row>
    <row r="6579" spans="14:14" x14ac:dyDescent="0.35">
      <c r="N6579" s="676"/>
    </row>
    <row r="6580" spans="14:14" x14ac:dyDescent="0.35">
      <c r="N6580" s="676"/>
    </row>
    <row r="6581" spans="14:14" x14ac:dyDescent="0.35">
      <c r="N6581" s="676"/>
    </row>
    <row r="6582" spans="14:14" x14ac:dyDescent="0.35">
      <c r="N6582" s="676"/>
    </row>
    <row r="6583" spans="14:14" x14ac:dyDescent="0.35">
      <c r="N6583" s="676"/>
    </row>
    <row r="6584" spans="14:14" x14ac:dyDescent="0.35">
      <c r="N6584" s="676"/>
    </row>
    <row r="6585" spans="14:14" x14ac:dyDescent="0.35">
      <c r="N6585" s="676"/>
    </row>
    <row r="6586" spans="14:14" x14ac:dyDescent="0.35">
      <c r="N6586" s="676"/>
    </row>
    <row r="6587" spans="14:14" x14ac:dyDescent="0.35">
      <c r="N6587" s="676"/>
    </row>
    <row r="6588" spans="14:14" x14ac:dyDescent="0.35">
      <c r="N6588" s="676"/>
    </row>
    <row r="6589" spans="14:14" x14ac:dyDescent="0.35">
      <c r="N6589" s="676"/>
    </row>
    <row r="6590" spans="14:14" x14ac:dyDescent="0.35">
      <c r="N6590" s="676"/>
    </row>
    <row r="6591" spans="14:14" x14ac:dyDescent="0.35">
      <c r="N6591" s="676"/>
    </row>
    <row r="6592" spans="14:14" x14ac:dyDescent="0.35">
      <c r="N6592" s="676"/>
    </row>
    <row r="6593" spans="14:14" x14ac:dyDescent="0.35">
      <c r="N6593" s="676"/>
    </row>
    <row r="6594" spans="14:14" x14ac:dyDescent="0.35">
      <c r="N6594" s="676"/>
    </row>
    <row r="6595" spans="14:14" x14ac:dyDescent="0.35">
      <c r="N6595" s="676"/>
    </row>
    <row r="6596" spans="14:14" x14ac:dyDescent="0.35">
      <c r="N6596" s="676"/>
    </row>
    <row r="6597" spans="14:14" x14ac:dyDescent="0.35">
      <c r="N6597" s="676"/>
    </row>
    <row r="6598" spans="14:14" x14ac:dyDescent="0.35">
      <c r="N6598" s="676"/>
    </row>
    <row r="6599" spans="14:14" x14ac:dyDescent="0.35">
      <c r="N6599" s="676"/>
    </row>
    <row r="6600" spans="14:14" x14ac:dyDescent="0.35">
      <c r="N6600" s="676"/>
    </row>
    <row r="6601" spans="14:14" x14ac:dyDescent="0.35">
      <c r="N6601" s="676"/>
    </row>
    <row r="6602" spans="14:14" x14ac:dyDescent="0.35">
      <c r="N6602" s="676"/>
    </row>
    <row r="6603" spans="14:14" x14ac:dyDescent="0.35">
      <c r="N6603" s="676"/>
    </row>
    <row r="6604" spans="14:14" x14ac:dyDescent="0.35">
      <c r="N6604" s="676"/>
    </row>
    <row r="6605" spans="14:14" x14ac:dyDescent="0.35">
      <c r="N6605" s="676"/>
    </row>
    <row r="6606" spans="14:14" x14ac:dyDescent="0.35">
      <c r="N6606" s="676"/>
    </row>
    <row r="6607" spans="14:14" x14ac:dyDescent="0.35">
      <c r="N6607" s="676"/>
    </row>
    <row r="6608" spans="14:14" x14ac:dyDescent="0.35">
      <c r="N6608" s="676"/>
    </row>
    <row r="6609" spans="14:14" x14ac:dyDescent="0.35">
      <c r="N6609" s="676"/>
    </row>
    <row r="6610" spans="14:14" x14ac:dyDescent="0.35">
      <c r="N6610" s="676"/>
    </row>
    <row r="6611" spans="14:14" x14ac:dyDescent="0.35">
      <c r="N6611" s="676"/>
    </row>
    <row r="6612" spans="14:14" x14ac:dyDescent="0.35">
      <c r="N6612" s="676"/>
    </row>
    <row r="6613" spans="14:14" x14ac:dyDescent="0.35">
      <c r="N6613" s="676"/>
    </row>
    <row r="6614" spans="14:14" x14ac:dyDescent="0.35">
      <c r="N6614" s="676"/>
    </row>
    <row r="6615" spans="14:14" x14ac:dyDescent="0.35">
      <c r="N6615" s="676"/>
    </row>
    <row r="6616" spans="14:14" x14ac:dyDescent="0.35">
      <c r="N6616" s="676"/>
    </row>
    <row r="6617" spans="14:14" x14ac:dyDescent="0.35">
      <c r="N6617" s="676"/>
    </row>
    <row r="6618" spans="14:14" x14ac:dyDescent="0.35">
      <c r="N6618" s="676"/>
    </row>
    <row r="6619" spans="14:14" x14ac:dyDescent="0.35">
      <c r="N6619" s="676"/>
    </row>
    <row r="6620" spans="14:14" x14ac:dyDescent="0.35">
      <c r="N6620" s="676"/>
    </row>
    <row r="6621" spans="14:14" x14ac:dyDescent="0.35">
      <c r="N6621" s="676"/>
    </row>
    <row r="6622" spans="14:14" x14ac:dyDescent="0.35">
      <c r="N6622" s="676"/>
    </row>
    <row r="6623" spans="14:14" x14ac:dyDescent="0.35">
      <c r="N6623" s="676"/>
    </row>
    <row r="6624" spans="14:14" x14ac:dyDescent="0.35">
      <c r="N6624" s="676"/>
    </row>
    <row r="6625" spans="14:14" x14ac:dyDescent="0.35">
      <c r="N6625" s="676"/>
    </row>
    <row r="6626" spans="14:14" x14ac:dyDescent="0.35">
      <c r="N6626" s="676"/>
    </row>
    <row r="6627" spans="14:14" x14ac:dyDescent="0.35">
      <c r="N6627" s="676"/>
    </row>
    <row r="6628" spans="14:14" x14ac:dyDescent="0.35">
      <c r="N6628" s="676"/>
    </row>
    <row r="6629" spans="14:14" x14ac:dyDescent="0.35">
      <c r="N6629" s="676"/>
    </row>
    <row r="6630" spans="14:14" x14ac:dyDescent="0.35">
      <c r="N6630" s="676"/>
    </row>
    <row r="6631" spans="14:14" x14ac:dyDescent="0.35">
      <c r="N6631" s="676"/>
    </row>
    <row r="6632" spans="14:14" x14ac:dyDescent="0.35">
      <c r="N6632" s="676"/>
    </row>
    <row r="6633" spans="14:14" x14ac:dyDescent="0.35">
      <c r="N6633" s="676"/>
    </row>
    <row r="6634" spans="14:14" x14ac:dyDescent="0.35">
      <c r="N6634" s="676"/>
    </row>
    <row r="6635" spans="14:14" x14ac:dyDescent="0.35">
      <c r="N6635" s="676"/>
    </row>
    <row r="6636" spans="14:14" x14ac:dyDescent="0.35">
      <c r="N6636" s="676"/>
    </row>
    <row r="6637" spans="14:14" x14ac:dyDescent="0.35">
      <c r="N6637" s="676"/>
    </row>
    <row r="6638" spans="14:14" x14ac:dyDescent="0.35">
      <c r="N6638" s="676"/>
    </row>
    <row r="6639" spans="14:14" x14ac:dyDescent="0.35">
      <c r="N6639" s="676"/>
    </row>
    <row r="6640" spans="14:14" x14ac:dyDescent="0.35">
      <c r="N6640" s="676"/>
    </row>
    <row r="6641" spans="14:14" x14ac:dyDescent="0.35">
      <c r="N6641" s="676"/>
    </row>
    <row r="6642" spans="14:14" x14ac:dyDescent="0.35">
      <c r="N6642" s="676"/>
    </row>
    <row r="6643" spans="14:14" x14ac:dyDescent="0.35">
      <c r="N6643" s="676"/>
    </row>
    <row r="6644" spans="14:14" x14ac:dyDescent="0.35">
      <c r="N6644" s="676"/>
    </row>
    <row r="6645" spans="14:14" x14ac:dyDescent="0.35">
      <c r="N6645" s="676"/>
    </row>
    <row r="6646" spans="14:14" x14ac:dyDescent="0.35">
      <c r="N6646" s="676"/>
    </row>
    <row r="6647" spans="14:14" x14ac:dyDescent="0.35">
      <c r="N6647" s="676"/>
    </row>
    <row r="6648" spans="14:14" x14ac:dyDescent="0.35">
      <c r="N6648" s="676"/>
    </row>
    <row r="6649" spans="14:14" x14ac:dyDescent="0.35">
      <c r="N6649" s="676"/>
    </row>
    <row r="6650" spans="14:14" x14ac:dyDescent="0.35">
      <c r="N6650" s="676"/>
    </row>
    <row r="6651" spans="14:14" x14ac:dyDescent="0.35">
      <c r="N6651" s="676"/>
    </row>
    <row r="6652" spans="14:14" x14ac:dyDescent="0.35">
      <c r="N6652" s="676"/>
    </row>
    <row r="6653" spans="14:14" x14ac:dyDescent="0.35">
      <c r="N6653" s="676"/>
    </row>
    <row r="6654" spans="14:14" x14ac:dyDescent="0.35">
      <c r="N6654" s="676"/>
    </row>
    <row r="6655" spans="14:14" x14ac:dyDescent="0.35">
      <c r="N6655" s="676"/>
    </row>
    <row r="6656" spans="14:14" x14ac:dyDescent="0.35">
      <c r="N6656" s="676"/>
    </row>
    <row r="6657" spans="14:14" x14ac:dyDescent="0.35">
      <c r="N6657" s="676"/>
    </row>
    <row r="6658" spans="14:14" x14ac:dyDescent="0.35">
      <c r="N6658" s="676"/>
    </row>
    <row r="6659" spans="14:14" x14ac:dyDescent="0.35">
      <c r="N6659" s="676"/>
    </row>
    <row r="6660" spans="14:14" x14ac:dyDescent="0.35">
      <c r="N6660" s="676"/>
    </row>
    <row r="6661" spans="14:14" x14ac:dyDescent="0.35">
      <c r="N6661" s="676"/>
    </row>
    <row r="6662" spans="14:14" x14ac:dyDescent="0.35">
      <c r="N6662" s="676"/>
    </row>
    <row r="6663" spans="14:14" x14ac:dyDescent="0.35">
      <c r="N6663" s="676"/>
    </row>
    <row r="6664" spans="14:14" x14ac:dyDescent="0.35">
      <c r="N6664" s="676"/>
    </row>
    <row r="6665" spans="14:14" x14ac:dyDescent="0.35">
      <c r="N6665" s="676"/>
    </row>
    <row r="6666" spans="14:14" x14ac:dyDescent="0.35">
      <c r="N6666" s="676"/>
    </row>
    <row r="6667" spans="14:14" x14ac:dyDescent="0.35">
      <c r="N6667" s="676"/>
    </row>
    <row r="6668" spans="14:14" x14ac:dyDescent="0.35">
      <c r="N6668" s="676"/>
    </row>
    <row r="6669" spans="14:14" x14ac:dyDescent="0.35">
      <c r="N6669" s="676"/>
    </row>
    <row r="6670" spans="14:14" x14ac:dyDescent="0.35">
      <c r="N6670" s="676"/>
    </row>
    <row r="6671" spans="14:14" x14ac:dyDescent="0.35">
      <c r="N6671" s="676"/>
    </row>
    <row r="6672" spans="14:14" x14ac:dyDescent="0.35">
      <c r="N6672" s="676"/>
    </row>
    <row r="6673" spans="14:14" x14ac:dyDescent="0.35">
      <c r="N6673" s="676"/>
    </row>
    <row r="6674" spans="14:14" x14ac:dyDescent="0.35">
      <c r="N6674" s="676"/>
    </row>
    <row r="6675" spans="14:14" x14ac:dyDescent="0.35">
      <c r="N6675" s="676"/>
    </row>
    <row r="6676" spans="14:14" x14ac:dyDescent="0.35">
      <c r="N6676" s="676"/>
    </row>
    <row r="6677" spans="14:14" x14ac:dyDescent="0.35">
      <c r="N6677" s="676"/>
    </row>
    <row r="6678" spans="14:14" x14ac:dyDescent="0.35">
      <c r="N6678" s="676"/>
    </row>
    <row r="6679" spans="14:14" x14ac:dyDescent="0.35">
      <c r="N6679" s="676"/>
    </row>
    <row r="6680" spans="14:14" x14ac:dyDescent="0.35">
      <c r="N6680" s="676"/>
    </row>
    <row r="6681" spans="14:14" x14ac:dyDescent="0.35">
      <c r="N6681" s="676"/>
    </row>
    <row r="6682" spans="14:14" x14ac:dyDescent="0.35">
      <c r="N6682" s="676"/>
    </row>
    <row r="6683" spans="14:14" x14ac:dyDescent="0.35">
      <c r="N6683" s="676"/>
    </row>
    <row r="6684" spans="14:14" x14ac:dyDescent="0.35">
      <c r="N6684" s="676"/>
    </row>
    <row r="6685" spans="14:14" x14ac:dyDescent="0.35">
      <c r="N6685" s="676"/>
    </row>
    <row r="6686" spans="14:14" x14ac:dyDescent="0.35">
      <c r="N6686" s="676"/>
    </row>
    <row r="6687" spans="14:14" x14ac:dyDescent="0.35">
      <c r="N6687" s="676"/>
    </row>
    <row r="6688" spans="14:14" x14ac:dyDescent="0.35">
      <c r="N6688" s="676"/>
    </row>
    <row r="6689" spans="14:14" x14ac:dyDescent="0.35">
      <c r="N6689" s="676"/>
    </row>
    <row r="6690" spans="14:14" x14ac:dyDescent="0.35">
      <c r="N6690" s="676"/>
    </row>
    <row r="6691" spans="14:14" x14ac:dyDescent="0.35">
      <c r="N6691" s="676"/>
    </row>
    <row r="6692" spans="14:14" x14ac:dyDescent="0.35">
      <c r="N6692" s="676"/>
    </row>
    <row r="6693" spans="14:14" x14ac:dyDescent="0.35">
      <c r="N6693" s="676"/>
    </row>
    <row r="6694" spans="14:14" x14ac:dyDescent="0.35">
      <c r="N6694" s="676"/>
    </row>
    <row r="6695" spans="14:14" x14ac:dyDescent="0.35">
      <c r="N6695" s="676"/>
    </row>
    <row r="6696" spans="14:14" x14ac:dyDescent="0.35">
      <c r="N6696" s="676"/>
    </row>
    <row r="6697" spans="14:14" x14ac:dyDescent="0.35">
      <c r="N6697" s="676"/>
    </row>
    <row r="6698" spans="14:14" x14ac:dyDescent="0.35">
      <c r="N6698" s="676"/>
    </row>
    <row r="6699" spans="14:14" x14ac:dyDescent="0.35">
      <c r="N6699" s="676"/>
    </row>
    <row r="6700" spans="14:14" x14ac:dyDescent="0.35">
      <c r="N6700" s="676"/>
    </row>
    <row r="6701" spans="14:14" x14ac:dyDescent="0.35">
      <c r="N6701" s="676"/>
    </row>
    <row r="6702" spans="14:14" x14ac:dyDescent="0.35">
      <c r="N6702" s="676"/>
    </row>
    <row r="6703" spans="14:14" x14ac:dyDescent="0.35">
      <c r="N6703" s="676"/>
    </row>
    <row r="6704" spans="14:14" x14ac:dyDescent="0.35">
      <c r="N6704" s="676"/>
    </row>
    <row r="6705" spans="14:14" x14ac:dyDescent="0.35">
      <c r="N6705" s="676"/>
    </row>
    <row r="6706" spans="14:14" x14ac:dyDescent="0.35">
      <c r="N6706" s="676"/>
    </row>
    <row r="6707" spans="14:14" x14ac:dyDescent="0.35">
      <c r="N6707" s="676"/>
    </row>
    <row r="6708" spans="14:14" x14ac:dyDescent="0.35">
      <c r="N6708" s="676"/>
    </row>
    <row r="6709" spans="14:14" x14ac:dyDescent="0.35">
      <c r="N6709" s="676"/>
    </row>
    <row r="6710" spans="14:14" x14ac:dyDescent="0.35">
      <c r="N6710" s="676"/>
    </row>
    <row r="6711" spans="14:14" x14ac:dyDescent="0.35">
      <c r="N6711" s="676"/>
    </row>
    <row r="6712" spans="14:14" x14ac:dyDescent="0.35">
      <c r="N6712" s="676"/>
    </row>
    <row r="6713" spans="14:14" x14ac:dyDescent="0.35">
      <c r="N6713" s="676"/>
    </row>
    <row r="6714" spans="14:14" x14ac:dyDescent="0.35">
      <c r="N6714" s="676"/>
    </row>
    <row r="6715" spans="14:14" x14ac:dyDescent="0.35">
      <c r="N6715" s="676"/>
    </row>
    <row r="6716" spans="14:14" x14ac:dyDescent="0.35">
      <c r="N6716" s="676"/>
    </row>
    <row r="6717" spans="14:14" x14ac:dyDescent="0.35">
      <c r="N6717" s="676"/>
    </row>
    <row r="6718" spans="14:14" x14ac:dyDescent="0.35">
      <c r="N6718" s="676"/>
    </row>
    <row r="6719" spans="14:14" x14ac:dyDescent="0.35">
      <c r="N6719" s="676"/>
    </row>
    <row r="6720" spans="14:14" x14ac:dyDescent="0.35">
      <c r="N6720" s="676"/>
    </row>
    <row r="6721" spans="14:14" x14ac:dyDescent="0.35">
      <c r="N6721" s="676"/>
    </row>
    <row r="6722" spans="14:14" x14ac:dyDescent="0.35">
      <c r="N6722" s="676"/>
    </row>
    <row r="6723" spans="14:14" x14ac:dyDescent="0.35">
      <c r="N6723" s="676"/>
    </row>
    <row r="6724" spans="14:14" x14ac:dyDescent="0.35">
      <c r="N6724" s="676"/>
    </row>
    <row r="6725" spans="14:14" x14ac:dyDescent="0.35">
      <c r="N6725" s="676"/>
    </row>
    <row r="6726" spans="14:14" x14ac:dyDescent="0.35">
      <c r="N6726" s="676"/>
    </row>
    <row r="6727" spans="14:14" x14ac:dyDescent="0.35">
      <c r="N6727" s="676"/>
    </row>
    <row r="6728" spans="14:14" x14ac:dyDescent="0.35">
      <c r="N6728" s="676"/>
    </row>
    <row r="6729" spans="14:14" x14ac:dyDescent="0.35">
      <c r="N6729" s="676"/>
    </row>
    <row r="6730" spans="14:14" x14ac:dyDescent="0.35">
      <c r="N6730" s="676"/>
    </row>
    <row r="6731" spans="14:14" x14ac:dyDescent="0.35">
      <c r="N6731" s="676"/>
    </row>
    <row r="6732" spans="14:14" x14ac:dyDescent="0.35">
      <c r="N6732" s="676"/>
    </row>
    <row r="6733" spans="14:14" x14ac:dyDescent="0.35">
      <c r="N6733" s="676"/>
    </row>
    <row r="6734" spans="14:14" x14ac:dyDescent="0.35">
      <c r="N6734" s="676"/>
    </row>
    <row r="6735" spans="14:14" x14ac:dyDescent="0.35">
      <c r="N6735" s="676"/>
    </row>
    <row r="6736" spans="14:14" x14ac:dyDescent="0.35">
      <c r="N6736" s="676"/>
    </row>
    <row r="6737" spans="14:14" x14ac:dyDescent="0.35">
      <c r="N6737" s="676"/>
    </row>
    <row r="6738" spans="14:14" x14ac:dyDescent="0.35">
      <c r="N6738" s="676"/>
    </row>
    <row r="6739" spans="14:14" x14ac:dyDescent="0.35">
      <c r="N6739" s="676"/>
    </row>
    <row r="6740" spans="14:14" x14ac:dyDescent="0.35">
      <c r="N6740" s="676"/>
    </row>
    <row r="6741" spans="14:14" x14ac:dyDescent="0.35">
      <c r="N6741" s="676"/>
    </row>
    <row r="6742" spans="14:14" x14ac:dyDescent="0.35">
      <c r="N6742" s="676"/>
    </row>
    <row r="6743" spans="14:14" x14ac:dyDescent="0.35">
      <c r="N6743" s="676"/>
    </row>
    <row r="6744" spans="14:14" x14ac:dyDescent="0.35">
      <c r="N6744" s="676"/>
    </row>
    <row r="6745" spans="14:14" x14ac:dyDescent="0.35">
      <c r="N6745" s="676"/>
    </row>
    <row r="6746" spans="14:14" x14ac:dyDescent="0.35">
      <c r="N6746" s="676"/>
    </row>
    <row r="6747" spans="14:14" x14ac:dyDescent="0.35">
      <c r="N6747" s="676"/>
    </row>
    <row r="6748" spans="14:14" x14ac:dyDescent="0.35">
      <c r="N6748" s="676"/>
    </row>
    <row r="6749" spans="14:14" x14ac:dyDescent="0.35">
      <c r="N6749" s="676"/>
    </row>
    <row r="6750" spans="14:14" x14ac:dyDescent="0.35">
      <c r="N6750" s="676"/>
    </row>
    <row r="6751" spans="14:14" x14ac:dyDescent="0.35">
      <c r="N6751" s="676"/>
    </row>
    <row r="6752" spans="14:14" x14ac:dyDescent="0.35">
      <c r="N6752" s="676"/>
    </row>
    <row r="6753" spans="14:14" x14ac:dyDescent="0.35">
      <c r="N6753" s="676"/>
    </row>
    <row r="6754" spans="14:14" x14ac:dyDescent="0.35">
      <c r="N6754" s="676"/>
    </row>
    <row r="6755" spans="14:14" x14ac:dyDescent="0.35">
      <c r="N6755" s="676"/>
    </row>
    <row r="6756" spans="14:14" x14ac:dyDescent="0.35">
      <c r="N6756" s="676"/>
    </row>
    <row r="6757" spans="14:14" x14ac:dyDescent="0.35">
      <c r="N6757" s="676"/>
    </row>
    <row r="6758" spans="14:14" x14ac:dyDescent="0.35">
      <c r="N6758" s="676"/>
    </row>
    <row r="6759" spans="14:14" x14ac:dyDescent="0.35">
      <c r="N6759" s="676"/>
    </row>
    <row r="6760" spans="14:14" x14ac:dyDescent="0.35">
      <c r="N6760" s="676"/>
    </row>
    <row r="6761" spans="14:14" x14ac:dyDescent="0.35">
      <c r="N6761" s="676"/>
    </row>
    <row r="6762" spans="14:14" x14ac:dyDescent="0.35">
      <c r="N6762" s="676"/>
    </row>
    <row r="6763" spans="14:14" x14ac:dyDescent="0.35">
      <c r="N6763" s="676"/>
    </row>
    <row r="6764" spans="14:14" x14ac:dyDescent="0.35">
      <c r="N6764" s="676"/>
    </row>
    <row r="6765" spans="14:14" x14ac:dyDescent="0.35">
      <c r="N6765" s="676"/>
    </row>
    <row r="6766" spans="14:14" x14ac:dyDescent="0.35">
      <c r="N6766" s="676"/>
    </row>
    <row r="6767" spans="14:14" x14ac:dyDescent="0.35">
      <c r="N6767" s="676"/>
    </row>
    <row r="6768" spans="14:14" x14ac:dyDescent="0.35">
      <c r="N6768" s="676"/>
    </row>
    <row r="6769" spans="14:14" x14ac:dyDescent="0.35">
      <c r="N6769" s="676"/>
    </row>
    <row r="6770" spans="14:14" x14ac:dyDescent="0.35">
      <c r="N6770" s="676"/>
    </row>
    <row r="6771" spans="14:14" x14ac:dyDescent="0.35">
      <c r="N6771" s="676"/>
    </row>
    <row r="6772" spans="14:14" x14ac:dyDescent="0.35">
      <c r="N6772" s="676"/>
    </row>
    <row r="6773" spans="14:14" x14ac:dyDescent="0.35">
      <c r="N6773" s="676"/>
    </row>
    <row r="6774" spans="14:14" x14ac:dyDescent="0.35">
      <c r="N6774" s="676"/>
    </row>
    <row r="6775" spans="14:14" x14ac:dyDescent="0.35">
      <c r="N6775" s="676"/>
    </row>
    <row r="6776" spans="14:14" x14ac:dyDescent="0.35">
      <c r="N6776" s="676"/>
    </row>
    <row r="6777" spans="14:14" x14ac:dyDescent="0.35">
      <c r="N6777" s="676"/>
    </row>
    <row r="6778" spans="14:14" x14ac:dyDescent="0.35">
      <c r="N6778" s="676"/>
    </row>
    <row r="6779" spans="14:14" x14ac:dyDescent="0.35">
      <c r="N6779" s="676"/>
    </row>
    <row r="6780" spans="14:14" x14ac:dyDescent="0.35">
      <c r="N6780" s="676"/>
    </row>
    <row r="6781" spans="14:14" x14ac:dyDescent="0.35">
      <c r="N6781" s="676"/>
    </row>
    <row r="6782" spans="14:14" x14ac:dyDescent="0.35">
      <c r="N6782" s="676"/>
    </row>
    <row r="6783" spans="14:14" x14ac:dyDescent="0.35">
      <c r="N6783" s="676"/>
    </row>
    <row r="6784" spans="14:14" x14ac:dyDescent="0.35">
      <c r="N6784" s="676"/>
    </row>
    <row r="6785" spans="14:14" x14ac:dyDescent="0.35">
      <c r="N6785" s="676"/>
    </row>
    <row r="6786" spans="14:14" x14ac:dyDescent="0.35">
      <c r="N6786" s="676"/>
    </row>
    <row r="6787" spans="14:14" x14ac:dyDescent="0.35">
      <c r="N6787" s="676"/>
    </row>
    <row r="6788" spans="14:14" x14ac:dyDescent="0.35">
      <c r="N6788" s="676"/>
    </row>
    <row r="6789" spans="14:14" x14ac:dyDescent="0.35">
      <c r="N6789" s="676"/>
    </row>
    <row r="6790" spans="14:14" x14ac:dyDescent="0.35">
      <c r="N6790" s="676"/>
    </row>
    <row r="6791" spans="14:14" x14ac:dyDescent="0.35">
      <c r="N6791" s="676"/>
    </row>
    <row r="6792" spans="14:14" x14ac:dyDescent="0.35">
      <c r="N6792" s="676"/>
    </row>
    <row r="6793" spans="14:14" x14ac:dyDescent="0.35">
      <c r="N6793" s="676"/>
    </row>
    <row r="6794" spans="14:14" x14ac:dyDescent="0.35">
      <c r="N6794" s="676"/>
    </row>
    <row r="6795" spans="14:14" x14ac:dyDescent="0.35">
      <c r="N6795" s="676"/>
    </row>
    <row r="6796" spans="14:14" x14ac:dyDescent="0.35">
      <c r="N6796" s="676"/>
    </row>
    <row r="6797" spans="14:14" x14ac:dyDescent="0.35">
      <c r="N6797" s="676"/>
    </row>
    <row r="6798" spans="14:14" x14ac:dyDescent="0.35">
      <c r="N6798" s="676"/>
    </row>
    <row r="6799" spans="14:14" x14ac:dyDescent="0.35">
      <c r="N6799" s="676"/>
    </row>
    <row r="6800" spans="14:14" x14ac:dyDescent="0.35">
      <c r="N6800" s="676"/>
    </row>
    <row r="6801" spans="14:14" x14ac:dyDescent="0.35">
      <c r="N6801" s="676"/>
    </row>
    <row r="6802" spans="14:14" x14ac:dyDescent="0.35">
      <c r="N6802" s="676"/>
    </row>
    <row r="6803" spans="14:14" x14ac:dyDescent="0.35">
      <c r="N6803" s="676"/>
    </row>
    <row r="6804" spans="14:14" x14ac:dyDescent="0.35">
      <c r="N6804" s="676"/>
    </row>
    <row r="6805" spans="14:14" x14ac:dyDescent="0.35">
      <c r="N6805" s="676"/>
    </row>
    <row r="6806" spans="14:14" x14ac:dyDescent="0.35">
      <c r="N6806" s="676"/>
    </row>
    <row r="6807" spans="14:14" x14ac:dyDescent="0.35">
      <c r="N6807" s="676"/>
    </row>
    <row r="6808" spans="14:14" x14ac:dyDescent="0.35">
      <c r="N6808" s="676"/>
    </row>
    <row r="6809" spans="14:14" x14ac:dyDescent="0.35">
      <c r="N6809" s="676"/>
    </row>
    <row r="6810" spans="14:14" x14ac:dyDescent="0.35">
      <c r="N6810" s="676"/>
    </row>
    <row r="6811" spans="14:14" x14ac:dyDescent="0.35">
      <c r="N6811" s="676"/>
    </row>
    <row r="6812" spans="14:14" x14ac:dyDescent="0.35">
      <c r="N6812" s="676"/>
    </row>
    <row r="6813" spans="14:14" x14ac:dyDescent="0.35">
      <c r="N6813" s="676"/>
    </row>
    <row r="6814" spans="14:14" x14ac:dyDescent="0.35">
      <c r="N6814" s="676"/>
    </row>
    <row r="6815" spans="14:14" x14ac:dyDescent="0.35">
      <c r="N6815" s="676"/>
    </row>
    <row r="6816" spans="14:14" x14ac:dyDescent="0.35">
      <c r="N6816" s="676"/>
    </row>
    <row r="6817" spans="14:14" x14ac:dyDescent="0.35">
      <c r="N6817" s="676"/>
    </row>
    <row r="6818" spans="14:14" x14ac:dyDescent="0.35">
      <c r="N6818" s="676"/>
    </row>
    <row r="6819" spans="14:14" x14ac:dyDescent="0.35">
      <c r="N6819" s="676"/>
    </row>
    <row r="6820" spans="14:14" x14ac:dyDescent="0.35">
      <c r="N6820" s="676"/>
    </row>
    <row r="6821" spans="14:14" x14ac:dyDescent="0.35">
      <c r="N6821" s="676"/>
    </row>
    <row r="6822" spans="14:14" x14ac:dyDescent="0.35">
      <c r="N6822" s="676"/>
    </row>
    <row r="6823" spans="14:14" x14ac:dyDescent="0.35">
      <c r="N6823" s="676"/>
    </row>
    <row r="6824" spans="14:14" x14ac:dyDescent="0.35">
      <c r="N6824" s="676"/>
    </row>
    <row r="6825" spans="14:14" x14ac:dyDescent="0.35">
      <c r="N6825" s="676"/>
    </row>
    <row r="6826" spans="14:14" x14ac:dyDescent="0.35">
      <c r="N6826" s="676"/>
    </row>
    <row r="6827" spans="14:14" x14ac:dyDescent="0.35">
      <c r="N6827" s="676"/>
    </row>
    <row r="6828" spans="14:14" x14ac:dyDescent="0.35">
      <c r="N6828" s="676"/>
    </row>
    <row r="6829" spans="14:14" x14ac:dyDescent="0.35">
      <c r="N6829" s="676"/>
    </row>
    <row r="6830" spans="14:14" x14ac:dyDescent="0.35">
      <c r="N6830" s="676"/>
    </row>
    <row r="6831" spans="14:14" x14ac:dyDescent="0.35">
      <c r="N6831" s="676"/>
    </row>
    <row r="6832" spans="14:14" x14ac:dyDescent="0.35">
      <c r="N6832" s="676"/>
    </row>
    <row r="6833" spans="14:14" x14ac:dyDescent="0.35">
      <c r="N6833" s="676"/>
    </row>
    <row r="6834" spans="14:14" x14ac:dyDescent="0.35">
      <c r="N6834" s="676"/>
    </row>
    <row r="6835" spans="14:14" x14ac:dyDescent="0.35">
      <c r="N6835" s="676"/>
    </row>
    <row r="6836" spans="14:14" x14ac:dyDescent="0.35">
      <c r="N6836" s="676"/>
    </row>
    <row r="6837" spans="14:14" x14ac:dyDescent="0.35">
      <c r="N6837" s="676"/>
    </row>
    <row r="6838" spans="14:14" x14ac:dyDescent="0.35">
      <c r="N6838" s="676"/>
    </row>
    <row r="6839" spans="14:14" x14ac:dyDescent="0.35">
      <c r="N6839" s="676"/>
    </row>
    <row r="6840" spans="14:14" x14ac:dyDescent="0.35">
      <c r="N6840" s="676"/>
    </row>
    <row r="6841" spans="14:14" x14ac:dyDescent="0.35">
      <c r="N6841" s="676"/>
    </row>
    <row r="6842" spans="14:14" x14ac:dyDescent="0.35">
      <c r="N6842" s="676"/>
    </row>
    <row r="6843" spans="14:14" x14ac:dyDescent="0.35">
      <c r="N6843" s="676"/>
    </row>
    <row r="6844" spans="14:14" x14ac:dyDescent="0.35">
      <c r="N6844" s="676"/>
    </row>
    <row r="6845" spans="14:14" x14ac:dyDescent="0.35">
      <c r="N6845" s="676"/>
    </row>
    <row r="6846" spans="14:14" x14ac:dyDescent="0.35">
      <c r="N6846" s="676"/>
    </row>
    <row r="6847" spans="14:14" x14ac:dyDescent="0.35">
      <c r="N6847" s="676"/>
    </row>
    <row r="6848" spans="14:14" x14ac:dyDescent="0.35">
      <c r="N6848" s="676"/>
    </row>
    <row r="6849" spans="14:14" x14ac:dyDescent="0.35">
      <c r="N6849" s="676"/>
    </row>
    <row r="6850" spans="14:14" x14ac:dyDescent="0.35">
      <c r="N6850" s="676"/>
    </row>
    <row r="6851" spans="14:14" x14ac:dyDescent="0.35">
      <c r="N6851" s="676"/>
    </row>
    <row r="6852" spans="14:14" x14ac:dyDescent="0.35">
      <c r="N6852" s="676"/>
    </row>
    <row r="6853" spans="14:14" x14ac:dyDescent="0.35">
      <c r="N6853" s="676"/>
    </row>
    <row r="6854" spans="14:14" x14ac:dyDescent="0.35">
      <c r="N6854" s="676"/>
    </row>
    <row r="6855" spans="14:14" x14ac:dyDescent="0.35">
      <c r="N6855" s="676"/>
    </row>
    <row r="6856" spans="14:14" x14ac:dyDescent="0.35">
      <c r="N6856" s="676"/>
    </row>
    <row r="6857" spans="14:14" x14ac:dyDescent="0.35">
      <c r="N6857" s="676"/>
    </row>
    <row r="6858" spans="14:14" x14ac:dyDescent="0.35">
      <c r="N6858" s="676"/>
    </row>
    <row r="6859" spans="14:14" x14ac:dyDescent="0.35">
      <c r="N6859" s="676"/>
    </row>
    <row r="6860" spans="14:14" x14ac:dyDescent="0.35">
      <c r="N6860" s="676"/>
    </row>
    <row r="6861" spans="14:14" x14ac:dyDescent="0.35">
      <c r="N6861" s="676"/>
    </row>
    <row r="6862" spans="14:14" x14ac:dyDescent="0.35">
      <c r="N6862" s="676"/>
    </row>
    <row r="6863" spans="14:14" x14ac:dyDescent="0.35">
      <c r="N6863" s="676"/>
    </row>
    <row r="6864" spans="14:14" x14ac:dyDescent="0.35">
      <c r="N6864" s="676"/>
    </row>
    <row r="6865" spans="14:14" x14ac:dyDescent="0.35">
      <c r="N6865" s="676"/>
    </row>
    <row r="6866" spans="14:14" x14ac:dyDescent="0.35">
      <c r="N6866" s="676"/>
    </row>
    <row r="6867" spans="14:14" x14ac:dyDescent="0.35">
      <c r="N6867" s="676"/>
    </row>
    <row r="6868" spans="14:14" x14ac:dyDescent="0.35">
      <c r="N6868" s="676"/>
    </row>
    <row r="6869" spans="14:14" x14ac:dyDescent="0.35">
      <c r="N6869" s="676"/>
    </row>
    <row r="6870" spans="14:14" x14ac:dyDescent="0.35">
      <c r="N6870" s="676"/>
    </row>
    <row r="6871" spans="14:14" x14ac:dyDescent="0.35">
      <c r="N6871" s="676"/>
    </row>
    <row r="6872" spans="14:14" x14ac:dyDescent="0.35">
      <c r="N6872" s="676"/>
    </row>
    <row r="6873" spans="14:14" x14ac:dyDescent="0.35">
      <c r="N6873" s="676"/>
    </row>
    <row r="6874" spans="14:14" x14ac:dyDescent="0.35">
      <c r="N6874" s="676"/>
    </row>
    <row r="6875" spans="14:14" x14ac:dyDescent="0.35">
      <c r="N6875" s="676"/>
    </row>
    <row r="6876" spans="14:14" x14ac:dyDescent="0.35">
      <c r="N6876" s="676"/>
    </row>
    <row r="6877" spans="14:14" x14ac:dyDescent="0.35">
      <c r="N6877" s="676"/>
    </row>
    <row r="6878" spans="14:14" x14ac:dyDescent="0.35">
      <c r="N6878" s="676"/>
    </row>
    <row r="6879" spans="14:14" x14ac:dyDescent="0.35">
      <c r="N6879" s="676"/>
    </row>
    <row r="6880" spans="14:14" x14ac:dyDescent="0.35">
      <c r="N6880" s="676"/>
    </row>
    <row r="6881" spans="14:14" x14ac:dyDescent="0.35">
      <c r="N6881" s="676"/>
    </row>
    <row r="6882" spans="14:14" x14ac:dyDescent="0.35">
      <c r="N6882" s="676"/>
    </row>
    <row r="6883" spans="14:14" x14ac:dyDescent="0.35">
      <c r="N6883" s="676"/>
    </row>
    <row r="6884" spans="14:14" x14ac:dyDescent="0.35">
      <c r="N6884" s="676"/>
    </row>
    <row r="6885" spans="14:14" x14ac:dyDescent="0.35">
      <c r="N6885" s="676"/>
    </row>
    <row r="6886" spans="14:14" x14ac:dyDescent="0.35">
      <c r="N6886" s="676"/>
    </row>
    <row r="6887" spans="14:14" x14ac:dyDescent="0.35">
      <c r="N6887" s="676"/>
    </row>
    <row r="6888" spans="14:14" x14ac:dyDescent="0.35">
      <c r="N6888" s="676"/>
    </row>
    <row r="6889" spans="14:14" x14ac:dyDescent="0.35">
      <c r="N6889" s="676"/>
    </row>
    <row r="6890" spans="14:14" x14ac:dyDescent="0.35">
      <c r="N6890" s="676"/>
    </row>
    <row r="6891" spans="14:14" x14ac:dyDescent="0.35">
      <c r="N6891" s="676"/>
    </row>
    <row r="6892" spans="14:14" x14ac:dyDescent="0.35">
      <c r="N6892" s="676"/>
    </row>
    <row r="6893" spans="14:14" x14ac:dyDescent="0.35">
      <c r="N6893" s="676"/>
    </row>
    <row r="6894" spans="14:14" x14ac:dyDescent="0.35">
      <c r="N6894" s="676"/>
    </row>
    <row r="6895" spans="14:14" x14ac:dyDescent="0.35">
      <c r="N6895" s="676"/>
    </row>
    <row r="6896" spans="14:14" x14ac:dyDescent="0.35">
      <c r="N6896" s="676"/>
    </row>
    <row r="6897" spans="14:14" x14ac:dyDescent="0.35">
      <c r="N6897" s="676"/>
    </row>
    <row r="6898" spans="14:14" x14ac:dyDescent="0.35">
      <c r="N6898" s="676"/>
    </row>
    <row r="6899" spans="14:14" x14ac:dyDescent="0.35">
      <c r="N6899" s="676"/>
    </row>
    <row r="6900" spans="14:14" x14ac:dyDescent="0.35">
      <c r="N6900" s="676"/>
    </row>
    <row r="6901" spans="14:14" x14ac:dyDescent="0.35">
      <c r="N6901" s="676"/>
    </row>
    <row r="6902" spans="14:14" x14ac:dyDescent="0.35">
      <c r="N6902" s="676"/>
    </row>
    <row r="6903" spans="14:14" x14ac:dyDescent="0.35">
      <c r="N6903" s="676"/>
    </row>
    <row r="6904" spans="14:14" x14ac:dyDescent="0.35">
      <c r="N6904" s="676"/>
    </row>
    <row r="6905" spans="14:14" x14ac:dyDescent="0.35">
      <c r="N6905" s="676"/>
    </row>
    <row r="6906" spans="14:14" x14ac:dyDescent="0.35">
      <c r="N6906" s="676"/>
    </row>
    <row r="6907" spans="14:14" x14ac:dyDescent="0.35">
      <c r="N6907" s="676"/>
    </row>
    <row r="6908" spans="14:14" x14ac:dyDescent="0.35">
      <c r="N6908" s="676"/>
    </row>
    <row r="6909" spans="14:14" x14ac:dyDescent="0.35">
      <c r="N6909" s="676"/>
    </row>
    <row r="6910" spans="14:14" x14ac:dyDescent="0.35">
      <c r="N6910" s="676"/>
    </row>
    <row r="6911" spans="14:14" x14ac:dyDescent="0.35">
      <c r="N6911" s="676"/>
    </row>
    <row r="6912" spans="14:14" x14ac:dyDescent="0.35">
      <c r="N6912" s="676"/>
    </row>
    <row r="6913" spans="14:14" x14ac:dyDescent="0.35">
      <c r="N6913" s="676"/>
    </row>
    <row r="6914" spans="14:14" x14ac:dyDescent="0.35">
      <c r="N6914" s="676"/>
    </row>
    <row r="6915" spans="14:14" x14ac:dyDescent="0.35">
      <c r="N6915" s="676"/>
    </row>
    <row r="6916" spans="14:14" x14ac:dyDescent="0.35">
      <c r="N6916" s="676"/>
    </row>
    <row r="6917" spans="14:14" x14ac:dyDescent="0.35">
      <c r="N6917" s="676"/>
    </row>
    <row r="6918" spans="14:14" x14ac:dyDescent="0.35">
      <c r="N6918" s="676"/>
    </row>
    <row r="6919" spans="14:14" x14ac:dyDescent="0.35">
      <c r="N6919" s="676"/>
    </row>
    <row r="6920" spans="14:14" x14ac:dyDescent="0.35">
      <c r="N6920" s="676"/>
    </row>
    <row r="6921" spans="14:14" x14ac:dyDescent="0.35">
      <c r="N6921" s="676"/>
    </row>
    <row r="6922" spans="14:14" x14ac:dyDescent="0.35">
      <c r="N6922" s="676"/>
    </row>
    <row r="6923" spans="14:14" x14ac:dyDescent="0.35">
      <c r="N6923" s="676"/>
    </row>
    <row r="6924" spans="14:14" x14ac:dyDescent="0.35">
      <c r="N6924" s="676"/>
    </row>
    <row r="6925" spans="14:14" x14ac:dyDescent="0.35">
      <c r="N6925" s="676"/>
    </row>
    <row r="6926" spans="14:14" x14ac:dyDescent="0.35">
      <c r="N6926" s="676"/>
    </row>
    <row r="6927" spans="14:14" x14ac:dyDescent="0.35">
      <c r="N6927" s="676"/>
    </row>
    <row r="6928" spans="14:14" x14ac:dyDescent="0.35">
      <c r="N6928" s="676"/>
    </row>
    <row r="6929" spans="14:14" x14ac:dyDescent="0.35">
      <c r="N6929" s="676"/>
    </row>
    <row r="6930" spans="14:14" x14ac:dyDescent="0.35">
      <c r="N6930" s="676"/>
    </row>
    <row r="6931" spans="14:14" x14ac:dyDescent="0.35">
      <c r="N6931" s="676"/>
    </row>
    <row r="6932" spans="14:14" x14ac:dyDescent="0.35">
      <c r="N6932" s="676"/>
    </row>
    <row r="6933" spans="14:14" x14ac:dyDescent="0.35">
      <c r="N6933" s="676"/>
    </row>
    <row r="6934" spans="14:14" x14ac:dyDescent="0.35">
      <c r="N6934" s="676"/>
    </row>
    <row r="6935" spans="14:14" x14ac:dyDescent="0.35">
      <c r="N6935" s="676"/>
    </row>
    <row r="6936" spans="14:14" x14ac:dyDescent="0.35">
      <c r="N6936" s="676"/>
    </row>
    <row r="6937" spans="14:14" x14ac:dyDescent="0.35">
      <c r="N6937" s="676"/>
    </row>
    <row r="6938" spans="14:14" x14ac:dyDescent="0.35">
      <c r="N6938" s="676"/>
    </row>
    <row r="6939" spans="14:14" x14ac:dyDescent="0.35">
      <c r="N6939" s="676"/>
    </row>
    <row r="6940" spans="14:14" x14ac:dyDescent="0.35">
      <c r="N6940" s="676"/>
    </row>
    <row r="6941" spans="14:14" x14ac:dyDescent="0.35">
      <c r="N6941" s="676"/>
    </row>
    <row r="6942" spans="14:14" x14ac:dyDescent="0.35">
      <c r="N6942" s="676"/>
    </row>
    <row r="6943" spans="14:14" x14ac:dyDescent="0.35">
      <c r="N6943" s="676"/>
    </row>
    <row r="6944" spans="14:14" x14ac:dyDescent="0.35">
      <c r="N6944" s="676"/>
    </row>
    <row r="6945" spans="14:14" x14ac:dyDescent="0.35">
      <c r="N6945" s="676"/>
    </row>
    <row r="6946" spans="14:14" x14ac:dyDescent="0.35">
      <c r="N6946" s="676"/>
    </row>
    <row r="6947" spans="14:14" x14ac:dyDescent="0.35">
      <c r="N6947" s="676"/>
    </row>
    <row r="6948" spans="14:14" x14ac:dyDescent="0.35">
      <c r="N6948" s="676"/>
    </row>
    <row r="6949" spans="14:14" x14ac:dyDescent="0.35">
      <c r="N6949" s="676"/>
    </row>
    <row r="6950" spans="14:14" x14ac:dyDescent="0.35">
      <c r="N6950" s="676"/>
    </row>
    <row r="6951" spans="14:14" x14ac:dyDescent="0.35">
      <c r="N6951" s="676"/>
    </row>
    <row r="6952" spans="14:14" x14ac:dyDescent="0.35">
      <c r="N6952" s="676"/>
    </row>
    <row r="6953" spans="14:14" x14ac:dyDescent="0.35">
      <c r="N6953" s="676"/>
    </row>
    <row r="6954" spans="14:14" x14ac:dyDescent="0.35">
      <c r="N6954" s="676"/>
    </row>
    <row r="6955" spans="14:14" x14ac:dyDescent="0.35">
      <c r="N6955" s="676"/>
    </row>
    <row r="6956" spans="14:14" x14ac:dyDescent="0.35">
      <c r="N6956" s="676"/>
    </row>
    <row r="6957" spans="14:14" x14ac:dyDescent="0.35">
      <c r="N6957" s="676"/>
    </row>
    <row r="6958" spans="14:14" x14ac:dyDescent="0.35">
      <c r="N6958" s="676"/>
    </row>
    <row r="6959" spans="14:14" x14ac:dyDescent="0.35">
      <c r="N6959" s="676"/>
    </row>
    <row r="6960" spans="14:14" x14ac:dyDescent="0.35">
      <c r="N6960" s="676"/>
    </row>
    <row r="6961" spans="14:14" x14ac:dyDescent="0.35">
      <c r="N6961" s="676"/>
    </row>
    <row r="6962" spans="14:14" x14ac:dyDescent="0.35">
      <c r="N6962" s="676"/>
    </row>
    <row r="6963" spans="14:14" x14ac:dyDescent="0.35">
      <c r="N6963" s="676"/>
    </row>
    <row r="6964" spans="14:14" x14ac:dyDescent="0.35">
      <c r="N6964" s="676"/>
    </row>
    <row r="6965" spans="14:14" x14ac:dyDescent="0.35">
      <c r="N6965" s="676"/>
    </row>
    <row r="6966" spans="14:14" x14ac:dyDescent="0.35">
      <c r="N6966" s="676"/>
    </row>
    <row r="6967" spans="14:14" x14ac:dyDescent="0.35">
      <c r="N6967" s="676"/>
    </row>
    <row r="6968" spans="14:14" x14ac:dyDescent="0.35">
      <c r="N6968" s="676"/>
    </row>
    <row r="6969" spans="14:14" x14ac:dyDescent="0.35">
      <c r="N6969" s="676"/>
    </row>
    <row r="6970" spans="14:14" x14ac:dyDescent="0.35">
      <c r="N6970" s="676"/>
    </row>
    <row r="6971" spans="14:14" x14ac:dyDescent="0.35">
      <c r="N6971" s="676"/>
    </row>
    <row r="6972" spans="14:14" x14ac:dyDescent="0.35">
      <c r="N6972" s="676"/>
    </row>
    <row r="6973" spans="14:14" x14ac:dyDescent="0.35">
      <c r="N6973" s="676"/>
    </row>
    <row r="6974" spans="14:14" x14ac:dyDescent="0.35">
      <c r="N6974" s="676"/>
    </row>
    <row r="6975" spans="14:14" x14ac:dyDescent="0.35">
      <c r="N6975" s="676"/>
    </row>
    <row r="6976" spans="14:14" x14ac:dyDescent="0.35">
      <c r="N6976" s="676"/>
    </row>
    <row r="6977" spans="14:14" x14ac:dyDescent="0.35">
      <c r="N6977" s="676"/>
    </row>
    <row r="6978" spans="14:14" x14ac:dyDescent="0.35">
      <c r="N6978" s="676"/>
    </row>
    <row r="6979" spans="14:14" x14ac:dyDescent="0.35">
      <c r="N6979" s="676"/>
    </row>
    <row r="6980" spans="14:14" x14ac:dyDescent="0.35">
      <c r="N6980" s="676"/>
    </row>
    <row r="6981" spans="14:14" x14ac:dyDescent="0.35">
      <c r="N6981" s="676"/>
    </row>
    <row r="6982" spans="14:14" x14ac:dyDescent="0.35">
      <c r="N6982" s="676"/>
    </row>
    <row r="6983" spans="14:14" x14ac:dyDescent="0.35">
      <c r="N6983" s="676"/>
    </row>
    <row r="6984" spans="14:14" x14ac:dyDescent="0.35">
      <c r="N6984" s="676"/>
    </row>
    <row r="6985" spans="14:14" x14ac:dyDescent="0.35">
      <c r="N6985" s="676"/>
    </row>
    <row r="6986" spans="14:14" x14ac:dyDescent="0.35">
      <c r="N6986" s="676"/>
    </row>
    <row r="6987" spans="14:14" x14ac:dyDescent="0.35">
      <c r="N6987" s="676"/>
    </row>
    <row r="6988" spans="14:14" x14ac:dyDescent="0.35">
      <c r="N6988" s="676"/>
    </row>
    <row r="6989" spans="14:14" x14ac:dyDescent="0.35">
      <c r="N6989" s="676"/>
    </row>
    <row r="6990" spans="14:14" x14ac:dyDescent="0.35">
      <c r="N6990" s="676"/>
    </row>
    <row r="6991" spans="14:14" x14ac:dyDescent="0.35">
      <c r="N6991" s="676"/>
    </row>
    <row r="6992" spans="14:14" x14ac:dyDescent="0.35">
      <c r="N6992" s="676"/>
    </row>
    <row r="6993" spans="14:14" x14ac:dyDescent="0.35">
      <c r="N6993" s="676"/>
    </row>
    <row r="6994" spans="14:14" x14ac:dyDescent="0.35">
      <c r="N6994" s="676"/>
    </row>
    <row r="6995" spans="14:14" x14ac:dyDescent="0.35">
      <c r="N6995" s="676"/>
    </row>
    <row r="6996" spans="14:14" x14ac:dyDescent="0.35">
      <c r="N6996" s="676"/>
    </row>
    <row r="6997" spans="14:14" x14ac:dyDescent="0.35">
      <c r="N6997" s="676"/>
    </row>
    <row r="6998" spans="14:14" x14ac:dyDescent="0.35">
      <c r="N6998" s="676"/>
    </row>
    <row r="6999" spans="14:14" x14ac:dyDescent="0.35">
      <c r="N6999" s="676"/>
    </row>
    <row r="7000" spans="14:14" x14ac:dyDescent="0.35">
      <c r="N7000" s="676"/>
    </row>
    <row r="7001" spans="14:14" x14ac:dyDescent="0.35">
      <c r="N7001" s="676"/>
    </row>
    <row r="7002" spans="14:14" x14ac:dyDescent="0.35">
      <c r="N7002" s="676"/>
    </row>
    <row r="7003" spans="14:14" x14ac:dyDescent="0.35">
      <c r="N7003" s="676"/>
    </row>
    <row r="7004" spans="14:14" x14ac:dyDescent="0.35">
      <c r="N7004" s="676"/>
    </row>
    <row r="7005" spans="14:14" x14ac:dyDescent="0.35">
      <c r="N7005" s="676"/>
    </row>
    <row r="7006" spans="14:14" x14ac:dyDescent="0.35">
      <c r="N7006" s="676"/>
    </row>
    <row r="7007" spans="14:14" x14ac:dyDescent="0.35">
      <c r="N7007" s="676"/>
    </row>
    <row r="7008" spans="14:14" x14ac:dyDescent="0.35">
      <c r="N7008" s="676"/>
    </row>
    <row r="7009" spans="14:14" x14ac:dyDescent="0.35">
      <c r="N7009" s="676"/>
    </row>
    <row r="7010" spans="14:14" x14ac:dyDescent="0.35">
      <c r="N7010" s="676"/>
    </row>
    <row r="7011" spans="14:14" x14ac:dyDescent="0.35">
      <c r="N7011" s="676"/>
    </row>
    <row r="7012" spans="14:14" x14ac:dyDescent="0.35">
      <c r="N7012" s="676"/>
    </row>
    <row r="7013" spans="14:14" x14ac:dyDescent="0.35">
      <c r="N7013" s="676"/>
    </row>
    <row r="7014" spans="14:14" x14ac:dyDescent="0.35">
      <c r="N7014" s="676"/>
    </row>
    <row r="7015" spans="14:14" x14ac:dyDescent="0.35">
      <c r="N7015" s="676"/>
    </row>
    <row r="7016" spans="14:14" x14ac:dyDescent="0.35">
      <c r="N7016" s="676"/>
    </row>
    <row r="7017" spans="14:14" x14ac:dyDescent="0.35">
      <c r="N7017" s="676"/>
    </row>
    <row r="7018" spans="14:14" x14ac:dyDescent="0.35">
      <c r="N7018" s="676"/>
    </row>
    <row r="7019" spans="14:14" x14ac:dyDescent="0.35">
      <c r="N7019" s="676"/>
    </row>
    <row r="7020" spans="14:14" x14ac:dyDescent="0.35">
      <c r="N7020" s="676"/>
    </row>
    <row r="7021" spans="14:14" x14ac:dyDescent="0.35">
      <c r="N7021" s="676"/>
    </row>
    <row r="7022" spans="14:14" x14ac:dyDescent="0.35">
      <c r="N7022" s="676"/>
    </row>
    <row r="7023" spans="14:14" x14ac:dyDescent="0.35">
      <c r="N7023" s="676"/>
    </row>
    <row r="7024" spans="14:14" x14ac:dyDescent="0.35">
      <c r="N7024" s="676"/>
    </row>
    <row r="7025" spans="14:14" x14ac:dyDescent="0.35">
      <c r="N7025" s="676"/>
    </row>
    <row r="7026" spans="14:14" x14ac:dyDescent="0.35">
      <c r="N7026" s="676"/>
    </row>
    <row r="7027" spans="14:14" x14ac:dyDescent="0.35">
      <c r="N7027" s="676"/>
    </row>
    <row r="7028" spans="14:14" x14ac:dyDescent="0.35">
      <c r="N7028" s="676"/>
    </row>
    <row r="7029" spans="14:14" x14ac:dyDescent="0.35">
      <c r="N7029" s="676"/>
    </row>
    <row r="7030" spans="14:14" x14ac:dyDescent="0.35">
      <c r="N7030" s="676"/>
    </row>
    <row r="7031" spans="14:14" x14ac:dyDescent="0.35">
      <c r="N7031" s="676"/>
    </row>
    <row r="7032" spans="14:14" x14ac:dyDescent="0.35">
      <c r="N7032" s="676"/>
    </row>
    <row r="7033" spans="14:14" x14ac:dyDescent="0.35">
      <c r="N7033" s="676"/>
    </row>
    <row r="7034" spans="14:14" x14ac:dyDescent="0.35">
      <c r="N7034" s="676"/>
    </row>
    <row r="7035" spans="14:14" x14ac:dyDescent="0.35">
      <c r="N7035" s="676"/>
    </row>
    <row r="7036" spans="14:14" x14ac:dyDescent="0.35">
      <c r="N7036" s="676"/>
    </row>
    <row r="7037" spans="14:14" x14ac:dyDescent="0.35">
      <c r="N7037" s="676"/>
    </row>
    <row r="7038" spans="14:14" x14ac:dyDescent="0.35">
      <c r="N7038" s="676"/>
    </row>
    <row r="7039" spans="14:14" x14ac:dyDescent="0.35">
      <c r="N7039" s="676"/>
    </row>
    <row r="7040" spans="14:14" x14ac:dyDescent="0.35">
      <c r="N7040" s="676"/>
    </row>
    <row r="7041" spans="14:14" x14ac:dyDescent="0.35">
      <c r="N7041" s="676"/>
    </row>
    <row r="7042" spans="14:14" x14ac:dyDescent="0.35">
      <c r="N7042" s="676"/>
    </row>
    <row r="7043" spans="14:14" x14ac:dyDescent="0.35">
      <c r="N7043" s="676"/>
    </row>
    <row r="7044" spans="14:14" x14ac:dyDescent="0.35">
      <c r="N7044" s="676"/>
    </row>
    <row r="7045" spans="14:14" x14ac:dyDescent="0.35">
      <c r="N7045" s="676"/>
    </row>
    <row r="7046" spans="14:14" x14ac:dyDescent="0.35">
      <c r="N7046" s="676"/>
    </row>
    <row r="7047" spans="14:14" x14ac:dyDescent="0.35">
      <c r="N7047" s="676"/>
    </row>
    <row r="7048" spans="14:14" x14ac:dyDescent="0.35">
      <c r="N7048" s="676"/>
    </row>
    <row r="7049" spans="14:14" x14ac:dyDescent="0.35">
      <c r="N7049" s="676"/>
    </row>
    <row r="7050" spans="14:14" x14ac:dyDescent="0.35">
      <c r="N7050" s="676"/>
    </row>
    <row r="7051" spans="14:14" x14ac:dyDescent="0.35">
      <c r="N7051" s="676"/>
    </row>
    <row r="7052" spans="14:14" x14ac:dyDescent="0.35">
      <c r="N7052" s="676"/>
    </row>
    <row r="7053" spans="14:14" x14ac:dyDescent="0.35">
      <c r="N7053" s="676"/>
    </row>
    <row r="7054" spans="14:14" x14ac:dyDescent="0.35">
      <c r="N7054" s="676"/>
    </row>
    <row r="7055" spans="14:14" x14ac:dyDescent="0.35">
      <c r="N7055" s="676"/>
    </row>
    <row r="7056" spans="14:14" x14ac:dyDescent="0.35">
      <c r="N7056" s="676"/>
    </row>
    <row r="7057" spans="14:14" x14ac:dyDescent="0.35">
      <c r="N7057" s="676"/>
    </row>
    <row r="7058" spans="14:14" x14ac:dyDescent="0.35">
      <c r="N7058" s="676"/>
    </row>
    <row r="7059" spans="14:14" x14ac:dyDescent="0.35">
      <c r="N7059" s="676"/>
    </row>
    <row r="7060" spans="14:14" x14ac:dyDescent="0.35">
      <c r="N7060" s="676"/>
    </row>
    <row r="7061" spans="14:14" x14ac:dyDescent="0.35">
      <c r="N7061" s="676"/>
    </row>
    <row r="7062" spans="14:14" x14ac:dyDescent="0.35">
      <c r="N7062" s="676"/>
    </row>
    <row r="7063" spans="14:14" x14ac:dyDescent="0.35">
      <c r="N7063" s="676"/>
    </row>
    <row r="7064" spans="14:14" x14ac:dyDescent="0.35">
      <c r="N7064" s="676"/>
    </row>
    <row r="7065" spans="14:14" x14ac:dyDescent="0.35">
      <c r="N7065" s="676"/>
    </row>
    <row r="7066" spans="14:14" x14ac:dyDescent="0.35">
      <c r="N7066" s="676"/>
    </row>
    <row r="7067" spans="14:14" x14ac:dyDescent="0.35">
      <c r="N7067" s="676"/>
    </row>
    <row r="7068" spans="14:14" x14ac:dyDescent="0.35">
      <c r="N7068" s="676"/>
    </row>
    <row r="7069" spans="14:14" x14ac:dyDescent="0.35">
      <c r="N7069" s="676"/>
    </row>
    <row r="7070" spans="14:14" x14ac:dyDescent="0.35">
      <c r="N7070" s="676"/>
    </row>
    <row r="7071" spans="14:14" x14ac:dyDescent="0.35">
      <c r="N7071" s="676"/>
    </row>
    <row r="7072" spans="14:14" x14ac:dyDescent="0.35">
      <c r="N7072" s="676"/>
    </row>
    <row r="7073" spans="14:14" x14ac:dyDescent="0.35">
      <c r="N7073" s="676"/>
    </row>
    <row r="7074" spans="14:14" x14ac:dyDescent="0.35">
      <c r="N7074" s="676"/>
    </row>
    <row r="7075" spans="14:14" x14ac:dyDescent="0.35">
      <c r="N7075" s="676"/>
    </row>
    <row r="7076" spans="14:14" x14ac:dyDescent="0.35">
      <c r="N7076" s="676"/>
    </row>
    <row r="7077" spans="14:14" x14ac:dyDescent="0.35">
      <c r="N7077" s="676"/>
    </row>
    <row r="7078" spans="14:14" x14ac:dyDescent="0.35">
      <c r="N7078" s="676"/>
    </row>
    <row r="7079" spans="14:14" x14ac:dyDescent="0.35">
      <c r="N7079" s="676"/>
    </row>
    <row r="7080" spans="14:14" x14ac:dyDescent="0.35">
      <c r="N7080" s="676"/>
    </row>
    <row r="7081" spans="14:14" x14ac:dyDescent="0.35">
      <c r="N7081" s="676"/>
    </row>
    <row r="7082" spans="14:14" x14ac:dyDescent="0.35">
      <c r="N7082" s="676"/>
    </row>
    <row r="7083" spans="14:14" x14ac:dyDescent="0.35">
      <c r="N7083" s="676"/>
    </row>
    <row r="7084" spans="14:14" x14ac:dyDescent="0.35">
      <c r="N7084" s="676"/>
    </row>
    <row r="7085" spans="14:14" x14ac:dyDescent="0.35">
      <c r="N7085" s="676"/>
    </row>
    <row r="7086" spans="14:14" x14ac:dyDescent="0.35">
      <c r="N7086" s="676"/>
    </row>
    <row r="7087" spans="14:14" x14ac:dyDescent="0.35">
      <c r="N7087" s="676"/>
    </row>
    <row r="7088" spans="14:14" x14ac:dyDescent="0.35">
      <c r="N7088" s="676"/>
    </row>
    <row r="7089" spans="14:14" x14ac:dyDescent="0.35">
      <c r="N7089" s="676"/>
    </row>
    <row r="7090" spans="14:14" x14ac:dyDescent="0.35">
      <c r="N7090" s="676"/>
    </row>
    <row r="7091" spans="14:14" x14ac:dyDescent="0.35">
      <c r="N7091" s="676"/>
    </row>
    <row r="7092" spans="14:14" x14ac:dyDescent="0.35">
      <c r="N7092" s="676"/>
    </row>
    <row r="7093" spans="14:14" x14ac:dyDescent="0.35">
      <c r="N7093" s="676"/>
    </row>
    <row r="7094" spans="14:14" x14ac:dyDescent="0.35">
      <c r="N7094" s="676"/>
    </row>
    <row r="7095" spans="14:14" x14ac:dyDescent="0.35">
      <c r="N7095" s="676"/>
    </row>
    <row r="7096" spans="14:14" x14ac:dyDescent="0.35">
      <c r="N7096" s="676"/>
    </row>
    <row r="7097" spans="14:14" x14ac:dyDescent="0.35">
      <c r="N7097" s="676"/>
    </row>
    <row r="7098" spans="14:14" x14ac:dyDescent="0.35">
      <c r="N7098" s="676"/>
    </row>
    <row r="7099" spans="14:14" x14ac:dyDescent="0.35">
      <c r="N7099" s="676"/>
    </row>
    <row r="7100" spans="14:14" x14ac:dyDescent="0.35">
      <c r="N7100" s="676"/>
    </row>
    <row r="7101" spans="14:14" x14ac:dyDescent="0.35">
      <c r="N7101" s="676"/>
    </row>
    <row r="7102" spans="14:14" x14ac:dyDescent="0.35">
      <c r="N7102" s="676"/>
    </row>
    <row r="7103" spans="14:14" x14ac:dyDescent="0.35">
      <c r="N7103" s="676"/>
    </row>
    <row r="7104" spans="14:14" x14ac:dyDescent="0.35">
      <c r="N7104" s="676"/>
    </row>
    <row r="7105" spans="14:14" x14ac:dyDescent="0.35">
      <c r="N7105" s="676"/>
    </row>
    <row r="7106" spans="14:14" x14ac:dyDescent="0.35">
      <c r="N7106" s="676"/>
    </row>
    <row r="7107" spans="14:14" x14ac:dyDescent="0.35">
      <c r="N7107" s="676"/>
    </row>
    <row r="7108" spans="14:14" x14ac:dyDescent="0.35">
      <c r="N7108" s="676"/>
    </row>
    <row r="7109" spans="14:14" x14ac:dyDescent="0.35">
      <c r="N7109" s="676"/>
    </row>
    <row r="7110" spans="14:14" x14ac:dyDescent="0.35">
      <c r="N7110" s="676"/>
    </row>
    <row r="7111" spans="14:14" x14ac:dyDescent="0.35">
      <c r="N7111" s="676"/>
    </row>
    <row r="7112" spans="14:14" x14ac:dyDescent="0.35">
      <c r="N7112" s="676"/>
    </row>
    <row r="7113" spans="14:14" x14ac:dyDescent="0.35">
      <c r="N7113" s="676"/>
    </row>
    <row r="7114" spans="14:14" x14ac:dyDescent="0.35">
      <c r="N7114" s="676"/>
    </row>
    <row r="7115" spans="14:14" x14ac:dyDescent="0.35">
      <c r="N7115" s="676"/>
    </row>
    <row r="7116" spans="14:14" x14ac:dyDescent="0.35">
      <c r="N7116" s="676"/>
    </row>
    <row r="7117" spans="14:14" x14ac:dyDescent="0.35">
      <c r="N7117" s="676"/>
    </row>
    <row r="7118" spans="14:14" x14ac:dyDescent="0.35">
      <c r="N7118" s="676"/>
    </row>
    <row r="7119" spans="14:14" x14ac:dyDescent="0.35">
      <c r="N7119" s="676"/>
    </row>
    <row r="7120" spans="14:14" x14ac:dyDescent="0.35">
      <c r="N7120" s="676"/>
    </row>
    <row r="7121" spans="14:14" x14ac:dyDescent="0.35">
      <c r="N7121" s="676"/>
    </row>
    <row r="7122" spans="14:14" x14ac:dyDescent="0.35">
      <c r="N7122" s="676"/>
    </row>
    <row r="7123" spans="14:14" x14ac:dyDescent="0.35">
      <c r="N7123" s="676"/>
    </row>
    <row r="7124" spans="14:14" x14ac:dyDescent="0.35">
      <c r="N7124" s="676"/>
    </row>
    <row r="7125" spans="14:14" x14ac:dyDescent="0.35">
      <c r="N7125" s="676"/>
    </row>
    <row r="7126" spans="14:14" x14ac:dyDescent="0.35">
      <c r="N7126" s="676"/>
    </row>
    <row r="7127" spans="14:14" x14ac:dyDescent="0.35">
      <c r="N7127" s="676"/>
    </row>
    <row r="7128" spans="14:14" x14ac:dyDescent="0.35">
      <c r="N7128" s="676"/>
    </row>
    <row r="7129" spans="14:14" x14ac:dyDescent="0.35">
      <c r="N7129" s="676"/>
    </row>
    <row r="7130" spans="14:14" x14ac:dyDescent="0.35">
      <c r="N7130" s="676"/>
    </row>
    <row r="7131" spans="14:14" x14ac:dyDescent="0.35">
      <c r="N7131" s="676"/>
    </row>
    <row r="7132" spans="14:14" x14ac:dyDescent="0.35">
      <c r="N7132" s="676"/>
    </row>
    <row r="7133" spans="14:14" x14ac:dyDescent="0.35">
      <c r="N7133" s="676"/>
    </row>
    <row r="7134" spans="14:14" x14ac:dyDescent="0.35">
      <c r="N7134" s="676"/>
    </row>
    <row r="7135" spans="14:14" x14ac:dyDescent="0.35">
      <c r="N7135" s="676"/>
    </row>
    <row r="7136" spans="14:14" x14ac:dyDescent="0.35">
      <c r="N7136" s="676"/>
    </row>
    <row r="7137" spans="14:14" x14ac:dyDescent="0.35">
      <c r="N7137" s="676"/>
    </row>
    <row r="7138" spans="14:14" x14ac:dyDescent="0.35">
      <c r="N7138" s="676"/>
    </row>
    <row r="7139" spans="14:14" x14ac:dyDescent="0.35">
      <c r="N7139" s="676"/>
    </row>
    <row r="7140" spans="14:14" x14ac:dyDescent="0.35">
      <c r="N7140" s="676"/>
    </row>
    <row r="7141" spans="14:14" x14ac:dyDescent="0.35">
      <c r="N7141" s="676"/>
    </row>
    <row r="7142" spans="14:14" x14ac:dyDescent="0.35">
      <c r="N7142" s="676"/>
    </row>
    <row r="7143" spans="14:14" x14ac:dyDescent="0.35">
      <c r="N7143" s="676"/>
    </row>
    <row r="7144" spans="14:14" x14ac:dyDescent="0.35">
      <c r="N7144" s="676"/>
    </row>
    <row r="7145" spans="14:14" x14ac:dyDescent="0.35">
      <c r="N7145" s="676"/>
    </row>
    <row r="7146" spans="14:14" x14ac:dyDescent="0.35">
      <c r="N7146" s="676"/>
    </row>
    <row r="7147" spans="14:14" x14ac:dyDescent="0.35">
      <c r="N7147" s="676"/>
    </row>
    <row r="7148" spans="14:14" x14ac:dyDescent="0.35">
      <c r="N7148" s="676"/>
    </row>
    <row r="7149" spans="14:14" x14ac:dyDescent="0.35">
      <c r="N7149" s="676"/>
    </row>
    <row r="7150" spans="14:14" x14ac:dyDescent="0.35">
      <c r="N7150" s="676"/>
    </row>
    <row r="7151" spans="14:14" x14ac:dyDescent="0.35">
      <c r="N7151" s="676"/>
    </row>
    <row r="7152" spans="14:14" x14ac:dyDescent="0.35">
      <c r="N7152" s="676"/>
    </row>
    <row r="7153" spans="14:14" x14ac:dyDescent="0.35">
      <c r="N7153" s="676"/>
    </row>
    <row r="7154" spans="14:14" x14ac:dyDescent="0.35">
      <c r="N7154" s="676"/>
    </row>
    <row r="7155" spans="14:14" x14ac:dyDescent="0.35">
      <c r="N7155" s="676"/>
    </row>
    <row r="7156" spans="14:14" x14ac:dyDescent="0.35">
      <c r="N7156" s="676"/>
    </row>
    <row r="7157" spans="14:14" x14ac:dyDescent="0.35">
      <c r="N7157" s="676"/>
    </row>
    <row r="7158" spans="14:14" x14ac:dyDescent="0.35">
      <c r="N7158" s="676"/>
    </row>
    <row r="7159" spans="14:14" x14ac:dyDescent="0.35">
      <c r="N7159" s="676"/>
    </row>
    <row r="7160" spans="14:14" x14ac:dyDescent="0.35">
      <c r="N7160" s="676"/>
    </row>
    <row r="7161" spans="14:14" x14ac:dyDescent="0.35">
      <c r="N7161" s="676"/>
    </row>
    <row r="7162" spans="14:14" x14ac:dyDescent="0.35">
      <c r="N7162" s="676"/>
    </row>
    <row r="7163" spans="14:14" x14ac:dyDescent="0.35">
      <c r="N7163" s="676"/>
    </row>
    <row r="7164" spans="14:14" x14ac:dyDescent="0.35">
      <c r="N7164" s="676"/>
    </row>
    <row r="7165" spans="14:14" x14ac:dyDescent="0.35">
      <c r="N7165" s="676"/>
    </row>
    <row r="7166" spans="14:14" x14ac:dyDescent="0.35">
      <c r="N7166" s="676"/>
    </row>
    <row r="7167" spans="14:14" x14ac:dyDescent="0.35">
      <c r="N7167" s="676"/>
    </row>
    <row r="7168" spans="14:14" x14ac:dyDescent="0.35">
      <c r="N7168" s="676"/>
    </row>
    <row r="7169" spans="14:14" x14ac:dyDescent="0.35">
      <c r="N7169" s="676"/>
    </row>
    <row r="7170" spans="14:14" x14ac:dyDescent="0.35">
      <c r="N7170" s="676"/>
    </row>
    <row r="7171" spans="14:14" x14ac:dyDescent="0.35">
      <c r="N7171" s="676"/>
    </row>
    <row r="7172" spans="14:14" x14ac:dyDescent="0.35">
      <c r="N7172" s="676"/>
    </row>
    <row r="7173" spans="14:14" x14ac:dyDescent="0.35">
      <c r="N7173" s="676"/>
    </row>
    <row r="7174" spans="14:14" x14ac:dyDescent="0.35">
      <c r="N7174" s="676"/>
    </row>
    <row r="7175" spans="14:14" x14ac:dyDescent="0.35">
      <c r="N7175" s="676"/>
    </row>
    <row r="7176" spans="14:14" x14ac:dyDescent="0.35">
      <c r="N7176" s="676"/>
    </row>
    <row r="7177" spans="14:14" x14ac:dyDescent="0.35">
      <c r="N7177" s="676"/>
    </row>
    <row r="7178" spans="14:14" x14ac:dyDescent="0.35">
      <c r="N7178" s="676"/>
    </row>
    <row r="7179" spans="14:14" x14ac:dyDescent="0.35">
      <c r="N7179" s="676"/>
    </row>
    <row r="7180" spans="14:14" x14ac:dyDescent="0.35">
      <c r="N7180" s="676"/>
    </row>
    <row r="7181" spans="14:14" x14ac:dyDescent="0.35">
      <c r="N7181" s="676"/>
    </row>
    <row r="7182" spans="14:14" x14ac:dyDescent="0.35">
      <c r="N7182" s="676"/>
    </row>
    <row r="7183" spans="14:14" x14ac:dyDescent="0.35">
      <c r="N7183" s="676"/>
    </row>
    <row r="7184" spans="14:14" x14ac:dyDescent="0.35">
      <c r="N7184" s="676"/>
    </row>
    <row r="7185" spans="14:14" x14ac:dyDescent="0.35">
      <c r="N7185" s="676"/>
    </row>
    <row r="7186" spans="14:14" x14ac:dyDescent="0.35">
      <c r="N7186" s="676"/>
    </row>
    <row r="7187" spans="14:14" x14ac:dyDescent="0.35">
      <c r="N7187" s="676"/>
    </row>
    <row r="7188" spans="14:14" x14ac:dyDescent="0.35">
      <c r="N7188" s="676"/>
    </row>
    <row r="7189" spans="14:14" x14ac:dyDescent="0.35">
      <c r="N7189" s="676"/>
    </row>
    <row r="7190" spans="14:14" x14ac:dyDescent="0.35">
      <c r="N7190" s="676"/>
    </row>
    <row r="7191" spans="14:14" x14ac:dyDescent="0.35">
      <c r="N7191" s="676"/>
    </row>
    <row r="7192" spans="14:14" x14ac:dyDescent="0.35">
      <c r="N7192" s="676"/>
    </row>
    <row r="7193" spans="14:14" x14ac:dyDescent="0.35">
      <c r="N7193" s="676"/>
    </row>
    <row r="7194" spans="14:14" x14ac:dyDescent="0.35">
      <c r="N7194" s="676"/>
    </row>
    <row r="7195" spans="14:14" x14ac:dyDescent="0.35">
      <c r="N7195" s="676"/>
    </row>
    <row r="7196" spans="14:14" x14ac:dyDescent="0.35">
      <c r="N7196" s="676"/>
    </row>
    <row r="7197" spans="14:14" x14ac:dyDescent="0.35">
      <c r="N7197" s="676"/>
    </row>
    <row r="7198" spans="14:14" x14ac:dyDescent="0.35">
      <c r="N7198" s="676"/>
    </row>
    <row r="7199" spans="14:14" x14ac:dyDescent="0.35">
      <c r="N7199" s="676"/>
    </row>
    <row r="7200" spans="14:14" x14ac:dyDescent="0.35">
      <c r="N7200" s="676"/>
    </row>
    <row r="7201" spans="14:14" x14ac:dyDescent="0.35">
      <c r="N7201" s="676"/>
    </row>
    <row r="7202" spans="14:14" x14ac:dyDescent="0.35">
      <c r="N7202" s="676"/>
    </row>
    <row r="7203" spans="14:14" x14ac:dyDescent="0.35">
      <c r="N7203" s="676"/>
    </row>
    <row r="7204" spans="14:14" x14ac:dyDescent="0.35">
      <c r="N7204" s="676"/>
    </row>
    <row r="7205" spans="14:14" x14ac:dyDescent="0.35">
      <c r="N7205" s="676"/>
    </row>
    <row r="7206" spans="14:14" x14ac:dyDescent="0.35">
      <c r="N7206" s="676"/>
    </row>
    <row r="7207" spans="14:14" x14ac:dyDescent="0.35">
      <c r="N7207" s="676"/>
    </row>
    <row r="7208" spans="14:14" x14ac:dyDescent="0.35">
      <c r="N7208" s="676"/>
    </row>
    <row r="7209" spans="14:14" x14ac:dyDescent="0.35">
      <c r="N7209" s="676"/>
    </row>
    <row r="7210" spans="14:14" x14ac:dyDescent="0.35">
      <c r="N7210" s="676"/>
    </row>
    <row r="7211" spans="14:14" x14ac:dyDescent="0.35">
      <c r="N7211" s="676"/>
    </row>
    <row r="7212" spans="14:14" x14ac:dyDescent="0.35">
      <c r="N7212" s="676"/>
    </row>
    <row r="7213" spans="14:14" x14ac:dyDescent="0.35">
      <c r="N7213" s="676"/>
    </row>
    <row r="7214" spans="14:14" x14ac:dyDescent="0.35">
      <c r="N7214" s="676"/>
    </row>
    <row r="7215" spans="14:14" x14ac:dyDescent="0.35">
      <c r="N7215" s="676"/>
    </row>
    <row r="7216" spans="14:14" x14ac:dyDescent="0.35">
      <c r="N7216" s="676"/>
    </row>
    <row r="7217" spans="14:14" x14ac:dyDescent="0.35">
      <c r="N7217" s="676"/>
    </row>
    <row r="7218" spans="14:14" x14ac:dyDescent="0.35">
      <c r="N7218" s="676"/>
    </row>
    <row r="7219" spans="14:14" x14ac:dyDescent="0.35">
      <c r="N7219" s="676"/>
    </row>
    <row r="7220" spans="14:14" x14ac:dyDescent="0.35">
      <c r="N7220" s="676"/>
    </row>
    <row r="7221" spans="14:14" x14ac:dyDescent="0.35">
      <c r="N7221" s="676"/>
    </row>
    <row r="7222" spans="14:14" x14ac:dyDescent="0.35">
      <c r="N7222" s="676"/>
    </row>
    <row r="7223" spans="14:14" x14ac:dyDescent="0.35">
      <c r="N7223" s="676"/>
    </row>
    <row r="7224" spans="14:14" x14ac:dyDescent="0.35">
      <c r="N7224" s="676"/>
    </row>
    <row r="7225" spans="14:14" x14ac:dyDescent="0.35">
      <c r="N7225" s="676"/>
    </row>
    <row r="7226" spans="14:14" x14ac:dyDescent="0.35">
      <c r="N7226" s="676"/>
    </row>
    <row r="7227" spans="14:14" x14ac:dyDescent="0.35">
      <c r="N7227" s="676"/>
    </row>
    <row r="7228" spans="14:14" x14ac:dyDescent="0.35">
      <c r="N7228" s="676"/>
    </row>
    <row r="7229" spans="14:14" x14ac:dyDescent="0.35">
      <c r="N7229" s="676"/>
    </row>
    <row r="7230" spans="14:14" x14ac:dyDescent="0.35">
      <c r="N7230" s="676"/>
    </row>
    <row r="7231" spans="14:14" x14ac:dyDescent="0.35">
      <c r="N7231" s="676"/>
    </row>
    <row r="7232" spans="14:14" x14ac:dyDescent="0.35">
      <c r="N7232" s="676"/>
    </row>
    <row r="7233" spans="14:14" x14ac:dyDescent="0.35">
      <c r="N7233" s="676"/>
    </row>
    <row r="7234" spans="14:14" x14ac:dyDescent="0.35">
      <c r="N7234" s="676"/>
    </row>
    <row r="7235" spans="14:14" x14ac:dyDescent="0.35">
      <c r="N7235" s="676"/>
    </row>
    <row r="7236" spans="14:14" x14ac:dyDescent="0.35">
      <c r="N7236" s="676"/>
    </row>
    <row r="7237" spans="14:14" x14ac:dyDescent="0.35">
      <c r="N7237" s="676"/>
    </row>
    <row r="7238" spans="14:14" x14ac:dyDescent="0.35">
      <c r="N7238" s="676"/>
    </row>
    <row r="7239" spans="14:14" x14ac:dyDescent="0.35">
      <c r="N7239" s="676"/>
    </row>
    <row r="7240" spans="14:14" x14ac:dyDescent="0.35">
      <c r="N7240" s="676"/>
    </row>
    <row r="7241" spans="14:14" x14ac:dyDescent="0.35">
      <c r="N7241" s="676"/>
    </row>
    <row r="7242" spans="14:14" x14ac:dyDescent="0.35">
      <c r="N7242" s="676"/>
    </row>
    <row r="7243" spans="14:14" x14ac:dyDescent="0.35">
      <c r="N7243" s="676"/>
    </row>
    <row r="7244" spans="14:14" x14ac:dyDescent="0.35">
      <c r="N7244" s="676"/>
    </row>
    <row r="7245" spans="14:14" x14ac:dyDescent="0.35">
      <c r="N7245" s="676"/>
    </row>
    <row r="7246" spans="14:14" x14ac:dyDescent="0.35">
      <c r="N7246" s="676"/>
    </row>
    <row r="7247" spans="14:14" x14ac:dyDescent="0.35">
      <c r="N7247" s="676"/>
    </row>
    <row r="7248" spans="14:14" x14ac:dyDescent="0.35">
      <c r="N7248" s="676"/>
    </row>
    <row r="7249" spans="14:14" x14ac:dyDescent="0.35">
      <c r="N7249" s="676"/>
    </row>
    <row r="7250" spans="14:14" x14ac:dyDescent="0.35">
      <c r="N7250" s="676"/>
    </row>
    <row r="7251" spans="14:14" x14ac:dyDescent="0.35">
      <c r="N7251" s="676"/>
    </row>
    <row r="7252" spans="14:14" x14ac:dyDescent="0.35">
      <c r="N7252" s="676"/>
    </row>
    <row r="7253" spans="14:14" x14ac:dyDescent="0.35">
      <c r="N7253" s="676"/>
    </row>
    <row r="7254" spans="14:14" x14ac:dyDescent="0.35">
      <c r="N7254" s="676"/>
    </row>
    <row r="7255" spans="14:14" x14ac:dyDescent="0.35">
      <c r="N7255" s="676"/>
    </row>
    <row r="7256" spans="14:14" x14ac:dyDescent="0.35">
      <c r="N7256" s="676"/>
    </row>
    <row r="7257" spans="14:14" x14ac:dyDescent="0.35">
      <c r="N7257" s="676"/>
    </row>
    <row r="7258" spans="14:14" x14ac:dyDescent="0.35">
      <c r="N7258" s="676"/>
    </row>
    <row r="7259" spans="14:14" x14ac:dyDescent="0.35">
      <c r="N7259" s="676"/>
    </row>
    <row r="7260" spans="14:14" x14ac:dyDescent="0.35">
      <c r="N7260" s="676"/>
    </row>
    <row r="7261" spans="14:14" x14ac:dyDescent="0.35">
      <c r="N7261" s="676"/>
    </row>
    <row r="7262" spans="14:14" x14ac:dyDescent="0.35">
      <c r="N7262" s="676"/>
    </row>
    <row r="7263" spans="14:14" x14ac:dyDescent="0.35">
      <c r="N7263" s="676"/>
    </row>
    <row r="7264" spans="14:14" x14ac:dyDescent="0.35">
      <c r="N7264" s="676"/>
    </row>
    <row r="7265" spans="14:14" x14ac:dyDescent="0.35">
      <c r="N7265" s="676"/>
    </row>
    <row r="7266" spans="14:14" x14ac:dyDescent="0.35">
      <c r="N7266" s="676"/>
    </row>
    <row r="7267" spans="14:14" x14ac:dyDescent="0.35">
      <c r="N7267" s="676"/>
    </row>
    <row r="7268" spans="14:14" x14ac:dyDescent="0.35">
      <c r="N7268" s="676"/>
    </row>
    <row r="7269" spans="14:14" x14ac:dyDescent="0.35">
      <c r="N7269" s="676"/>
    </row>
    <row r="7270" spans="14:14" x14ac:dyDescent="0.35">
      <c r="N7270" s="676"/>
    </row>
    <row r="7271" spans="14:14" x14ac:dyDescent="0.35">
      <c r="N7271" s="676"/>
    </row>
    <row r="7272" spans="14:14" x14ac:dyDescent="0.35">
      <c r="N7272" s="676"/>
    </row>
    <row r="7273" spans="14:14" x14ac:dyDescent="0.35">
      <c r="N7273" s="676"/>
    </row>
    <row r="7274" spans="14:14" x14ac:dyDescent="0.35">
      <c r="N7274" s="676"/>
    </row>
    <row r="7275" spans="14:14" x14ac:dyDescent="0.35">
      <c r="N7275" s="676"/>
    </row>
    <row r="7276" spans="14:14" x14ac:dyDescent="0.35">
      <c r="N7276" s="676"/>
    </row>
    <row r="7277" spans="14:14" x14ac:dyDescent="0.35">
      <c r="N7277" s="676"/>
    </row>
    <row r="7278" spans="14:14" x14ac:dyDescent="0.35">
      <c r="N7278" s="676"/>
    </row>
    <row r="7279" spans="14:14" x14ac:dyDescent="0.35">
      <c r="N7279" s="676"/>
    </row>
    <row r="7280" spans="14:14" x14ac:dyDescent="0.35">
      <c r="N7280" s="676"/>
    </row>
    <row r="7281" spans="14:14" x14ac:dyDescent="0.35">
      <c r="N7281" s="676"/>
    </row>
    <row r="7282" spans="14:14" x14ac:dyDescent="0.35">
      <c r="N7282" s="676"/>
    </row>
    <row r="7283" spans="14:14" x14ac:dyDescent="0.35">
      <c r="N7283" s="676"/>
    </row>
    <row r="7284" spans="14:14" x14ac:dyDescent="0.35">
      <c r="N7284" s="676"/>
    </row>
    <row r="7285" spans="14:14" x14ac:dyDescent="0.35">
      <c r="N7285" s="676"/>
    </row>
    <row r="7286" spans="14:14" x14ac:dyDescent="0.35">
      <c r="N7286" s="676"/>
    </row>
    <row r="7287" spans="14:14" x14ac:dyDescent="0.35">
      <c r="N7287" s="676"/>
    </row>
    <row r="7288" spans="14:14" x14ac:dyDescent="0.35">
      <c r="N7288" s="676"/>
    </row>
    <row r="7289" spans="14:14" x14ac:dyDescent="0.35">
      <c r="N7289" s="676"/>
    </row>
    <row r="7290" spans="14:14" x14ac:dyDescent="0.35">
      <c r="N7290" s="676"/>
    </row>
    <row r="7291" spans="14:14" x14ac:dyDescent="0.35">
      <c r="N7291" s="676"/>
    </row>
    <row r="7292" spans="14:14" x14ac:dyDescent="0.35">
      <c r="N7292" s="676"/>
    </row>
    <row r="7293" spans="14:14" x14ac:dyDescent="0.35">
      <c r="N7293" s="676"/>
    </row>
    <row r="7294" spans="14:14" x14ac:dyDescent="0.35">
      <c r="N7294" s="676"/>
    </row>
    <row r="7295" spans="14:14" x14ac:dyDescent="0.35">
      <c r="N7295" s="676"/>
    </row>
    <row r="7296" spans="14:14" x14ac:dyDescent="0.35">
      <c r="N7296" s="676"/>
    </row>
    <row r="7297" spans="14:14" x14ac:dyDescent="0.35">
      <c r="N7297" s="676"/>
    </row>
    <row r="7298" spans="14:14" x14ac:dyDescent="0.35">
      <c r="N7298" s="676"/>
    </row>
    <row r="7299" spans="14:14" x14ac:dyDescent="0.35">
      <c r="N7299" s="676"/>
    </row>
    <row r="7300" spans="14:14" x14ac:dyDescent="0.35">
      <c r="N7300" s="676"/>
    </row>
    <row r="7301" spans="14:14" x14ac:dyDescent="0.35">
      <c r="N7301" s="676"/>
    </row>
    <row r="7302" spans="14:14" x14ac:dyDescent="0.35">
      <c r="N7302" s="676"/>
    </row>
    <row r="7303" spans="14:14" x14ac:dyDescent="0.35">
      <c r="N7303" s="676"/>
    </row>
    <row r="7304" spans="14:14" x14ac:dyDescent="0.35">
      <c r="N7304" s="676"/>
    </row>
    <row r="7305" spans="14:14" x14ac:dyDescent="0.35">
      <c r="N7305" s="676"/>
    </row>
    <row r="7306" spans="14:14" x14ac:dyDescent="0.35">
      <c r="N7306" s="676"/>
    </row>
    <row r="7307" spans="14:14" x14ac:dyDescent="0.35">
      <c r="N7307" s="676"/>
    </row>
    <row r="7308" spans="14:14" x14ac:dyDescent="0.35">
      <c r="N7308" s="676"/>
    </row>
    <row r="7309" spans="14:14" x14ac:dyDescent="0.35">
      <c r="N7309" s="676"/>
    </row>
    <row r="7310" spans="14:14" x14ac:dyDescent="0.35">
      <c r="N7310" s="676"/>
    </row>
    <row r="7311" spans="14:14" x14ac:dyDescent="0.35">
      <c r="N7311" s="676"/>
    </row>
    <row r="7312" spans="14:14" x14ac:dyDescent="0.35">
      <c r="N7312" s="676"/>
    </row>
    <row r="7313" spans="14:14" x14ac:dyDescent="0.35">
      <c r="N7313" s="676"/>
    </row>
    <row r="7314" spans="14:14" x14ac:dyDescent="0.35">
      <c r="N7314" s="676"/>
    </row>
    <row r="7315" spans="14:14" x14ac:dyDescent="0.35">
      <c r="N7315" s="676"/>
    </row>
    <row r="7316" spans="14:14" x14ac:dyDescent="0.35">
      <c r="N7316" s="676"/>
    </row>
    <row r="7317" spans="14:14" x14ac:dyDescent="0.35">
      <c r="N7317" s="676"/>
    </row>
    <row r="7318" spans="14:14" x14ac:dyDescent="0.35">
      <c r="N7318" s="676"/>
    </row>
    <row r="7319" spans="14:14" x14ac:dyDescent="0.35">
      <c r="N7319" s="676"/>
    </row>
    <row r="7320" spans="14:14" x14ac:dyDescent="0.35">
      <c r="N7320" s="676"/>
    </row>
    <row r="7321" spans="14:14" x14ac:dyDescent="0.35">
      <c r="N7321" s="676"/>
    </row>
    <row r="7322" spans="14:14" x14ac:dyDescent="0.35">
      <c r="N7322" s="676"/>
    </row>
    <row r="7323" spans="14:14" x14ac:dyDescent="0.35">
      <c r="N7323" s="676"/>
    </row>
    <row r="7324" spans="14:14" x14ac:dyDescent="0.35">
      <c r="N7324" s="676"/>
    </row>
    <row r="7325" spans="14:14" x14ac:dyDescent="0.35">
      <c r="N7325" s="676"/>
    </row>
    <row r="7326" spans="14:14" x14ac:dyDescent="0.35">
      <c r="N7326" s="676"/>
    </row>
    <row r="7327" spans="14:14" x14ac:dyDescent="0.35">
      <c r="N7327" s="676"/>
    </row>
    <row r="7328" spans="14:14" x14ac:dyDescent="0.35">
      <c r="N7328" s="676"/>
    </row>
    <row r="7329" spans="14:14" x14ac:dyDescent="0.35">
      <c r="N7329" s="676"/>
    </row>
    <row r="7330" spans="14:14" x14ac:dyDescent="0.35">
      <c r="N7330" s="676"/>
    </row>
    <row r="7331" spans="14:14" x14ac:dyDescent="0.35">
      <c r="N7331" s="676"/>
    </row>
    <row r="7332" spans="14:14" x14ac:dyDescent="0.35">
      <c r="N7332" s="676"/>
    </row>
    <row r="7333" spans="14:14" x14ac:dyDescent="0.35">
      <c r="N7333" s="676"/>
    </row>
    <row r="7334" spans="14:14" x14ac:dyDescent="0.35">
      <c r="N7334" s="676"/>
    </row>
    <row r="7335" spans="14:14" x14ac:dyDescent="0.35">
      <c r="N7335" s="676"/>
    </row>
    <row r="7336" spans="14:14" x14ac:dyDescent="0.35">
      <c r="N7336" s="676"/>
    </row>
    <row r="7337" spans="14:14" x14ac:dyDescent="0.35">
      <c r="N7337" s="676"/>
    </row>
    <row r="7338" spans="14:14" x14ac:dyDescent="0.35">
      <c r="N7338" s="676"/>
    </row>
    <row r="7339" spans="14:14" x14ac:dyDescent="0.35">
      <c r="N7339" s="676"/>
    </row>
    <row r="7340" spans="14:14" x14ac:dyDescent="0.35">
      <c r="N7340" s="676"/>
    </row>
    <row r="7341" spans="14:14" x14ac:dyDescent="0.35">
      <c r="N7341" s="676"/>
    </row>
    <row r="7342" spans="14:14" x14ac:dyDescent="0.35">
      <c r="N7342" s="676"/>
    </row>
    <row r="7343" spans="14:14" x14ac:dyDescent="0.35">
      <c r="N7343" s="676"/>
    </row>
    <row r="7344" spans="14:14" x14ac:dyDescent="0.35">
      <c r="N7344" s="676"/>
    </row>
    <row r="7345" spans="14:14" x14ac:dyDescent="0.35">
      <c r="N7345" s="676"/>
    </row>
    <row r="7346" spans="14:14" x14ac:dyDescent="0.35">
      <c r="N7346" s="676"/>
    </row>
    <row r="7347" spans="14:14" x14ac:dyDescent="0.35">
      <c r="N7347" s="676"/>
    </row>
    <row r="7348" spans="14:14" x14ac:dyDescent="0.35">
      <c r="N7348" s="676"/>
    </row>
    <row r="7349" spans="14:14" x14ac:dyDescent="0.35">
      <c r="N7349" s="676"/>
    </row>
    <row r="7350" spans="14:14" x14ac:dyDescent="0.35">
      <c r="N7350" s="676"/>
    </row>
    <row r="7351" spans="14:14" x14ac:dyDescent="0.35">
      <c r="N7351" s="676"/>
    </row>
    <row r="7352" spans="14:14" x14ac:dyDescent="0.35">
      <c r="N7352" s="676"/>
    </row>
    <row r="7353" spans="14:14" x14ac:dyDescent="0.35">
      <c r="N7353" s="676"/>
    </row>
    <row r="7354" spans="14:14" x14ac:dyDescent="0.35">
      <c r="N7354" s="676"/>
    </row>
    <row r="7355" spans="14:14" x14ac:dyDescent="0.35">
      <c r="N7355" s="676"/>
    </row>
    <row r="7356" spans="14:14" x14ac:dyDescent="0.35">
      <c r="N7356" s="676"/>
    </row>
    <row r="7357" spans="14:14" x14ac:dyDescent="0.35">
      <c r="N7357" s="676"/>
    </row>
    <row r="7358" spans="14:14" x14ac:dyDescent="0.35">
      <c r="N7358" s="676"/>
    </row>
    <row r="7359" spans="14:14" x14ac:dyDescent="0.35">
      <c r="N7359" s="676"/>
    </row>
    <row r="7360" spans="14:14" x14ac:dyDescent="0.35">
      <c r="N7360" s="676"/>
    </row>
    <row r="7361" spans="14:14" x14ac:dyDescent="0.35">
      <c r="N7361" s="676"/>
    </row>
    <row r="7362" spans="14:14" x14ac:dyDescent="0.35">
      <c r="N7362" s="676"/>
    </row>
    <row r="7363" spans="14:14" x14ac:dyDescent="0.35">
      <c r="N7363" s="676"/>
    </row>
    <row r="7364" spans="14:14" x14ac:dyDescent="0.35">
      <c r="N7364" s="676"/>
    </row>
    <row r="7365" spans="14:14" x14ac:dyDescent="0.35">
      <c r="N7365" s="676"/>
    </row>
    <row r="7366" spans="14:14" x14ac:dyDescent="0.35">
      <c r="N7366" s="676"/>
    </row>
    <row r="7367" spans="14:14" x14ac:dyDescent="0.35">
      <c r="N7367" s="676"/>
    </row>
    <row r="7368" spans="14:14" x14ac:dyDescent="0.35">
      <c r="N7368" s="676"/>
    </row>
    <row r="7369" spans="14:14" x14ac:dyDescent="0.35">
      <c r="N7369" s="676"/>
    </row>
    <row r="7370" spans="14:14" x14ac:dyDescent="0.35">
      <c r="N7370" s="676"/>
    </row>
    <row r="7371" spans="14:14" x14ac:dyDescent="0.35">
      <c r="N7371" s="676"/>
    </row>
    <row r="7372" spans="14:14" x14ac:dyDescent="0.35">
      <c r="N7372" s="676"/>
    </row>
    <row r="7373" spans="14:14" x14ac:dyDescent="0.35">
      <c r="N7373" s="676"/>
    </row>
    <row r="7374" spans="14:14" x14ac:dyDescent="0.35">
      <c r="N7374" s="676"/>
    </row>
    <row r="7375" spans="14:14" x14ac:dyDescent="0.35">
      <c r="N7375" s="676"/>
    </row>
    <row r="7376" spans="14:14" x14ac:dyDescent="0.35">
      <c r="N7376" s="676"/>
    </row>
    <row r="7377" spans="14:14" x14ac:dyDescent="0.35">
      <c r="N7377" s="676"/>
    </row>
    <row r="7378" spans="14:14" x14ac:dyDescent="0.35">
      <c r="N7378" s="676"/>
    </row>
    <row r="7379" spans="14:14" x14ac:dyDescent="0.35">
      <c r="N7379" s="676"/>
    </row>
    <row r="7380" spans="14:14" x14ac:dyDescent="0.35">
      <c r="N7380" s="676"/>
    </row>
    <row r="7381" spans="14:14" x14ac:dyDescent="0.35">
      <c r="N7381" s="676"/>
    </row>
    <row r="7382" spans="14:14" x14ac:dyDescent="0.35">
      <c r="N7382" s="676"/>
    </row>
    <row r="7383" spans="14:14" x14ac:dyDescent="0.35">
      <c r="N7383" s="676"/>
    </row>
    <row r="7384" spans="14:14" x14ac:dyDescent="0.35">
      <c r="N7384" s="676"/>
    </row>
    <row r="7385" spans="14:14" x14ac:dyDescent="0.35">
      <c r="N7385" s="676"/>
    </row>
    <row r="7386" spans="14:14" x14ac:dyDescent="0.35">
      <c r="N7386" s="676"/>
    </row>
    <row r="7387" spans="14:14" x14ac:dyDescent="0.35">
      <c r="N7387" s="676"/>
    </row>
    <row r="7388" spans="14:14" x14ac:dyDescent="0.35">
      <c r="N7388" s="676"/>
    </row>
    <row r="7389" spans="14:14" x14ac:dyDescent="0.35">
      <c r="N7389" s="676"/>
    </row>
    <row r="7390" spans="14:14" x14ac:dyDescent="0.35">
      <c r="N7390" s="676"/>
    </row>
    <row r="7391" spans="14:14" x14ac:dyDescent="0.35">
      <c r="N7391" s="676"/>
    </row>
    <row r="7392" spans="14:14" x14ac:dyDescent="0.35">
      <c r="N7392" s="676"/>
    </row>
    <row r="7393" spans="14:14" x14ac:dyDescent="0.35">
      <c r="N7393" s="676"/>
    </row>
    <row r="7394" spans="14:14" x14ac:dyDescent="0.35">
      <c r="N7394" s="676"/>
    </row>
    <row r="7395" spans="14:14" x14ac:dyDescent="0.35">
      <c r="N7395" s="676"/>
    </row>
    <row r="7396" spans="14:14" x14ac:dyDescent="0.35">
      <c r="N7396" s="676"/>
    </row>
    <row r="7397" spans="14:14" x14ac:dyDescent="0.35">
      <c r="N7397" s="676"/>
    </row>
    <row r="7398" spans="14:14" x14ac:dyDescent="0.35">
      <c r="N7398" s="676"/>
    </row>
    <row r="7399" spans="14:14" x14ac:dyDescent="0.35">
      <c r="N7399" s="676"/>
    </row>
    <row r="7400" spans="14:14" x14ac:dyDescent="0.35">
      <c r="N7400" s="676"/>
    </row>
    <row r="7401" spans="14:14" x14ac:dyDescent="0.35">
      <c r="N7401" s="676"/>
    </row>
    <row r="7402" spans="14:14" x14ac:dyDescent="0.35">
      <c r="N7402" s="676"/>
    </row>
    <row r="7403" spans="14:14" x14ac:dyDescent="0.35">
      <c r="N7403" s="676"/>
    </row>
    <row r="7404" spans="14:14" x14ac:dyDescent="0.35">
      <c r="N7404" s="676"/>
    </row>
    <row r="7405" spans="14:14" x14ac:dyDescent="0.35">
      <c r="N7405" s="676"/>
    </row>
    <row r="7406" spans="14:14" x14ac:dyDescent="0.35">
      <c r="N7406" s="676"/>
    </row>
    <row r="7407" spans="14:14" x14ac:dyDescent="0.35">
      <c r="N7407" s="676"/>
    </row>
    <row r="7408" spans="14:14" x14ac:dyDescent="0.35">
      <c r="N7408" s="676"/>
    </row>
    <row r="7409" spans="14:14" x14ac:dyDescent="0.35">
      <c r="N7409" s="676"/>
    </row>
    <row r="7410" spans="14:14" x14ac:dyDescent="0.35">
      <c r="N7410" s="676"/>
    </row>
    <row r="7411" spans="14:14" x14ac:dyDescent="0.35">
      <c r="N7411" s="676"/>
    </row>
    <row r="7412" spans="14:14" x14ac:dyDescent="0.35">
      <c r="N7412" s="676"/>
    </row>
    <row r="7413" spans="14:14" x14ac:dyDescent="0.35">
      <c r="N7413" s="676"/>
    </row>
    <row r="7414" spans="14:14" x14ac:dyDescent="0.35">
      <c r="N7414" s="676"/>
    </row>
    <row r="7415" spans="14:14" x14ac:dyDescent="0.35">
      <c r="N7415" s="676"/>
    </row>
    <row r="7416" spans="14:14" x14ac:dyDescent="0.35">
      <c r="N7416" s="676"/>
    </row>
    <row r="7417" spans="14:14" x14ac:dyDescent="0.35">
      <c r="N7417" s="676"/>
    </row>
    <row r="7418" spans="14:14" x14ac:dyDescent="0.35">
      <c r="N7418" s="676"/>
    </row>
    <row r="7419" spans="14:14" x14ac:dyDescent="0.35">
      <c r="N7419" s="676"/>
    </row>
    <row r="7420" spans="14:14" x14ac:dyDescent="0.35">
      <c r="N7420" s="676"/>
    </row>
    <row r="7421" spans="14:14" x14ac:dyDescent="0.35">
      <c r="N7421" s="676"/>
    </row>
    <row r="7422" spans="14:14" x14ac:dyDescent="0.35">
      <c r="N7422" s="676"/>
    </row>
    <row r="7423" spans="14:14" x14ac:dyDescent="0.35">
      <c r="N7423" s="676"/>
    </row>
    <row r="7424" spans="14:14" x14ac:dyDescent="0.35">
      <c r="N7424" s="676"/>
    </row>
    <row r="7425" spans="14:14" x14ac:dyDescent="0.35">
      <c r="N7425" s="676"/>
    </row>
    <row r="7426" spans="14:14" x14ac:dyDescent="0.35">
      <c r="N7426" s="676"/>
    </row>
    <row r="7427" spans="14:14" x14ac:dyDescent="0.35">
      <c r="N7427" s="676"/>
    </row>
    <row r="7428" spans="14:14" x14ac:dyDescent="0.35">
      <c r="N7428" s="676"/>
    </row>
    <row r="7429" spans="14:14" x14ac:dyDescent="0.35">
      <c r="N7429" s="676"/>
    </row>
    <row r="7430" spans="14:14" x14ac:dyDescent="0.35">
      <c r="N7430" s="676"/>
    </row>
    <row r="7431" spans="14:14" x14ac:dyDescent="0.35">
      <c r="N7431" s="676"/>
    </row>
    <row r="7432" spans="14:14" x14ac:dyDescent="0.35">
      <c r="N7432" s="676"/>
    </row>
    <row r="7433" spans="14:14" x14ac:dyDescent="0.35">
      <c r="N7433" s="676"/>
    </row>
    <row r="7434" spans="14:14" x14ac:dyDescent="0.35">
      <c r="N7434" s="676"/>
    </row>
    <row r="7435" spans="14:14" x14ac:dyDescent="0.35">
      <c r="N7435" s="676"/>
    </row>
    <row r="7436" spans="14:14" x14ac:dyDescent="0.35">
      <c r="N7436" s="676"/>
    </row>
    <row r="7437" spans="14:14" x14ac:dyDescent="0.35">
      <c r="N7437" s="676"/>
    </row>
    <row r="7438" spans="14:14" x14ac:dyDescent="0.35">
      <c r="N7438" s="676"/>
    </row>
    <row r="7439" spans="14:14" x14ac:dyDescent="0.35">
      <c r="N7439" s="676"/>
    </row>
    <row r="7440" spans="14:14" x14ac:dyDescent="0.35">
      <c r="N7440" s="676"/>
    </row>
    <row r="7441" spans="14:14" x14ac:dyDescent="0.35">
      <c r="N7441" s="676"/>
    </row>
    <row r="7442" spans="14:14" x14ac:dyDescent="0.35">
      <c r="N7442" s="676"/>
    </row>
    <row r="7443" spans="14:14" x14ac:dyDescent="0.35">
      <c r="N7443" s="676"/>
    </row>
    <row r="7444" spans="14:14" x14ac:dyDescent="0.35">
      <c r="N7444" s="676"/>
    </row>
    <row r="7445" spans="14:14" x14ac:dyDescent="0.35">
      <c r="N7445" s="676"/>
    </row>
    <row r="7446" spans="14:14" x14ac:dyDescent="0.35">
      <c r="N7446" s="676"/>
    </row>
    <row r="7447" spans="14:14" x14ac:dyDescent="0.35">
      <c r="N7447" s="676"/>
    </row>
    <row r="7448" spans="14:14" x14ac:dyDescent="0.35">
      <c r="N7448" s="676"/>
    </row>
    <row r="7449" spans="14:14" x14ac:dyDescent="0.35">
      <c r="N7449" s="676"/>
    </row>
    <row r="7450" spans="14:14" x14ac:dyDescent="0.35">
      <c r="N7450" s="676"/>
    </row>
    <row r="7451" spans="14:14" x14ac:dyDescent="0.35">
      <c r="N7451" s="676"/>
    </row>
    <row r="7452" spans="14:14" x14ac:dyDescent="0.35">
      <c r="N7452" s="676"/>
    </row>
    <row r="7453" spans="14:14" x14ac:dyDescent="0.35">
      <c r="N7453" s="676"/>
    </row>
    <row r="7454" spans="14:14" x14ac:dyDescent="0.35">
      <c r="N7454" s="676"/>
    </row>
    <row r="7455" spans="14:14" x14ac:dyDescent="0.35">
      <c r="N7455" s="676"/>
    </row>
    <row r="7456" spans="14:14" x14ac:dyDescent="0.35">
      <c r="N7456" s="676"/>
    </row>
    <row r="7457" spans="14:14" x14ac:dyDescent="0.35">
      <c r="N7457" s="676"/>
    </row>
    <row r="7458" spans="14:14" x14ac:dyDescent="0.35">
      <c r="N7458" s="676"/>
    </row>
    <row r="7459" spans="14:14" x14ac:dyDescent="0.35">
      <c r="N7459" s="676"/>
    </row>
    <row r="7460" spans="14:14" x14ac:dyDescent="0.35">
      <c r="N7460" s="676"/>
    </row>
    <row r="7461" spans="14:14" x14ac:dyDescent="0.35">
      <c r="N7461" s="676"/>
    </row>
    <row r="7462" spans="14:14" x14ac:dyDescent="0.35">
      <c r="N7462" s="676"/>
    </row>
    <row r="7463" spans="14:14" x14ac:dyDescent="0.35">
      <c r="N7463" s="676"/>
    </row>
    <row r="7464" spans="14:14" x14ac:dyDescent="0.35">
      <c r="N7464" s="676"/>
    </row>
    <row r="7465" spans="14:14" x14ac:dyDescent="0.35">
      <c r="N7465" s="676"/>
    </row>
    <row r="7466" spans="14:14" x14ac:dyDescent="0.35">
      <c r="N7466" s="676"/>
    </row>
    <row r="7467" spans="14:14" x14ac:dyDescent="0.35">
      <c r="N7467" s="676"/>
    </row>
    <row r="7468" spans="14:14" x14ac:dyDescent="0.35">
      <c r="N7468" s="676"/>
    </row>
    <row r="7469" spans="14:14" x14ac:dyDescent="0.35">
      <c r="N7469" s="676"/>
    </row>
    <row r="7470" spans="14:14" x14ac:dyDescent="0.35">
      <c r="N7470" s="676"/>
    </row>
    <row r="7471" spans="14:14" x14ac:dyDescent="0.35">
      <c r="N7471" s="676"/>
    </row>
    <row r="7472" spans="14:14" x14ac:dyDescent="0.35">
      <c r="N7472" s="676"/>
    </row>
    <row r="7473" spans="14:14" x14ac:dyDescent="0.35">
      <c r="N7473" s="676"/>
    </row>
    <row r="7474" spans="14:14" x14ac:dyDescent="0.35">
      <c r="N7474" s="676"/>
    </row>
    <row r="7475" spans="14:14" x14ac:dyDescent="0.35">
      <c r="N7475" s="676"/>
    </row>
    <row r="7476" spans="14:14" x14ac:dyDescent="0.35">
      <c r="N7476" s="676"/>
    </row>
    <row r="7477" spans="14:14" x14ac:dyDescent="0.35">
      <c r="N7477" s="676"/>
    </row>
    <row r="7478" spans="14:14" x14ac:dyDescent="0.35">
      <c r="N7478" s="676"/>
    </row>
    <row r="7479" spans="14:14" x14ac:dyDescent="0.35">
      <c r="N7479" s="676"/>
    </row>
    <row r="7480" spans="14:14" x14ac:dyDescent="0.35">
      <c r="N7480" s="676"/>
    </row>
    <row r="7481" spans="14:14" x14ac:dyDescent="0.35">
      <c r="N7481" s="676"/>
    </row>
    <row r="7482" spans="14:14" x14ac:dyDescent="0.35">
      <c r="N7482" s="676"/>
    </row>
    <row r="7483" spans="14:14" x14ac:dyDescent="0.35">
      <c r="N7483" s="676"/>
    </row>
    <row r="7484" spans="14:14" x14ac:dyDescent="0.35">
      <c r="N7484" s="676"/>
    </row>
    <row r="7485" spans="14:14" x14ac:dyDescent="0.35">
      <c r="N7485" s="676"/>
    </row>
    <row r="7486" spans="14:14" x14ac:dyDescent="0.35">
      <c r="N7486" s="676"/>
    </row>
    <row r="7487" spans="14:14" x14ac:dyDescent="0.35">
      <c r="N7487" s="676"/>
    </row>
    <row r="7488" spans="14:14" x14ac:dyDescent="0.35">
      <c r="N7488" s="676"/>
    </row>
    <row r="7489" spans="14:14" x14ac:dyDescent="0.35">
      <c r="N7489" s="676"/>
    </row>
    <row r="7490" spans="14:14" x14ac:dyDescent="0.35">
      <c r="N7490" s="676"/>
    </row>
    <row r="7491" spans="14:14" x14ac:dyDescent="0.35">
      <c r="N7491" s="676"/>
    </row>
    <row r="7492" spans="14:14" x14ac:dyDescent="0.35">
      <c r="N7492" s="676"/>
    </row>
    <row r="7493" spans="14:14" x14ac:dyDescent="0.35">
      <c r="N7493" s="676"/>
    </row>
    <row r="7494" spans="14:14" x14ac:dyDescent="0.35">
      <c r="N7494" s="676"/>
    </row>
    <row r="7495" spans="14:14" x14ac:dyDescent="0.35">
      <c r="N7495" s="676"/>
    </row>
    <row r="7496" spans="14:14" x14ac:dyDescent="0.35">
      <c r="N7496" s="676"/>
    </row>
    <row r="7497" spans="14:14" x14ac:dyDescent="0.35">
      <c r="N7497" s="676"/>
    </row>
    <row r="7498" spans="14:14" x14ac:dyDescent="0.35">
      <c r="N7498" s="676"/>
    </row>
    <row r="7499" spans="14:14" x14ac:dyDescent="0.35">
      <c r="N7499" s="676"/>
    </row>
    <row r="7500" spans="14:14" x14ac:dyDescent="0.35">
      <c r="N7500" s="676"/>
    </row>
    <row r="7501" spans="14:14" x14ac:dyDescent="0.35">
      <c r="N7501" s="676"/>
    </row>
    <row r="7502" spans="14:14" x14ac:dyDescent="0.35">
      <c r="N7502" s="676"/>
    </row>
    <row r="7503" spans="14:14" x14ac:dyDescent="0.35">
      <c r="N7503" s="676"/>
    </row>
    <row r="7504" spans="14:14" x14ac:dyDescent="0.35">
      <c r="N7504" s="676"/>
    </row>
    <row r="7505" spans="14:14" x14ac:dyDescent="0.35">
      <c r="N7505" s="676"/>
    </row>
    <row r="7506" spans="14:14" x14ac:dyDescent="0.35">
      <c r="N7506" s="676"/>
    </row>
    <row r="7507" spans="14:14" x14ac:dyDescent="0.35">
      <c r="N7507" s="676"/>
    </row>
    <row r="7508" spans="14:14" x14ac:dyDescent="0.35">
      <c r="N7508" s="676"/>
    </row>
    <row r="7509" spans="14:14" x14ac:dyDescent="0.35">
      <c r="N7509" s="676"/>
    </row>
    <row r="7510" spans="14:14" x14ac:dyDescent="0.35">
      <c r="N7510" s="676"/>
    </row>
    <row r="7511" spans="14:14" x14ac:dyDescent="0.35">
      <c r="N7511" s="676"/>
    </row>
    <row r="7512" spans="14:14" x14ac:dyDescent="0.35">
      <c r="N7512" s="676"/>
    </row>
    <row r="7513" spans="14:14" x14ac:dyDescent="0.35">
      <c r="N7513" s="676"/>
    </row>
    <row r="7514" spans="14:14" x14ac:dyDescent="0.35">
      <c r="N7514" s="676"/>
    </row>
    <row r="7515" spans="14:14" x14ac:dyDescent="0.35">
      <c r="N7515" s="676"/>
    </row>
    <row r="7516" spans="14:14" x14ac:dyDescent="0.35">
      <c r="N7516" s="676"/>
    </row>
    <row r="7517" spans="14:14" x14ac:dyDescent="0.35">
      <c r="N7517" s="676"/>
    </row>
    <row r="7518" spans="14:14" x14ac:dyDescent="0.35">
      <c r="N7518" s="676"/>
    </row>
    <row r="7519" spans="14:14" x14ac:dyDescent="0.35">
      <c r="N7519" s="676"/>
    </row>
    <row r="7520" spans="14:14" x14ac:dyDescent="0.35">
      <c r="N7520" s="676"/>
    </row>
    <row r="7521" spans="14:14" x14ac:dyDescent="0.35">
      <c r="N7521" s="676"/>
    </row>
    <row r="7522" spans="14:14" x14ac:dyDescent="0.35">
      <c r="N7522" s="676"/>
    </row>
    <row r="7523" spans="14:14" x14ac:dyDescent="0.35">
      <c r="N7523" s="676"/>
    </row>
    <row r="7524" spans="14:14" x14ac:dyDescent="0.35">
      <c r="N7524" s="676"/>
    </row>
    <row r="7525" spans="14:14" x14ac:dyDescent="0.35">
      <c r="N7525" s="676"/>
    </row>
    <row r="7526" spans="14:14" x14ac:dyDescent="0.35">
      <c r="N7526" s="676"/>
    </row>
    <row r="7527" spans="14:14" x14ac:dyDescent="0.35">
      <c r="N7527" s="676"/>
    </row>
    <row r="7528" spans="14:14" x14ac:dyDescent="0.35">
      <c r="N7528" s="676"/>
    </row>
    <row r="7529" spans="14:14" x14ac:dyDescent="0.35">
      <c r="N7529" s="676"/>
    </row>
    <row r="7530" spans="14:14" x14ac:dyDescent="0.35">
      <c r="N7530" s="676"/>
    </row>
    <row r="7531" spans="14:14" x14ac:dyDescent="0.35">
      <c r="N7531" s="676"/>
    </row>
    <row r="7532" spans="14:14" x14ac:dyDescent="0.35">
      <c r="N7532" s="676"/>
    </row>
    <row r="7533" spans="14:14" x14ac:dyDescent="0.35">
      <c r="N7533" s="676"/>
    </row>
    <row r="7534" spans="14:14" x14ac:dyDescent="0.35">
      <c r="N7534" s="676"/>
    </row>
    <row r="7535" spans="14:14" x14ac:dyDescent="0.35">
      <c r="N7535" s="676"/>
    </row>
    <row r="7536" spans="14:14" x14ac:dyDescent="0.35">
      <c r="N7536" s="676"/>
    </row>
    <row r="7537" spans="14:14" x14ac:dyDescent="0.35">
      <c r="N7537" s="676"/>
    </row>
    <row r="7538" spans="14:14" x14ac:dyDescent="0.35">
      <c r="N7538" s="676"/>
    </row>
    <row r="7539" spans="14:14" x14ac:dyDescent="0.35">
      <c r="N7539" s="676"/>
    </row>
    <row r="7540" spans="14:14" x14ac:dyDescent="0.35">
      <c r="N7540" s="676"/>
    </row>
    <row r="7541" spans="14:14" x14ac:dyDescent="0.35">
      <c r="N7541" s="676"/>
    </row>
    <row r="7542" spans="14:14" x14ac:dyDescent="0.35">
      <c r="N7542" s="676"/>
    </row>
    <row r="7543" spans="14:14" x14ac:dyDescent="0.35">
      <c r="N7543" s="676"/>
    </row>
    <row r="7544" spans="14:14" x14ac:dyDescent="0.35">
      <c r="N7544" s="676"/>
    </row>
    <row r="7545" spans="14:14" x14ac:dyDescent="0.35">
      <c r="N7545" s="676"/>
    </row>
    <row r="7546" spans="14:14" x14ac:dyDescent="0.35">
      <c r="N7546" s="676"/>
    </row>
    <row r="7547" spans="14:14" x14ac:dyDescent="0.35">
      <c r="N7547" s="676"/>
    </row>
    <row r="7548" spans="14:14" x14ac:dyDescent="0.35">
      <c r="N7548" s="676"/>
    </row>
    <row r="7549" spans="14:14" x14ac:dyDescent="0.35">
      <c r="N7549" s="676"/>
    </row>
    <row r="7550" spans="14:14" x14ac:dyDescent="0.35">
      <c r="N7550" s="676"/>
    </row>
    <row r="7551" spans="14:14" x14ac:dyDescent="0.35">
      <c r="N7551" s="676"/>
    </row>
    <row r="7552" spans="14:14" x14ac:dyDescent="0.35">
      <c r="N7552" s="676"/>
    </row>
    <row r="7553" spans="14:14" x14ac:dyDescent="0.35">
      <c r="N7553" s="676"/>
    </row>
    <row r="7554" spans="14:14" x14ac:dyDescent="0.35">
      <c r="N7554" s="676"/>
    </row>
    <row r="7555" spans="14:14" x14ac:dyDescent="0.35">
      <c r="N7555" s="676"/>
    </row>
    <row r="7556" spans="14:14" x14ac:dyDescent="0.35">
      <c r="N7556" s="676"/>
    </row>
    <row r="7557" spans="14:14" x14ac:dyDescent="0.35">
      <c r="N7557" s="676"/>
    </row>
    <row r="7558" spans="14:14" x14ac:dyDescent="0.35">
      <c r="N7558" s="676"/>
    </row>
    <row r="7559" spans="14:14" x14ac:dyDescent="0.35">
      <c r="N7559" s="676"/>
    </row>
    <row r="7560" spans="14:14" x14ac:dyDescent="0.35">
      <c r="N7560" s="676"/>
    </row>
    <row r="7561" spans="14:14" x14ac:dyDescent="0.35">
      <c r="N7561" s="676"/>
    </row>
    <row r="7562" spans="14:14" x14ac:dyDescent="0.35">
      <c r="N7562" s="676"/>
    </row>
    <row r="7563" spans="14:14" x14ac:dyDescent="0.35">
      <c r="N7563" s="676"/>
    </row>
    <row r="7564" spans="14:14" x14ac:dyDescent="0.35">
      <c r="N7564" s="676"/>
    </row>
    <row r="7565" spans="14:14" x14ac:dyDescent="0.35">
      <c r="N7565" s="676"/>
    </row>
    <row r="7566" spans="14:14" x14ac:dyDescent="0.35">
      <c r="N7566" s="676"/>
    </row>
    <row r="7567" spans="14:14" x14ac:dyDescent="0.35">
      <c r="N7567" s="676"/>
    </row>
    <row r="7568" spans="14:14" x14ac:dyDescent="0.35">
      <c r="N7568" s="676"/>
    </row>
    <row r="7569" spans="14:14" x14ac:dyDescent="0.35">
      <c r="N7569" s="676"/>
    </row>
    <row r="7570" spans="14:14" x14ac:dyDescent="0.35">
      <c r="N7570" s="676"/>
    </row>
    <row r="7571" spans="14:14" x14ac:dyDescent="0.35">
      <c r="N7571" s="676"/>
    </row>
    <row r="7572" spans="14:14" x14ac:dyDescent="0.35">
      <c r="N7572" s="676"/>
    </row>
    <row r="7573" spans="14:14" x14ac:dyDescent="0.35">
      <c r="N7573" s="676"/>
    </row>
    <row r="7574" spans="14:14" x14ac:dyDescent="0.35">
      <c r="N7574" s="676"/>
    </row>
    <row r="7575" spans="14:14" x14ac:dyDescent="0.35">
      <c r="N7575" s="676"/>
    </row>
    <row r="7576" spans="14:14" x14ac:dyDescent="0.35">
      <c r="N7576" s="676"/>
    </row>
    <row r="7577" spans="14:14" x14ac:dyDescent="0.35">
      <c r="N7577" s="676"/>
    </row>
    <row r="7578" spans="14:14" x14ac:dyDescent="0.35">
      <c r="N7578" s="676"/>
    </row>
    <row r="7579" spans="14:14" x14ac:dyDescent="0.35">
      <c r="N7579" s="676"/>
    </row>
    <row r="7580" spans="14:14" x14ac:dyDescent="0.35">
      <c r="N7580" s="676"/>
    </row>
    <row r="7581" spans="14:14" x14ac:dyDescent="0.35">
      <c r="N7581" s="676"/>
    </row>
    <row r="7582" spans="14:14" x14ac:dyDescent="0.35">
      <c r="N7582" s="676"/>
    </row>
    <row r="7583" spans="14:14" x14ac:dyDescent="0.35">
      <c r="N7583" s="676"/>
    </row>
    <row r="7584" spans="14:14" x14ac:dyDescent="0.35">
      <c r="N7584" s="676"/>
    </row>
    <row r="7585" spans="14:14" x14ac:dyDescent="0.35">
      <c r="N7585" s="676"/>
    </row>
    <row r="7586" spans="14:14" x14ac:dyDescent="0.35">
      <c r="N7586" s="676"/>
    </row>
    <row r="7587" spans="14:14" x14ac:dyDescent="0.35">
      <c r="N7587" s="676"/>
    </row>
    <row r="7588" spans="14:14" x14ac:dyDescent="0.35">
      <c r="N7588" s="676"/>
    </row>
    <row r="7589" spans="14:14" x14ac:dyDescent="0.35">
      <c r="N7589" s="676"/>
    </row>
    <row r="7590" spans="14:14" x14ac:dyDescent="0.35">
      <c r="N7590" s="676"/>
    </row>
    <row r="7591" spans="14:14" x14ac:dyDescent="0.35">
      <c r="N7591" s="676"/>
    </row>
    <row r="7592" spans="14:14" x14ac:dyDescent="0.35">
      <c r="N7592" s="676"/>
    </row>
    <row r="7593" spans="14:14" x14ac:dyDescent="0.35">
      <c r="N7593" s="676"/>
    </row>
    <row r="7594" spans="14:14" x14ac:dyDescent="0.35">
      <c r="N7594" s="676"/>
    </row>
    <row r="7595" spans="14:14" x14ac:dyDescent="0.35">
      <c r="N7595" s="676"/>
    </row>
    <row r="7596" spans="14:14" x14ac:dyDescent="0.35">
      <c r="N7596" s="676"/>
    </row>
    <row r="7597" spans="14:14" x14ac:dyDescent="0.35">
      <c r="N7597" s="676"/>
    </row>
    <row r="7598" spans="14:14" x14ac:dyDescent="0.35">
      <c r="N7598" s="676"/>
    </row>
    <row r="7599" spans="14:14" x14ac:dyDescent="0.35">
      <c r="N7599" s="676"/>
    </row>
    <row r="7600" spans="14:14" x14ac:dyDescent="0.35">
      <c r="N7600" s="676"/>
    </row>
    <row r="7601" spans="14:14" x14ac:dyDescent="0.35">
      <c r="N7601" s="676"/>
    </row>
    <row r="7602" spans="14:14" x14ac:dyDescent="0.35">
      <c r="N7602" s="676"/>
    </row>
    <row r="7603" spans="14:14" x14ac:dyDescent="0.35">
      <c r="N7603" s="676"/>
    </row>
    <row r="7604" spans="14:14" x14ac:dyDescent="0.35">
      <c r="N7604" s="676"/>
    </row>
    <row r="7605" spans="14:14" x14ac:dyDescent="0.35">
      <c r="N7605" s="676"/>
    </row>
    <row r="7606" spans="14:14" x14ac:dyDescent="0.35">
      <c r="N7606" s="676"/>
    </row>
    <row r="7607" spans="14:14" x14ac:dyDescent="0.35">
      <c r="N7607" s="676"/>
    </row>
    <row r="7608" spans="14:14" x14ac:dyDescent="0.35">
      <c r="N7608" s="676"/>
    </row>
    <row r="7609" spans="14:14" x14ac:dyDescent="0.35">
      <c r="N7609" s="676"/>
    </row>
    <row r="7610" spans="14:14" x14ac:dyDescent="0.35">
      <c r="N7610" s="676"/>
    </row>
    <row r="7611" spans="14:14" x14ac:dyDescent="0.35">
      <c r="N7611" s="676"/>
    </row>
    <row r="7612" spans="14:14" x14ac:dyDescent="0.35">
      <c r="N7612" s="676"/>
    </row>
    <row r="7613" spans="14:14" x14ac:dyDescent="0.35">
      <c r="N7613" s="676"/>
    </row>
    <row r="7614" spans="14:14" x14ac:dyDescent="0.35">
      <c r="N7614" s="676"/>
    </row>
    <row r="7615" spans="14:14" x14ac:dyDescent="0.35">
      <c r="N7615" s="676"/>
    </row>
    <row r="7616" spans="14:14" x14ac:dyDescent="0.35">
      <c r="N7616" s="676"/>
    </row>
    <row r="7617" spans="14:14" x14ac:dyDescent="0.35">
      <c r="N7617" s="676"/>
    </row>
    <row r="7618" spans="14:14" x14ac:dyDescent="0.35">
      <c r="N7618" s="676"/>
    </row>
    <row r="7619" spans="14:14" x14ac:dyDescent="0.35">
      <c r="N7619" s="676"/>
    </row>
    <row r="7620" spans="14:14" x14ac:dyDescent="0.35">
      <c r="N7620" s="676"/>
    </row>
    <row r="7621" spans="14:14" x14ac:dyDescent="0.35">
      <c r="N7621" s="676"/>
    </row>
    <row r="7622" spans="14:14" x14ac:dyDescent="0.35">
      <c r="N7622" s="676"/>
    </row>
    <row r="7623" spans="14:14" x14ac:dyDescent="0.35">
      <c r="N7623" s="676"/>
    </row>
    <row r="7624" spans="14:14" x14ac:dyDescent="0.35">
      <c r="N7624" s="676"/>
    </row>
    <row r="7625" spans="14:14" x14ac:dyDescent="0.35">
      <c r="N7625" s="676"/>
    </row>
    <row r="7626" spans="14:14" x14ac:dyDescent="0.35">
      <c r="N7626" s="676"/>
    </row>
    <row r="7627" spans="14:14" x14ac:dyDescent="0.35">
      <c r="N7627" s="676"/>
    </row>
    <row r="7628" spans="14:14" x14ac:dyDescent="0.35">
      <c r="N7628" s="676"/>
    </row>
    <row r="7629" spans="14:14" x14ac:dyDescent="0.35">
      <c r="N7629" s="676"/>
    </row>
    <row r="7630" spans="14:14" x14ac:dyDescent="0.35">
      <c r="N7630" s="676"/>
    </row>
    <row r="7631" spans="14:14" x14ac:dyDescent="0.35">
      <c r="N7631" s="676"/>
    </row>
    <row r="7632" spans="14:14" x14ac:dyDescent="0.35">
      <c r="N7632" s="676"/>
    </row>
    <row r="7633" spans="14:14" x14ac:dyDescent="0.35">
      <c r="N7633" s="676"/>
    </row>
    <row r="7634" spans="14:14" x14ac:dyDescent="0.35">
      <c r="N7634" s="676"/>
    </row>
    <row r="7635" spans="14:14" x14ac:dyDescent="0.35">
      <c r="N7635" s="676"/>
    </row>
    <row r="7636" spans="14:14" x14ac:dyDescent="0.35">
      <c r="N7636" s="676"/>
    </row>
    <row r="7637" spans="14:14" x14ac:dyDescent="0.35">
      <c r="N7637" s="676"/>
    </row>
    <row r="7638" spans="14:14" x14ac:dyDescent="0.35">
      <c r="N7638" s="676"/>
    </row>
    <row r="7639" spans="14:14" x14ac:dyDescent="0.35">
      <c r="N7639" s="676"/>
    </row>
    <row r="7640" spans="14:14" x14ac:dyDescent="0.35">
      <c r="N7640" s="676"/>
    </row>
    <row r="7641" spans="14:14" x14ac:dyDescent="0.35">
      <c r="N7641" s="676"/>
    </row>
    <row r="7642" spans="14:14" x14ac:dyDescent="0.35">
      <c r="N7642" s="676"/>
    </row>
    <row r="7643" spans="14:14" x14ac:dyDescent="0.35">
      <c r="N7643" s="676"/>
    </row>
    <row r="7644" spans="14:14" x14ac:dyDescent="0.35">
      <c r="N7644" s="676"/>
    </row>
    <row r="7645" spans="14:14" x14ac:dyDescent="0.35">
      <c r="N7645" s="676"/>
    </row>
    <row r="7646" spans="14:14" x14ac:dyDescent="0.35">
      <c r="N7646" s="676"/>
    </row>
    <row r="7647" spans="14:14" x14ac:dyDescent="0.35">
      <c r="N7647" s="676"/>
    </row>
    <row r="7648" spans="14:14" x14ac:dyDescent="0.35">
      <c r="N7648" s="676"/>
    </row>
    <row r="7649" spans="14:14" x14ac:dyDescent="0.35">
      <c r="N7649" s="676"/>
    </row>
    <row r="7650" spans="14:14" x14ac:dyDescent="0.35">
      <c r="N7650" s="676"/>
    </row>
    <row r="7651" spans="14:14" x14ac:dyDescent="0.35">
      <c r="N7651" s="676"/>
    </row>
    <row r="7652" spans="14:14" x14ac:dyDescent="0.35">
      <c r="N7652" s="676"/>
    </row>
    <row r="7653" spans="14:14" x14ac:dyDescent="0.35">
      <c r="N7653" s="676"/>
    </row>
    <row r="7654" spans="14:14" x14ac:dyDescent="0.35">
      <c r="N7654" s="676"/>
    </row>
    <row r="7655" spans="14:14" x14ac:dyDescent="0.35">
      <c r="N7655" s="676"/>
    </row>
    <row r="7656" spans="14:14" x14ac:dyDescent="0.35">
      <c r="N7656" s="676"/>
    </row>
    <row r="7657" spans="14:14" x14ac:dyDescent="0.35">
      <c r="N7657" s="676"/>
    </row>
    <row r="7658" spans="14:14" x14ac:dyDescent="0.35">
      <c r="N7658" s="676"/>
    </row>
    <row r="7659" spans="14:14" x14ac:dyDescent="0.35">
      <c r="N7659" s="676"/>
    </row>
    <row r="7660" spans="14:14" x14ac:dyDescent="0.35">
      <c r="N7660" s="676"/>
    </row>
    <row r="7661" spans="14:14" x14ac:dyDescent="0.35">
      <c r="N7661" s="676"/>
    </row>
    <row r="7662" spans="14:14" x14ac:dyDescent="0.35">
      <c r="N7662" s="676"/>
    </row>
    <row r="7663" spans="14:14" x14ac:dyDescent="0.35">
      <c r="N7663" s="676"/>
    </row>
    <row r="7664" spans="14:14" x14ac:dyDescent="0.35">
      <c r="N7664" s="676"/>
    </row>
    <row r="7665" spans="14:14" x14ac:dyDescent="0.35">
      <c r="N7665" s="676"/>
    </row>
    <row r="7666" spans="14:14" x14ac:dyDescent="0.35">
      <c r="N7666" s="676"/>
    </row>
    <row r="7667" spans="14:14" x14ac:dyDescent="0.35">
      <c r="N7667" s="676"/>
    </row>
    <row r="7668" spans="14:14" x14ac:dyDescent="0.35">
      <c r="N7668" s="676"/>
    </row>
    <row r="7669" spans="14:14" x14ac:dyDescent="0.35">
      <c r="N7669" s="676"/>
    </row>
    <row r="7670" spans="14:14" x14ac:dyDescent="0.35">
      <c r="N7670" s="676"/>
    </row>
    <row r="7671" spans="14:14" x14ac:dyDescent="0.35">
      <c r="N7671" s="676"/>
    </row>
    <row r="7672" spans="14:14" x14ac:dyDescent="0.35">
      <c r="N7672" s="676"/>
    </row>
    <row r="7673" spans="14:14" x14ac:dyDescent="0.35">
      <c r="N7673" s="676"/>
    </row>
    <row r="7674" spans="14:14" x14ac:dyDescent="0.35">
      <c r="N7674" s="676"/>
    </row>
    <row r="7675" spans="14:14" x14ac:dyDescent="0.35">
      <c r="N7675" s="676"/>
    </row>
    <row r="7676" spans="14:14" x14ac:dyDescent="0.35">
      <c r="N7676" s="676"/>
    </row>
    <row r="7677" spans="14:14" x14ac:dyDescent="0.35">
      <c r="N7677" s="676"/>
    </row>
    <row r="7678" spans="14:14" x14ac:dyDescent="0.35">
      <c r="N7678" s="676"/>
    </row>
    <row r="7679" spans="14:14" x14ac:dyDescent="0.35">
      <c r="N7679" s="676"/>
    </row>
    <row r="7680" spans="14:14" x14ac:dyDescent="0.35">
      <c r="N7680" s="676"/>
    </row>
    <row r="7681" spans="14:14" x14ac:dyDescent="0.35">
      <c r="N7681" s="676"/>
    </row>
    <row r="7682" spans="14:14" x14ac:dyDescent="0.35">
      <c r="N7682" s="676"/>
    </row>
    <row r="7683" spans="14:14" x14ac:dyDescent="0.35">
      <c r="N7683" s="676"/>
    </row>
    <row r="7684" spans="14:14" x14ac:dyDescent="0.35">
      <c r="N7684" s="676"/>
    </row>
    <row r="7685" spans="14:14" x14ac:dyDescent="0.35">
      <c r="N7685" s="676"/>
    </row>
    <row r="7686" spans="14:14" x14ac:dyDescent="0.35">
      <c r="N7686" s="676"/>
    </row>
    <row r="7687" spans="14:14" x14ac:dyDescent="0.35">
      <c r="N7687" s="676"/>
    </row>
    <row r="7688" spans="14:14" x14ac:dyDescent="0.35">
      <c r="N7688" s="676"/>
    </row>
    <row r="7689" spans="14:14" x14ac:dyDescent="0.35">
      <c r="N7689" s="676"/>
    </row>
    <row r="7690" spans="14:14" x14ac:dyDescent="0.35">
      <c r="N7690" s="676"/>
    </row>
    <row r="7691" spans="14:14" x14ac:dyDescent="0.35">
      <c r="N7691" s="676"/>
    </row>
    <row r="7692" spans="14:14" x14ac:dyDescent="0.35">
      <c r="N7692" s="676"/>
    </row>
    <row r="7693" spans="14:14" x14ac:dyDescent="0.35">
      <c r="N7693" s="676"/>
    </row>
    <row r="7694" spans="14:14" x14ac:dyDescent="0.35">
      <c r="N7694" s="676"/>
    </row>
    <row r="7695" spans="14:14" x14ac:dyDescent="0.35">
      <c r="N7695" s="676"/>
    </row>
    <row r="7696" spans="14:14" x14ac:dyDescent="0.35">
      <c r="N7696" s="676"/>
    </row>
    <row r="7697" spans="14:14" x14ac:dyDescent="0.35">
      <c r="N7697" s="676"/>
    </row>
    <row r="7698" spans="14:14" x14ac:dyDescent="0.35">
      <c r="N7698" s="676"/>
    </row>
    <row r="7699" spans="14:14" x14ac:dyDescent="0.35">
      <c r="N7699" s="676"/>
    </row>
    <row r="7700" spans="14:14" x14ac:dyDescent="0.35">
      <c r="N7700" s="676"/>
    </row>
    <row r="7701" spans="14:14" x14ac:dyDescent="0.35">
      <c r="N7701" s="676"/>
    </row>
    <row r="7702" spans="14:14" x14ac:dyDescent="0.35">
      <c r="N7702" s="676"/>
    </row>
    <row r="7703" spans="14:14" x14ac:dyDescent="0.35">
      <c r="N7703" s="676"/>
    </row>
    <row r="7704" spans="14:14" x14ac:dyDescent="0.35">
      <c r="N7704" s="676"/>
    </row>
    <row r="7705" spans="14:14" x14ac:dyDescent="0.35">
      <c r="N7705" s="676"/>
    </row>
    <row r="7706" spans="14:14" x14ac:dyDescent="0.35">
      <c r="N7706" s="676"/>
    </row>
    <row r="7707" spans="14:14" x14ac:dyDescent="0.35">
      <c r="N7707" s="676"/>
    </row>
    <row r="7708" spans="14:14" x14ac:dyDescent="0.35">
      <c r="N7708" s="676"/>
    </row>
    <row r="7709" spans="14:14" x14ac:dyDescent="0.35">
      <c r="N7709" s="676"/>
    </row>
    <row r="7710" spans="14:14" x14ac:dyDescent="0.35">
      <c r="N7710" s="676"/>
    </row>
    <row r="7711" spans="14:14" x14ac:dyDescent="0.35">
      <c r="N7711" s="676"/>
    </row>
    <row r="7712" spans="14:14" x14ac:dyDescent="0.35">
      <c r="N7712" s="676"/>
    </row>
    <row r="7713" spans="14:14" x14ac:dyDescent="0.35">
      <c r="N7713" s="676"/>
    </row>
    <row r="7714" spans="14:14" x14ac:dyDescent="0.35">
      <c r="N7714" s="676"/>
    </row>
    <row r="7715" spans="14:14" x14ac:dyDescent="0.35">
      <c r="N7715" s="676"/>
    </row>
    <row r="7716" spans="14:14" x14ac:dyDescent="0.35">
      <c r="N7716" s="676"/>
    </row>
    <row r="7717" spans="14:14" x14ac:dyDescent="0.35">
      <c r="N7717" s="676"/>
    </row>
    <row r="7718" spans="14:14" x14ac:dyDescent="0.35">
      <c r="N7718" s="676"/>
    </row>
    <row r="7719" spans="14:14" x14ac:dyDescent="0.35">
      <c r="N7719" s="676"/>
    </row>
    <row r="7720" spans="14:14" x14ac:dyDescent="0.35">
      <c r="N7720" s="676"/>
    </row>
    <row r="7721" spans="14:14" x14ac:dyDescent="0.35">
      <c r="N7721" s="676"/>
    </row>
    <row r="7722" spans="14:14" x14ac:dyDescent="0.35">
      <c r="N7722" s="676"/>
    </row>
    <row r="7723" spans="14:14" x14ac:dyDescent="0.35">
      <c r="N7723" s="676"/>
    </row>
    <row r="7724" spans="14:14" x14ac:dyDescent="0.35">
      <c r="N7724" s="676"/>
    </row>
    <row r="7725" spans="14:14" x14ac:dyDescent="0.35">
      <c r="N7725" s="676"/>
    </row>
    <row r="7726" spans="14:14" x14ac:dyDescent="0.35">
      <c r="N7726" s="676"/>
    </row>
    <row r="7727" spans="14:14" x14ac:dyDescent="0.35">
      <c r="N7727" s="676"/>
    </row>
    <row r="7728" spans="14:14" x14ac:dyDescent="0.35">
      <c r="N7728" s="676"/>
    </row>
    <row r="7729" spans="14:14" x14ac:dyDescent="0.35">
      <c r="N7729" s="676"/>
    </row>
    <row r="7730" spans="14:14" x14ac:dyDescent="0.35">
      <c r="N7730" s="676"/>
    </row>
    <row r="7731" spans="14:14" x14ac:dyDescent="0.35">
      <c r="N7731" s="676"/>
    </row>
    <row r="7732" spans="14:14" x14ac:dyDescent="0.35">
      <c r="N7732" s="676"/>
    </row>
    <row r="7733" spans="14:14" x14ac:dyDescent="0.35">
      <c r="N7733" s="676"/>
    </row>
    <row r="7734" spans="14:14" x14ac:dyDescent="0.35">
      <c r="N7734" s="676"/>
    </row>
    <row r="7735" spans="14:14" x14ac:dyDescent="0.35">
      <c r="N7735" s="676"/>
    </row>
    <row r="7736" spans="14:14" x14ac:dyDescent="0.35">
      <c r="N7736" s="676"/>
    </row>
    <row r="7737" spans="14:14" x14ac:dyDescent="0.35">
      <c r="N7737" s="676"/>
    </row>
    <row r="7738" spans="14:14" x14ac:dyDescent="0.35">
      <c r="N7738" s="676"/>
    </row>
    <row r="7739" spans="14:14" x14ac:dyDescent="0.35">
      <c r="N7739" s="676"/>
    </row>
    <row r="7740" spans="14:14" x14ac:dyDescent="0.35">
      <c r="N7740" s="676"/>
    </row>
    <row r="7741" spans="14:14" x14ac:dyDescent="0.35">
      <c r="N7741" s="676"/>
    </row>
    <row r="7742" spans="14:14" x14ac:dyDescent="0.35">
      <c r="N7742" s="676"/>
    </row>
    <row r="7743" spans="14:14" x14ac:dyDescent="0.35">
      <c r="N7743" s="676"/>
    </row>
    <row r="7744" spans="14:14" x14ac:dyDescent="0.35">
      <c r="N7744" s="676"/>
    </row>
    <row r="7745" spans="14:14" x14ac:dyDescent="0.35">
      <c r="N7745" s="676"/>
    </row>
    <row r="7746" spans="14:14" x14ac:dyDescent="0.35">
      <c r="N7746" s="676"/>
    </row>
    <row r="7747" spans="14:14" x14ac:dyDescent="0.35">
      <c r="N7747" s="676"/>
    </row>
    <row r="7748" spans="14:14" x14ac:dyDescent="0.35">
      <c r="N7748" s="676"/>
    </row>
    <row r="7749" spans="14:14" x14ac:dyDescent="0.35">
      <c r="N7749" s="676"/>
    </row>
    <row r="7750" spans="14:14" x14ac:dyDescent="0.35">
      <c r="N7750" s="676"/>
    </row>
    <row r="7751" spans="14:14" x14ac:dyDescent="0.35">
      <c r="N7751" s="676"/>
    </row>
    <row r="7752" spans="14:14" x14ac:dyDescent="0.35">
      <c r="N7752" s="676"/>
    </row>
    <row r="7753" spans="14:14" x14ac:dyDescent="0.35">
      <c r="N7753" s="676"/>
    </row>
    <row r="7754" spans="14:14" x14ac:dyDescent="0.35">
      <c r="N7754" s="676"/>
    </row>
    <row r="7755" spans="14:14" x14ac:dyDescent="0.35">
      <c r="N7755" s="676"/>
    </row>
    <row r="7756" spans="14:14" x14ac:dyDescent="0.35">
      <c r="N7756" s="676"/>
    </row>
    <row r="7757" spans="14:14" x14ac:dyDescent="0.35">
      <c r="N7757" s="676"/>
    </row>
    <row r="7758" spans="14:14" x14ac:dyDescent="0.35">
      <c r="N7758" s="676"/>
    </row>
    <row r="7759" spans="14:14" x14ac:dyDescent="0.35">
      <c r="N7759" s="676"/>
    </row>
    <row r="7760" spans="14:14" x14ac:dyDescent="0.35">
      <c r="N7760" s="676"/>
    </row>
    <row r="7761" spans="14:14" x14ac:dyDescent="0.35">
      <c r="N7761" s="676"/>
    </row>
    <row r="7762" spans="14:14" x14ac:dyDescent="0.35">
      <c r="N7762" s="676"/>
    </row>
    <row r="7763" spans="14:14" x14ac:dyDescent="0.35">
      <c r="N7763" s="676"/>
    </row>
    <row r="7764" spans="14:14" x14ac:dyDescent="0.35">
      <c r="N7764" s="676"/>
    </row>
    <row r="7765" spans="14:14" x14ac:dyDescent="0.35">
      <c r="N7765" s="676"/>
    </row>
    <row r="7766" spans="14:14" x14ac:dyDescent="0.35">
      <c r="N7766" s="676"/>
    </row>
    <row r="7767" spans="14:14" x14ac:dyDescent="0.35">
      <c r="N7767" s="676"/>
    </row>
    <row r="7768" spans="14:14" x14ac:dyDescent="0.35">
      <c r="N7768" s="676"/>
    </row>
    <row r="7769" spans="14:14" x14ac:dyDescent="0.35">
      <c r="N7769" s="676"/>
    </row>
    <row r="7770" spans="14:14" x14ac:dyDescent="0.35">
      <c r="N7770" s="676"/>
    </row>
    <row r="7771" spans="14:14" x14ac:dyDescent="0.35">
      <c r="N7771" s="676"/>
    </row>
    <row r="7772" spans="14:14" x14ac:dyDescent="0.35">
      <c r="N7772" s="676"/>
    </row>
    <row r="7773" spans="14:14" x14ac:dyDescent="0.35">
      <c r="N7773" s="676"/>
    </row>
    <row r="7774" spans="14:14" x14ac:dyDescent="0.35">
      <c r="N7774" s="676"/>
    </row>
    <row r="7775" spans="14:14" x14ac:dyDescent="0.35">
      <c r="N7775" s="676"/>
    </row>
    <row r="7776" spans="14:14" x14ac:dyDescent="0.35">
      <c r="N7776" s="676"/>
    </row>
    <row r="7777" spans="14:14" x14ac:dyDescent="0.35">
      <c r="N7777" s="676"/>
    </row>
    <row r="7778" spans="14:14" x14ac:dyDescent="0.35">
      <c r="N7778" s="676"/>
    </row>
    <row r="7779" spans="14:14" x14ac:dyDescent="0.35">
      <c r="N7779" s="676"/>
    </row>
    <row r="7780" spans="14:14" x14ac:dyDescent="0.35">
      <c r="N7780" s="676"/>
    </row>
    <row r="7781" spans="14:14" x14ac:dyDescent="0.35">
      <c r="N7781" s="676"/>
    </row>
    <row r="7782" spans="14:14" x14ac:dyDescent="0.35">
      <c r="N7782" s="676"/>
    </row>
    <row r="7783" spans="14:14" x14ac:dyDescent="0.35">
      <c r="N7783" s="676"/>
    </row>
    <row r="7784" spans="14:14" x14ac:dyDescent="0.35">
      <c r="N7784" s="676"/>
    </row>
    <row r="7785" spans="14:14" x14ac:dyDescent="0.35">
      <c r="N7785" s="676"/>
    </row>
    <row r="7786" spans="14:14" x14ac:dyDescent="0.35">
      <c r="N7786" s="676"/>
    </row>
    <row r="7787" spans="14:14" x14ac:dyDescent="0.35">
      <c r="N7787" s="676"/>
    </row>
    <row r="7788" spans="14:14" x14ac:dyDescent="0.35">
      <c r="N7788" s="676"/>
    </row>
    <row r="7789" spans="14:14" x14ac:dyDescent="0.35">
      <c r="N7789" s="676"/>
    </row>
    <row r="7790" spans="14:14" x14ac:dyDescent="0.35">
      <c r="N7790" s="676"/>
    </row>
    <row r="7791" spans="14:14" x14ac:dyDescent="0.35">
      <c r="N7791" s="676"/>
    </row>
    <row r="7792" spans="14:14" x14ac:dyDescent="0.35">
      <c r="N7792" s="676"/>
    </row>
    <row r="7793" spans="14:14" x14ac:dyDescent="0.35">
      <c r="N7793" s="676"/>
    </row>
    <row r="7794" spans="14:14" x14ac:dyDescent="0.35">
      <c r="N7794" s="676"/>
    </row>
    <row r="7795" spans="14:14" x14ac:dyDescent="0.35">
      <c r="N7795" s="676"/>
    </row>
    <row r="7796" spans="14:14" x14ac:dyDescent="0.35">
      <c r="N7796" s="676"/>
    </row>
    <row r="7797" spans="14:14" x14ac:dyDescent="0.35">
      <c r="N7797" s="676"/>
    </row>
    <row r="7798" spans="14:14" x14ac:dyDescent="0.35">
      <c r="N7798" s="676"/>
    </row>
    <row r="7799" spans="14:14" x14ac:dyDescent="0.35">
      <c r="N7799" s="676"/>
    </row>
    <row r="7800" spans="14:14" x14ac:dyDescent="0.35">
      <c r="N7800" s="676"/>
    </row>
    <row r="7801" spans="14:14" x14ac:dyDescent="0.35">
      <c r="N7801" s="676"/>
    </row>
    <row r="7802" spans="14:14" x14ac:dyDescent="0.35">
      <c r="N7802" s="676"/>
    </row>
    <row r="7803" spans="14:14" x14ac:dyDescent="0.35">
      <c r="N7803" s="676"/>
    </row>
    <row r="7804" spans="14:14" x14ac:dyDescent="0.35">
      <c r="N7804" s="676"/>
    </row>
    <row r="7805" spans="14:14" x14ac:dyDescent="0.35">
      <c r="N7805" s="676"/>
    </row>
    <row r="7806" spans="14:14" x14ac:dyDescent="0.35">
      <c r="N7806" s="676"/>
    </row>
    <row r="7807" spans="14:14" x14ac:dyDescent="0.35">
      <c r="N7807" s="676"/>
    </row>
    <row r="7808" spans="14:14" x14ac:dyDescent="0.35">
      <c r="N7808" s="676"/>
    </row>
    <row r="7809" spans="14:14" x14ac:dyDescent="0.35">
      <c r="N7809" s="676"/>
    </row>
    <row r="7810" spans="14:14" x14ac:dyDescent="0.35">
      <c r="N7810" s="676"/>
    </row>
    <row r="7811" spans="14:14" x14ac:dyDescent="0.35">
      <c r="N7811" s="676"/>
    </row>
    <row r="7812" spans="14:14" x14ac:dyDescent="0.35">
      <c r="N7812" s="676"/>
    </row>
    <row r="7813" spans="14:14" x14ac:dyDescent="0.35">
      <c r="N7813" s="676"/>
    </row>
    <row r="7814" spans="14:14" x14ac:dyDescent="0.35">
      <c r="N7814" s="676"/>
    </row>
    <row r="7815" spans="14:14" x14ac:dyDescent="0.35">
      <c r="N7815" s="676"/>
    </row>
    <row r="7816" spans="14:14" x14ac:dyDescent="0.35">
      <c r="N7816" s="676"/>
    </row>
    <row r="7817" spans="14:14" x14ac:dyDescent="0.35">
      <c r="N7817" s="676"/>
    </row>
    <row r="7818" spans="14:14" x14ac:dyDescent="0.35">
      <c r="N7818" s="676"/>
    </row>
    <row r="7819" spans="14:14" x14ac:dyDescent="0.35">
      <c r="N7819" s="676"/>
    </row>
    <row r="7820" spans="14:14" x14ac:dyDescent="0.35">
      <c r="N7820" s="676"/>
    </row>
    <row r="7821" spans="14:14" x14ac:dyDescent="0.35">
      <c r="N7821" s="676"/>
    </row>
    <row r="7822" spans="14:14" x14ac:dyDescent="0.35">
      <c r="N7822" s="676"/>
    </row>
    <row r="7823" spans="14:14" x14ac:dyDescent="0.35">
      <c r="N7823" s="676"/>
    </row>
    <row r="7824" spans="14:14" x14ac:dyDescent="0.35">
      <c r="N7824" s="676"/>
    </row>
    <row r="7825" spans="14:14" x14ac:dyDescent="0.35">
      <c r="N7825" s="676"/>
    </row>
    <row r="7826" spans="14:14" x14ac:dyDescent="0.35">
      <c r="N7826" s="676"/>
    </row>
    <row r="7827" spans="14:14" x14ac:dyDescent="0.35">
      <c r="N7827" s="676"/>
    </row>
    <row r="7828" spans="14:14" x14ac:dyDescent="0.35">
      <c r="N7828" s="676"/>
    </row>
    <row r="7829" spans="14:14" x14ac:dyDescent="0.35">
      <c r="N7829" s="676"/>
    </row>
    <row r="7830" spans="14:14" x14ac:dyDescent="0.35">
      <c r="N7830" s="676"/>
    </row>
    <row r="7831" spans="14:14" x14ac:dyDescent="0.35">
      <c r="N7831" s="676"/>
    </row>
    <row r="7832" spans="14:14" x14ac:dyDescent="0.35">
      <c r="N7832" s="676"/>
    </row>
    <row r="7833" spans="14:14" x14ac:dyDescent="0.35">
      <c r="N7833" s="676"/>
    </row>
    <row r="7834" spans="14:14" x14ac:dyDescent="0.35">
      <c r="N7834" s="676"/>
    </row>
    <row r="7835" spans="14:14" x14ac:dyDescent="0.35">
      <c r="N7835" s="676"/>
    </row>
    <row r="7836" spans="14:14" x14ac:dyDescent="0.35">
      <c r="N7836" s="676"/>
    </row>
    <row r="7837" spans="14:14" x14ac:dyDescent="0.35">
      <c r="N7837" s="676"/>
    </row>
    <row r="7838" spans="14:14" x14ac:dyDescent="0.35">
      <c r="N7838" s="676"/>
    </row>
    <row r="7839" spans="14:14" x14ac:dyDescent="0.35">
      <c r="N7839" s="676"/>
    </row>
    <row r="7840" spans="14:14" x14ac:dyDescent="0.35">
      <c r="N7840" s="676"/>
    </row>
    <row r="7841" spans="14:14" x14ac:dyDescent="0.35">
      <c r="N7841" s="676"/>
    </row>
    <row r="7842" spans="14:14" x14ac:dyDescent="0.35">
      <c r="N7842" s="676"/>
    </row>
    <row r="7843" spans="14:14" x14ac:dyDescent="0.35">
      <c r="N7843" s="676"/>
    </row>
    <row r="7844" spans="14:14" x14ac:dyDescent="0.35">
      <c r="N7844" s="676"/>
    </row>
    <row r="7845" spans="14:14" x14ac:dyDescent="0.35">
      <c r="N7845" s="676"/>
    </row>
    <row r="7846" spans="14:14" x14ac:dyDescent="0.35">
      <c r="N7846" s="676"/>
    </row>
    <row r="7847" spans="14:14" x14ac:dyDescent="0.35">
      <c r="N7847" s="676"/>
    </row>
    <row r="7848" spans="14:14" x14ac:dyDescent="0.35">
      <c r="N7848" s="676"/>
    </row>
    <row r="7849" spans="14:14" x14ac:dyDescent="0.35">
      <c r="N7849" s="676"/>
    </row>
    <row r="7850" spans="14:14" x14ac:dyDescent="0.35">
      <c r="N7850" s="676"/>
    </row>
    <row r="7851" spans="14:14" x14ac:dyDescent="0.35">
      <c r="N7851" s="676"/>
    </row>
    <row r="7852" spans="14:14" x14ac:dyDescent="0.35">
      <c r="N7852" s="676"/>
    </row>
    <row r="7853" spans="14:14" x14ac:dyDescent="0.35">
      <c r="N7853" s="676"/>
    </row>
    <row r="7854" spans="14:14" x14ac:dyDescent="0.35">
      <c r="N7854" s="676"/>
    </row>
    <row r="7855" spans="14:14" x14ac:dyDescent="0.35">
      <c r="N7855" s="676"/>
    </row>
    <row r="7856" spans="14:14" x14ac:dyDescent="0.35">
      <c r="N7856" s="676"/>
    </row>
    <row r="7857" spans="14:14" x14ac:dyDescent="0.35">
      <c r="N7857" s="676"/>
    </row>
    <row r="7858" spans="14:14" x14ac:dyDescent="0.35">
      <c r="N7858" s="676"/>
    </row>
    <row r="7859" spans="14:14" x14ac:dyDescent="0.35">
      <c r="N7859" s="676"/>
    </row>
    <row r="7860" spans="14:14" x14ac:dyDescent="0.35">
      <c r="N7860" s="676"/>
    </row>
    <row r="7861" spans="14:14" x14ac:dyDescent="0.35">
      <c r="N7861" s="676"/>
    </row>
    <row r="7862" spans="14:14" x14ac:dyDescent="0.35">
      <c r="N7862" s="676"/>
    </row>
    <row r="7863" spans="14:14" x14ac:dyDescent="0.35">
      <c r="N7863" s="676"/>
    </row>
    <row r="7864" spans="14:14" x14ac:dyDescent="0.35">
      <c r="N7864" s="676"/>
    </row>
    <row r="7865" spans="14:14" x14ac:dyDescent="0.35">
      <c r="N7865" s="676"/>
    </row>
    <row r="7866" spans="14:14" x14ac:dyDescent="0.35">
      <c r="N7866" s="676"/>
    </row>
    <row r="7867" spans="14:14" x14ac:dyDescent="0.35">
      <c r="N7867" s="676"/>
    </row>
    <row r="7868" spans="14:14" x14ac:dyDescent="0.35">
      <c r="N7868" s="676"/>
    </row>
    <row r="7869" spans="14:14" x14ac:dyDescent="0.35">
      <c r="N7869" s="676"/>
    </row>
    <row r="7870" spans="14:14" x14ac:dyDescent="0.35">
      <c r="N7870" s="676"/>
    </row>
    <row r="7871" spans="14:14" x14ac:dyDescent="0.35">
      <c r="N7871" s="676"/>
    </row>
    <row r="7872" spans="14:14" x14ac:dyDescent="0.35">
      <c r="N7872" s="676"/>
    </row>
    <row r="7873" spans="14:14" x14ac:dyDescent="0.35">
      <c r="N7873" s="676"/>
    </row>
    <row r="7874" spans="14:14" x14ac:dyDescent="0.35">
      <c r="N7874" s="676"/>
    </row>
    <row r="7875" spans="14:14" x14ac:dyDescent="0.35">
      <c r="N7875" s="676"/>
    </row>
    <row r="7876" spans="14:14" x14ac:dyDescent="0.35">
      <c r="N7876" s="676"/>
    </row>
    <row r="7877" spans="14:14" x14ac:dyDescent="0.35">
      <c r="N7877" s="676"/>
    </row>
    <row r="7878" spans="14:14" x14ac:dyDescent="0.35">
      <c r="N7878" s="676"/>
    </row>
    <row r="7879" spans="14:14" x14ac:dyDescent="0.35">
      <c r="N7879" s="676"/>
    </row>
    <row r="7880" spans="14:14" x14ac:dyDescent="0.35">
      <c r="N7880" s="676"/>
    </row>
    <row r="7881" spans="14:14" x14ac:dyDescent="0.35">
      <c r="N7881" s="676"/>
    </row>
    <row r="7882" spans="14:14" x14ac:dyDescent="0.35">
      <c r="N7882" s="676"/>
    </row>
    <row r="7883" spans="14:14" x14ac:dyDescent="0.35">
      <c r="N7883" s="676"/>
    </row>
    <row r="7884" spans="14:14" x14ac:dyDescent="0.35">
      <c r="N7884" s="676"/>
    </row>
    <row r="7885" spans="14:14" x14ac:dyDescent="0.35">
      <c r="N7885" s="676"/>
    </row>
    <row r="7886" spans="14:14" x14ac:dyDescent="0.35">
      <c r="N7886" s="676"/>
    </row>
    <row r="7887" spans="14:14" x14ac:dyDescent="0.35">
      <c r="N7887" s="676"/>
    </row>
    <row r="7888" spans="14:14" x14ac:dyDescent="0.35">
      <c r="N7888" s="676"/>
    </row>
    <row r="7889" spans="14:14" x14ac:dyDescent="0.35">
      <c r="N7889" s="676"/>
    </row>
    <row r="7890" spans="14:14" x14ac:dyDescent="0.35">
      <c r="N7890" s="676"/>
    </row>
    <row r="7891" spans="14:14" x14ac:dyDescent="0.35">
      <c r="N7891" s="676"/>
    </row>
    <row r="7892" spans="14:14" x14ac:dyDescent="0.35">
      <c r="N7892" s="676"/>
    </row>
    <row r="7893" spans="14:14" x14ac:dyDescent="0.35">
      <c r="N7893" s="676"/>
    </row>
    <row r="7894" spans="14:14" x14ac:dyDescent="0.35">
      <c r="N7894" s="676"/>
    </row>
    <row r="7895" spans="14:14" x14ac:dyDescent="0.35">
      <c r="N7895" s="676"/>
    </row>
    <row r="7896" spans="14:14" x14ac:dyDescent="0.35">
      <c r="N7896" s="676"/>
    </row>
    <row r="7897" spans="14:14" x14ac:dyDescent="0.35">
      <c r="N7897" s="676"/>
    </row>
    <row r="7898" spans="14:14" x14ac:dyDescent="0.35">
      <c r="N7898" s="676"/>
    </row>
    <row r="7899" spans="14:14" x14ac:dyDescent="0.35">
      <c r="N7899" s="676"/>
    </row>
    <row r="7900" spans="14:14" x14ac:dyDescent="0.35">
      <c r="N7900" s="676"/>
    </row>
    <row r="7901" spans="14:14" x14ac:dyDescent="0.35">
      <c r="N7901" s="676"/>
    </row>
    <row r="7902" spans="14:14" x14ac:dyDescent="0.35">
      <c r="N7902" s="676"/>
    </row>
    <row r="7903" spans="14:14" x14ac:dyDescent="0.35">
      <c r="N7903" s="676"/>
    </row>
    <row r="7904" spans="14:14" x14ac:dyDescent="0.35">
      <c r="N7904" s="676"/>
    </row>
    <row r="7905" spans="14:14" x14ac:dyDescent="0.35">
      <c r="N7905" s="676"/>
    </row>
    <row r="7906" spans="14:14" x14ac:dyDescent="0.35">
      <c r="N7906" s="676"/>
    </row>
    <row r="7907" spans="14:14" x14ac:dyDescent="0.35">
      <c r="N7907" s="676"/>
    </row>
    <row r="7908" spans="14:14" x14ac:dyDescent="0.35">
      <c r="N7908" s="676"/>
    </row>
    <row r="7909" spans="14:14" x14ac:dyDescent="0.35">
      <c r="N7909" s="676"/>
    </row>
    <row r="7910" spans="14:14" x14ac:dyDescent="0.35">
      <c r="N7910" s="676"/>
    </row>
    <row r="7911" spans="14:14" x14ac:dyDescent="0.35">
      <c r="N7911" s="676"/>
    </row>
    <row r="7912" spans="14:14" x14ac:dyDescent="0.35">
      <c r="N7912" s="676"/>
    </row>
    <row r="7913" spans="14:14" x14ac:dyDescent="0.35">
      <c r="N7913" s="676"/>
    </row>
    <row r="7914" spans="14:14" x14ac:dyDescent="0.35">
      <c r="N7914" s="676"/>
    </row>
    <row r="7915" spans="14:14" x14ac:dyDescent="0.35">
      <c r="N7915" s="676"/>
    </row>
    <row r="7916" spans="14:14" x14ac:dyDescent="0.35">
      <c r="N7916" s="676"/>
    </row>
    <row r="7917" spans="14:14" x14ac:dyDescent="0.35">
      <c r="N7917" s="676"/>
    </row>
    <row r="7918" spans="14:14" x14ac:dyDescent="0.35">
      <c r="N7918" s="676"/>
    </row>
    <row r="7919" spans="14:14" x14ac:dyDescent="0.35">
      <c r="N7919" s="676"/>
    </row>
    <row r="7920" spans="14:14" x14ac:dyDescent="0.35">
      <c r="N7920" s="676"/>
    </row>
    <row r="7921" spans="14:14" x14ac:dyDescent="0.35">
      <c r="N7921" s="676"/>
    </row>
    <row r="7922" spans="14:14" x14ac:dyDescent="0.35">
      <c r="N7922" s="676"/>
    </row>
    <row r="7923" spans="14:14" x14ac:dyDescent="0.35">
      <c r="N7923" s="676"/>
    </row>
    <row r="7924" spans="14:14" x14ac:dyDescent="0.35">
      <c r="N7924" s="676"/>
    </row>
    <row r="7925" spans="14:14" x14ac:dyDescent="0.35">
      <c r="N7925" s="676"/>
    </row>
    <row r="7926" spans="14:14" x14ac:dyDescent="0.35">
      <c r="N7926" s="676"/>
    </row>
    <row r="7927" spans="14:14" x14ac:dyDescent="0.35">
      <c r="N7927" s="676"/>
    </row>
    <row r="7928" spans="14:14" x14ac:dyDescent="0.35">
      <c r="N7928" s="676"/>
    </row>
    <row r="7929" spans="14:14" x14ac:dyDescent="0.35">
      <c r="N7929" s="676"/>
    </row>
    <row r="7930" spans="14:14" x14ac:dyDescent="0.35">
      <c r="N7930" s="676"/>
    </row>
    <row r="7931" spans="14:14" x14ac:dyDescent="0.35">
      <c r="N7931" s="676"/>
    </row>
    <row r="7932" spans="14:14" x14ac:dyDescent="0.35">
      <c r="N7932" s="676"/>
    </row>
    <row r="7933" spans="14:14" x14ac:dyDescent="0.35">
      <c r="N7933" s="676"/>
    </row>
    <row r="7934" spans="14:14" x14ac:dyDescent="0.35">
      <c r="N7934" s="676"/>
    </row>
    <row r="7935" spans="14:14" x14ac:dyDescent="0.35">
      <c r="N7935" s="676"/>
    </row>
    <row r="7936" spans="14:14" x14ac:dyDescent="0.35">
      <c r="N7936" s="676"/>
    </row>
    <row r="7937" spans="14:14" x14ac:dyDescent="0.35">
      <c r="N7937" s="676"/>
    </row>
    <row r="7938" spans="14:14" x14ac:dyDescent="0.35">
      <c r="N7938" s="676"/>
    </row>
    <row r="7939" spans="14:14" x14ac:dyDescent="0.35">
      <c r="N7939" s="676"/>
    </row>
    <row r="7940" spans="14:14" x14ac:dyDescent="0.35">
      <c r="N7940" s="676"/>
    </row>
    <row r="7941" spans="14:14" x14ac:dyDescent="0.35">
      <c r="N7941" s="676"/>
    </row>
    <row r="7942" spans="14:14" x14ac:dyDescent="0.35">
      <c r="N7942" s="676"/>
    </row>
    <row r="7943" spans="14:14" x14ac:dyDescent="0.35">
      <c r="N7943" s="676"/>
    </row>
    <row r="7944" spans="14:14" x14ac:dyDescent="0.35">
      <c r="N7944" s="676"/>
    </row>
    <row r="7945" spans="14:14" x14ac:dyDescent="0.35">
      <c r="N7945" s="676"/>
    </row>
    <row r="7946" spans="14:14" x14ac:dyDescent="0.35">
      <c r="N7946" s="676"/>
    </row>
    <row r="7947" spans="14:14" x14ac:dyDescent="0.35">
      <c r="N7947" s="676"/>
    </row>
    <row r="7948" spans="14:14" x14ac:dyDescent="0.35">
      <c r="N7948" s="676"/>
    </row>
    <row r="7949" spans="14:14" x14ac:dyDescent="0.35">
      <c r="N7949" s="676"/>
    </row>
    <row r="7950" spans="14:14" x14ac:dyDescent="0.35">
      <c r="N7950" s="676"/>
    </row>
    <row r="7951" spans="14:14" x14ac:dyDescent="0.35">
      <c r="N7951" s="676"/>
    </row>
    <row r="7952" spans="14:14" x14ac:dyDescent="0.35">
      <c r="N7952" s="676"/>
    </row>
    <row r="7953" spans="14:14" x14ac:dyDescent="0.35">
      <c r="N7953" s="676"/>
    </row>
    <row r="7954" spans="14:14" x14ac:dyDescent="0.35">
      <c r="N7954" s="676"/>
    </row>
    <row r="7955" spans="14:14" x14ac:dyDescent="0.35">
      <c r="N7955" s="676"/>
    </row>
    <row r="7956" spans="14:14" x14ac:dyDescent="0.35">
      <c r="N7956" s="676"/>
    </row>
    <row r="7957" spans="14:14" x14ac:dyDescent="0.35">
      <c r="N7957" s="676"/>
    </row>
    <row r="7958" spans="14:14" x14ac:dyDescent="0.35">
      <c r="N7958" s="676"/>
    </row>
    <row r="7959" spans="14:14" x14ac:dyDescent="0.35">
      <c r="N7959" s="676"/>
    </row>
    <row r="7960" spans="14:14" x14ac:dyDescent="0.35">
      <c r="N7960" s="676"/>
    </row>
    <row r="7961" spans="14:14" x14ac:dyDescent="0.35">
      <c r="N7961" s="676"/>
    </row>
    <row r="7962" spans="14:14" x14ac:dyDescent="0.35">
      <c r="N7962" s="676"/>
    </row>
    <row r="7963" spans="14:14" x14ac:dyDescent="0.35">
      <c r="N7963" s="676"/>
    </row>
    <row r="7964" spans="14:14" x14ac:dyDescent="0.35">
      <c r="N7964" s="676"/>
    </row>
    <row r="7965" spans="14:14" x14ac:dyDescent="0.35">
      <c r="N7965" s="676"/>
    </row>
    <row r="7966" spans="14:14" x14ac:dyDescent="0.35">
      <c r="N7966" s="676"/>
    </row>
    <row r="7967" spans="14:14" x14ac:dyDescent="0.35">
      <c r="N7967" s="676"/>
    </row>
    <row r="7968" spans="14:14" x14ac:dyDescent="0.35">
      <c r="N7968" s="676"/>
    </row>
    <row r="7969" spans="14:14" x14ac:dyDescent="0.35">
      <c r="N7969" s="676"/>
    </row>
    <row r="7970" spans="14:14" x14ac:dyDescent="0.35">
      <c r="N7970" s="676"/>
    </row>
    <row r="7971" spans="14:14" x14ac:dyDescent="0.35">
      <c r="N7971" s="676"/>
    </row>
    <row r="7972" spans="14:14" x14ac:dyDescent="0.35">
      <c r="N7972" s="676"/>
    </row>
    <row r="7973" spans="14:14" x14ac:dyDescent="0.35">
      <c r="N7973" s="676"/>
    </row>
    <row r="7974" spans="14:14" x14ac:dyDescent="0.35">
      <c r="N7974" s="676"/>
    </row>
    <row r="7975" spans="14:14" x14ac:dyDescent="0.35">
      <c r="N7975" s="676"/>
    </row>
    <row r="7976" spans="14:14" x14ac:dyDescent="0.35">
      <c r="N7976" s="676"/>
    </row>
    <row r="7977" spans="14:14" x14ac:dyDescent="0.35">
      <c r="N7977" s="676"/>
    </row>
    <row r="7978" spans="14:14" x14ac:dyDescent="0.35">
      <c r="N7978" s="676"/>
    </row>
    <row r="7979" spans="14:14" x14ac:dyDescent="0.35">
      <c r="N7979" s="676"/>
    </row>
    <row r="7980" spans="14:14" x14ac:dyDescent="0.35">
      <c r="N7980" s="676"/>
    </row>
    <row r="7981" spans="14:14" x14ac:dyDescent="0.35">
      <c r="N7981" s="676"/>
    </row>
    <row r="7982" spans="14:14" x14ac:dyDescent="0.35">
      <c r="N7982" s="676"/>
    </row>
    <row r="7983" spans="14:14" x14ac:dyDescent="0.35">
      <c r="N7983" s="676"/>
    </row>
    <row r="7984" spans="14:14" x14ac:dyDescent="0.35">
      <c r="N7984" s="676"/>
    </row>
    <row r="7985" spans="14:14" x14ac:dyDescent="0.35">
      <c r="N7985" s="676"/>
    </row>
    <row r="7986" spans="14:14" x14ac:dyDescent="0.35">
      <c r="N7986" s="676"/>
    </row>
    <row r="7987" spans="14:14" x14ac:dyDescent="0.35">
      <c r="N7987" s="676"/>
    </row>
    <row r="7988" spans="14:14" x14ac:dyDescent="0.35">
      <c r="N7988" s="676"/>
    </row>
    <row r="7989" spans="14:14" x14ac:dyDescent="0.35">
      <c r="N7989" s="676"/>
    </row>
    <row r="7990" spans="14:14" x14ac:dyDescent="0.35">
      <c r="N7990" s="676"/>
    </row>
    <row r="7991" spans="14:14" x14ac:dyDescent="0.35">
      <c r="N7991" s="676"/>
    </row>
    <row r="7992" spans="14:14" x14ac:dyDescent="0.35">
      <c r="N7992" s="676"/>
    </row>
    <row r="7993" spans="14:14" x14ac:dyDescent="0.35">
      <c r="N7993" s="676"/>
    </row>
    <row r="7994" spans="14:14" x14ac:dyDescent="0.35">
      <c r="N7994" s="676"/>
    </row>
    <row r="7995" spans="14:14" x14ac:dyDescent="0.35">
      <c r="N7995" s="676"/>
    </row>
    <row r="7996" spans="14:14" x14ac:dyDescent="0.35">
      <c r="N7996" s="676"/>
    </row>
    <row r="7997" spans="14:14" x14ac:dyDescent="0.35">
      <c r="N7997" s="676"/>
    </row>
    <row r="7998" spans="14:14" x14ac:dyDescent="0.35">
      <c r="N7998" s="676"/>
    </row>
    <row r="7999" spans="14:14" x14ac:dyDescent="0.35">
      <c r="N7999" s="676"/>
    </row>
    <row r="8000" spans="14:14" x14ac:dyDescent="0.35">
      <c r="N8000" s="676"/>
    </row>
    <row r="8001" spans="14:14" x14ac:dyDescent="0.35">
      <c r="N8001" s="676"/>
    </row>
    <row r="8002" spans="14:14" x14ac:dyDescent="0.35">
      <c r="N8002" s="676"/>
    </row>
    <row r="8003" spans="14:14" x14ac:dyDescent="0.35">
      <c r="N8003" s="676"/>
    </row>
    <row r="8004" spans="14:14" x14ac:dyDescent="0.35">
      <c r="N8004" s="676"/>
    </row>
    <row r="8005" spans="14:14" x14ac:dyDescent="0.35">
      <c r="N8005" s="676"/>
    </row>
    <row r="8006" spans="14:14" x14ac:dyDescent="0.35">
      <c r="N8006" s="676"/>
    </row>
    <row r="8007" spans="14:14" x14ac:dyDescent="0.35">
      <c r="N8007" s="676"/>
    </row>
    <row r="8008" spans="14:14" x14ac:dyDescent="0.35">
      <c r="N8008" s="676"/>
    </row>
    <row r="8009" spans="14:14" x14ac:dyDescent="0.35">
      <c r="N8009" s="676"/>
    </row>
    <row r="8010" spans="14:14" x14ac:dyDescent="0.35">
      <c r="N8010" s="676"/>
    </row>
    <row r="8011" spans="14:14" x14ac:dyDescent="0.35">
      <c r="N8011" s="676"/>
    </row>
    <row r="8012" spans="14:14" x14ac:dyDescent="0.35">
      <c r="N8012" s="676"/>
    </row>
    <row r="8013" spans="14:14" x14ac:dyDescent="0.35">
      <c r="N8013" s="676"/>
    </row>
    <row r="8014" spans="14:14" x14ac:dyDescent="0.35">
      <c r="N8014" s="676"/>
    </row>
    <row r="8015" spans="14:14" x14ac:dyDescent="0.35">
      <c r="N8015" s="676"/>
    </row>
    <row r="8016" spans="14:14" x14ac:dyDescent="0.35">
      <c r="N8016" s="676"/>
    </row>
    <row r="8017" spans="14:14" x14ac:dyDescent="0.35">
      <c r="N8017" s="676"/>
    </row>
    <row r="8018" spans="14:14" x14ac:dyDescent="0.35">
      <c r="N8018" s="676"/>
    </row>
    <row r="8019" spans="14:14" x14ac:dyDescent="0.35">
      <c r="N8019" s="676"/>
    </row>
    <row r="8020" spans="14:14" x14ac:dyDescent="0.35">
      <c r="N8020" s="676"/>
    </row>
    <row r="8021" spans="14:14" x14ac:dyDescent="0.35">
      <c r="N8021" s="676"/>
    </row>
    <row r="8022" spans="14:14" x14ac:dyDescent="0.35">
      <c r="N8022" s="676"/>
    </row>
    <row r="8023" spans="14:14" x14ac:dyDescent="0.35">
      <c r="N8023" s="676"/>
    </row>
    <row r="8024" spans="14:14" x14ac:dyDescent="0.35">
      <c r="N8024" s="676"/>
    </row>
    <row r="8025" spans="14:14" x14ac:dyDescent="0.35">
      <c r="N8025" s="676"/>
    </row>
    <row r="8026" spans="14:14" x14ac:dyDescent="0.35">
      <c r="N8026" s="676"/>
    </row>
    <row r="8027" spans="14:14" x14ac:dyDescent="0.35">
      <c r="N8027" s="676"/>
    </row>
    <row r="8028" spans="14:14" x14ac:dyDescent="0.35">
      <c r="N8028" s="676"/>
    </row>
    <row r="8029" spans="14:14" x14ac:dyDescent="0.35">
      <c r="N8029" s="676"/>
    </row>
    <row r="8030" spans="14:14" x14ac:dyDescent="0.35">
      <c r="N8030" s="676"/>
    </row>
    <row r="8031" spans="14:14" x14ac:dyDescent="0.35">
      <c r="N8031" s="676"/>
    </row>
    <row r="8032" spans="14:14" x14ac:dyDescent="0.35">
      <c r="N8032" s="676"/>
    </row>
    <row r="8033" spans="14:14" x14ac:dyDescent="0.35">
      <c r="N8033" s="676"/>
    </row>
    <row r="8034" spans="14:14" x14ac:dyDescent="0.35">
      <c r="N8034" s="676"/>
    </row>
    <row r="8035" spans="14:14" x14ac:dyDescent="0.35">
      <c r="N8035" s="676"/>
    </row>
    <row r="8036" spans="14:14" x14ac:dyDescent="0.35">
      <c r="N8036" s="676"/>
    </row>
    <row r="8037" spans="14:14" x14ac:dyDescent="0.35">
      <c r="N8037" s="676"/>
    </row>
    <row r="8038" spans="14:14" x14ac:dyDescent="0.35">
      <c r="N8038" s="676"/>
    </row>
    <row r="8039" spans="14:14" x14ac:dyDescent="0.35">
      <c r="N8039" s="676"/>
    </row>
    <row r="8040" spans="14:14" x14ac:dyDescent="0.35">
      <c r="N8040" s="676"/>
    </row>
    <row r="8041" spans="14:14" x14ac:dyDescent="0.35">
      <c r="N8041" s="676"/>
    </row>
    <row r="8042" spans="14:14" x14ac:dyDescent="0.35">
      <c r="N8042" s="676"/>
    </row>
    <row r="8043" spans="14:14" x14ac:dyDescent="0.35">
      <c r="N8043" s="676"/>
    </row>
    <row r="8044" spans="14:14" x14ac:dyDescent="0.35">
      <c r="N8044" s="676"/>
    </row>
    <row r="8045" spans="14:14" x14ac:dyDescent="0.35">
      <c r="N8045" s="676"/>
    </row>
    <row r="8046" spans="14:14" x14ac:dyDescent="0.35">
      <c r="N8046" s="676"/>
    </row>
    <row r="8047" spans="14:14" x14ac:dyDescent="0.35">
      <c r="N8047" s="676"/>
    </row>
    <row r="8048" spans="14:14" x14ac:dyDescent="0.35">
      <c r="N8048" s="676"/>
    </row>
    <row r="8049" spans="14:14" x14ac:dyDescent="0.35">
      <c r="N8049" s="676"/>
    </row>
    <row r="8050" spans="14:14" x14ac:dyDescent="0.35">
      <c r="N8050" s="676"/>
    </row>
    <row r="8051" spans="14:14" x14ac:dyDescent="0.35">
      <c r="N8051" s="676"/>
    </row>
    <row r="8052" spans="14:14" x14ac:dyDescent="0.35">
      <c r="N8052" s="676"/>
    </row>
    <row r="8053" spans="14:14" x14ac:dyDescent="0.35">
      <c r="N8053" s="676"/>
    </row>
    <row r="8054" spans="14:14" x14ac:dyDescent="0.35">
      <c r="N8054" s="676"/>
    </row>
    <row r="8055" spans="14:14" x14ac:dyDescent="0.35">
      <c r="N8055" s="676"/>
    </row>
    <row r="8056" spans="14:14" x14ac:dyDescent="0.35">
      <c r="N8056" s="676"/>
    </row>
    <row r="8057" spans="14:14" x14ac:dyDescent="0.35">
      <c r="N8057" s="676"/>
    </row>
    <row r="8058" spans="14:14" x14ac:dyDescent="0.35">
      <c r="N8058" s="676"/>
    </row>
    <row r="8059" spans="14:14" x14ac:dyDescent="0.35">
      <c r="N8059" s="676"/>
    </row>
    <row r="8060" spans="14:14" x14ac:dyDescent="0.35">
      <c r="N8060" s="676"/>
    </row>
    <row r="8061" spans="14:14" x14ac:dyDescent="0.35">
      <c r="N8061" s="676"/>
    </row>
    <row r="8062" spans="14:14" x14ac:dyDescent="0.35">
      <c r="N8062" s="676"/>
    </row>
    <row r="8063" spans="14:14" x14ac:dyDescent="0.35">
      <c r="N8063" s="676"/>
    </row>
    <row r="8064" spans="14:14" x14ac:dyDescent="0.35">
      <c r="N8064" s="676"/>
    </row>
    <row r="8065" spans="14:14" x14ac:dyDescent="0.35">
      <c r="N8065" s="676"/>
    </row>
    <row r="8066" spans="14:14" x14ac:dyDescent="0.35">
      <c r="N8066" s="676"/>
    </row>
    <row r="8067" spans="14:14" x14ac:dyDescent="0.35">
      <c r="N8067" s="676"/>
    </row>
    <row r="8068" spans="14:14" x14ac:dyDescent="0.35">
      <c r="N8068" s="676"/>
    </row>
    <row r="8069" spans="14:14" x14ac:dyDescent="0.35">
      <c r="N8069" s="676"/>
    </row>
    <row r="8070" spans="14:14" x14ac:dyDescent="0.35">
      <c r="N8070" s="676"/>
    </row>
    <row r="8071" spans="14:14" x14ac:dyDescent="0.35">
      <c r="N8071" s="676"/>
    </row>
    <row r="8072" spans="14:14" x14ac:dyDescent="0.35">
      <c r="N8072" s="676"/>
    </row>
    <row r="8073" spans="14:14" x14ac:dyDescent="0.35">
      <c r="N8073" s="676"/>
    </row>
    <row r="8074" spans="14:14" x14ac:dyDescent="0.35">
      <c r="N8074" s="676"/>
    </row>
    <row r="8075" spans="14:14" x14ac:dyDescent="0.35">
      <c r="N8075" s="676"/>
    </row>
    <row r="8076" spans="14:14" x14ac:dyDescent="0.35">
      <c r="N8076" s="676"/>
    </row>
    <row r="8077" spans="14:14" x14ac:dyDescent="0.35">
      <c r="N8077" s="676"/>
    </row>
    <row r="8078" spans="14:14" x14ac:dyDescent="0.35">
      <c r="N8078" s="676"/>
    </row>
    <row r="8079" spans="14:14" x14ac:dyDescent="0.35">
      <c r="N8079" s="676"/>
    </row>
    <row r="8080" spans="14:14" x14ac:dyDescent="0.35">
      <c r="N8080" s="676"/>
    </row>
    <row r="8081" spans="14:14" x14ac:dyDescent="0.35">
      <c r="N8081" s="676"/>
    </row>
    <row r="8082" spans="14:14" x14ac:dyDescent="0.35">
      <c r="N8082" s="676"/>
    </row>
    <row r="8083" spans="14:14" x14ac:dyDescent="0.35">
      <c r="N8083" s="676"/>
    </row>
    <row r="8084" spans="14:14" x14ac:dyDescent="0.35">
      <c r="N8084" s="676"/>
    </row>
    <row r="8085" spans="14:14" x14ac:dyDescent="0.35">
      <c r="N8085" s="676"/>
    </row>
    <row r="8086" spans="14:14" x14ac:dyDescent="0.35">
      <c r="N8086" s="676"/>
    </row>
    <row r="8087" spans="14:14" x14ac:dyDescent="0.35">
      <c r="N8087" s="676"/>
    </row>
    <row r="8088" spans="14:14" x14ac:dyDescent="0.35">
      <c r="N8088" s="676"/>
    </row>
    <row r="8089" spans="14:14" x14ac:dyDescent="0.35">
      <c r="N8089" s="676"/>
    </row>
    <row r="8090" spans="14:14" x14ac:dyDescent="0.35">
      <c r="N8090" s="676"/>
    </row>
    <row r="8091" spans="14:14" x14ac:dyDescent="0.35">
      <c r="N8091" s="676"/>
    </row>
    <row r="8092" spans="14:14" x14ac:dyDescent="0.35">
      <c r="N8092" s="676"/>
    </row>
    <row r="8093" spans="14:14" x14ac:dyDescent="0.35">
      <c r="N8093" s="676"/>
    </row>
    <row r="8094" spans="14:14" x14ac:dyDescent="0.35">
      <c r="N8094" s="676"/>
    </row>
    <row r="8095" spans="14:14" x14ac:dyDescent="0.35">
      <c r="N8095" s="676"/>
    </row>
    <row r="8096" spans="14:14" x14ac:dyDescent="0.35">
      <c r="N8096" s="676"/>
    </row>
    <row r="8097" spans="14:14" x14ac:dyDescent="0.35">
      <c r="N8097" s="676"/>
    </row>
    <row r="8098" spans="14:14" x14ac:dyDescent="0.35">
      <c r="N8098" s="676"/>
    </row>
    <row r="8099" spans="14:14" x14ac:dyDescent="0.35">
      <c r="N8099" s="676"/>
    </row>
    <row r="8100" spans="14:14" x14ac:dyDescent="0.35">
      <c r="N8100" s="676"/>
    </row>
    <row r="8101" spans="14:14" x14ac:dyDescent="0.35">
      <c r="N8101" s="676"/>
    </row>
    <row r="8102" spans="14:14" x14ac:dyDescent="0.35">
      <c r="N8102" s="676"/>
    </row>
    <row r="8103" spans="14:14" x14ac:dyDescent="0.35">
      <c r="N8103" s="676"/>
    </row>
    <row r="8104" spans="14:14" x14ac:dyDescent="0.35">
      <c r="N8104" s="676"/>
    </row>
    <row r="8105" spans="14:14" x14ac:dyDescent="0.35">
      <c r="N8105" s="676"/>
    </row>
    <row r="8106" spans="14:14" x14ac:dyDescent="0.35">
      <c r="N8106" s="676"/>
    </row>
    <row r="8107" spans="14:14" x14ac:dyDescent="0.35">
      <c r="N8107" s="676"/>
    </row>
    <row r="8108" spans="14:14" x14ac:dyDescent="0.35">
      <c r="N8108" s="676"/>
    </row>
    <row r="8109" spans="14:14" x14ac:dyDescent="0.35">
      <c r="N8109" s="676"/>
    </row>
    <row r="8110" spans="14:14" x14ac:dyDescent="0.35">
      <c r="N8110" s="676"/>
    </row>
    <row r="8111" spans="14:14" x14ac:dyDescent="0.35">
      <c r="N8111" s="676"/>
    </row>
    <row r="8112" spans="14:14" x14ac:dyDescent="0.35">
      <c r="N8112" s="676"/>
    </row>
    <row r="8113" spans="14:14" x14ac:dyDescent="0.35">
      <c r="N8113" s="676"/>
    </row>
    <row r="8114" spans="14:14" x14ac:dyDescent="0.35">
      <c r="N8114" s="676"/>
    </row>
    <row r="8115" spans="14:14" x14ac:dyDescent="0.35">
      <c r="N8115" s="676"/>
    </row>
    <row r="8116" spans="14:14" x14ac:dyDescent="0.35">
      <c r="N8116" s="676"/>
    </row>
    <row r="8117" spans="14:14" x14ac:dyDescent="0.35">
      <c r="N8117" s="676"/>
    </row>
    <row r="8118" spans="14:14" x14ac:dyDescent="0.35">
      <c r="N8118" s="676"/>
    </row>
    <row r="8119" spans="14:14" x14ac:dyDescent="0.35">
      <c r="N8119" s="676"/>
    </row>
    <row r="8120" spans="14:14" x14ac:dyDescent="0.35">
      <c r="N8120" s="676"/>
    </row>
    <row r="8121" spans="14:14" x14ac:dyDescent="0.35">
      <c r="N8121" s="676"/>
    </row>
    <row r="8122" spans="14:14" x14ac:dyDescent="0.35">
      <c r="N8122" s="676"/>
    </row>
    <row r="8123" spans="14:14" x14ac:dyDescent="0.35">
      <c r="N8123" s="676"/>
    </row>
    <row r="8124" spans="14:14" x14ac:dyDescent="0.35">
      <c r="N8124" s="676"/>
    </row>
    <row r="8125" spans="14:14" x14ac:dyDescent="0.35">
      <c r="N8125" s="676"/>
    </row>
    <row r="8126" spans="14:14" x14ac:dyDescent="0.35">
      <c r="N8126" s="676"/>
    </row>
    <row r="8127" spans="14:14" x14ac:dyDescent="0.35">
      <c r="N8127" s="676"/>
    </row>
    <row r="8128" spans="14:14" x14ac:dyDescent="0.35">
      <c r="N8128" s="676"/>
    </row>
    <row r="8129" spans="14:14" x14ac:dyDescent="0.35">
      <c r="N8129" s="676"/>
    </row>
    <row r="8130" spans="14:14" x14ac:dyDescent="0.35">
      <c r="N8130" s="676"/>
    </row>
    <row r="8131" spans="14:14" x14ac:dyDescent="0.35">
      <c r="N8131" s="676"/>
    </row>
    <row r="8132" spans="14:14" x14ac:dyDescent="0.35">
      <c r="N8132" s="676"/>
    </row>
    <row r="8133" spans="14:14" x14ac:dyDescent="0.35">
      <c r="N8133" s="676"/>
    </row>
    <row r="8134" spans="14:14" x14ac:dyDescent="0.35">
      <c r="N8134" s="676"/>
    </row>
    <row r="8135" spans="14:14" x14ac:dyDescent="0.35">
      <c r="N8135" s="676"/>
    </row>
    <row r="8136" spans="14:14" x14ac:dyDescent="0.35">
      <c r="N8136" s="676"/>
    </row>
    <row r="8137" spans="14:14" x14ac:dyDescent="0.35">
      <c r="N8137" s="676"/>
    </row>
    <row r="8138" spans="14:14" x14ac:dyDescent="0.35">
      <c r="N8138" s="676"/>
    </row>
    <row r="8139" spans="14:14" x14ac:dyDescent="0.35">
      <c r="N8139" s="676"/>
    </row>
    <row r="8140" spans="14:14" x14ac:dyDescent="0.35">
      <c r="N8140" s="676"/>
    </row>
    <row r="8141" spans="14:14" x14ac:dyDescent="0.35">
      <c r="N8141" s="676"/>
    </row>
    <row r="8142" spans="14:14" x14ac:dyDescent="0.35">
      <c r="N8142" s="676"/>
    </row>
    <row r="8143" spans="14:14" x14ac:dyDescent="0.35">
      <c r="N8143" s="676"/>
    </row>
    <row r="8144" spans="14:14" x14ac:dyDescent="0.35">
      <c r="N8144" s="676"/>
    </row>
    <row r="8145" spans="14:14" x14ac:dyDescent="0.35">
      <c r="N8145" s="676"/>
    </row>
    <row r="8146" spans="14:14" x14ac:dyDescent="0.35">
      <c r="N8146" s="676"/>
    </row>
    <row r="8147" spans="14:14" x14ac:dyDescent="0.35">
      <c r="N8147" s="676"/>
    </row>
    <row r="8148" spans="14:14" x14ac:dyDescent="0.35">
      <c r="N8148" s="676"/>
    </row>
    <row r="8149" spans="14:14" x14ac:dyDescent="0.35">
      <c r="N8149" s="676"/>
    </row>
    <row r="8150" spans="14:14" x14ac:dyDescent="0.35">
      <c r="N8150" s="676"/>
    </row>
    <row r="8151" spans="14:14" x14ac:dyDescent="0.35">
      <c r="N8151" s="676"/>
    </row>
    <row r="8152" spans="14:14" x14ac:dyDescent="0.35">
      <c r="N8152" s="676"/>
    </row>
    <row r="8153" spans="14:14" x14ac:dyDescent="0.35">
      <c r="N8153" s="676"/>
    </row>
    <row r="8154" spans="14:14" x14ac:dyDescent="0.35">
      <c r="N8154" s="676"/>
    </row>
    <row r="8155" spans="14:14" x14ac:dyDescent="0.35">
      <c r="N8155" s="676"/>
    </row>
    <row r="8156" spans="14:14" x14ac:dyDescent="0.35">
      <c r="N8156" s="676"/>
    </row>
    <row r="8157" spans="14:14" x14ac:dyDescent="0.35">
      <c r="N8157" s="676"/>
    </row>
    <row r="8158" spans="14:14" x14ac:dyDescent="0.35">
      <c r="N8158" s="676"/>
    </row>
    <row r="8159" spans="14:14" x14ac:dyDescent="0.35">
      <c r="N8159" s="676"/>
    </row>
    <row r="8160" spans="14:14" x14ac:dyDescent="0.35">
      <c r="N8160" s="676"/>
    </row>
    <row r="8161" spans="14:14" x14ac:dyDescent="0.35">
      <c r="N8161" s="676"/>
    </row>
    <row r="8162" spans="14:14" x14ac:dyDescent="0.35">
      <c r="N8162" s="676"/>
    </row>
    <row r="8163" spans="14:14" x14ac:dyDescent="0.35">
      <c r="N8163" s="676"/>
    </row>
    <row r="8164" spans="14:14" x14ac:dyDescent="0.35">
      <c r="N8164" s="676"/>
    </row>
    <row r="8165" spans="14:14" x14ac:dyDescent="0.35">
      <c r="N8165" s="676"/>
    </row>
    <row r="8166" spans="14:14" x14ac:dyDescent="0.35">
      <c r="N8166" s="676"/>
    </row>
    <row r="8167" spans="14:14" x14ac:dyDescent="0.35">
      <c r="N8167" s="676"/>
    </row>
    <row r="8168" spans="14:14" x14ac:dyDescent="0.35">
      <c r="N8168" s="676"/>
    </row>
    <row r="8169" spans="14:14" x14ac:dyDescent="0.35">
      <c r="N8169" s="676"/>
    </row>
    <row r="8170" spans="14:14" x14ac:dyDescent="0.35">
      <c r="N8170" s="676"/>
    </row>
    <row r="8171" spans="14:14" x14ac:dyDescent="0.35">
      <c r="N8171" s="676"/>
    </row>
    <row r="8172" spans="14:14" x14ac:dyDescent="0.35">
      <c r="N8172" s="676"/>
    </row>
    <row r="8173" spans="14:14" x14ac:dyDescent="0.35">
      <c r="N8173" s="676"/>
    </row>
    <row r="8174" spans="14:14" x14ac:dyDescent="0.35">
      <c r="N8174" s="676"/>
    </row>
    <row r="8175" spans="14:14" x14ac:dyDescent="0.35">
      <c r="N8175" s="676"/>
    </row>
    <row r="8176" spans="14:14" x14ac:dyDescent="0.35">
      <c r="N8176" s="676"/>
    </row>
    <row r="8177" spans="14:14" x14ac:dyDescent="0.35">
      <c r="N8177" s="676"/>
    </row>
    <row r="8178" spans="14:14" x14ac:dyDescent="0.35">
      <c r="N8178" s="676"/>
    </row>
    <row r="8179" spans="14:14" x14ac:dyDescent="0.35">
      <c r="N8179" s="676"/>
    </row>
    <row r="8180" spans="14:14" x14ac:dyDescent="0.35">
      <c r="N8180" s="676"/>
    </row>
    <row r="8181" spans="14:14" x14ac:dyDescent="0.35">
      <c r="N8181" s="676"/>
    </row>
    <row r="8182" spans="14:14" x14ac:dyDescent="0.35">
      <c r="N8182" s="676"/>
    </row>
    <row r="8183" spans="14:14" x14ac:dyDescent="0.35">
      <c r="N8183" s="676"/>
    </row>
    <row r="8184" spans="14:14" x14ac:dyDescent="0.35">
      <c r="N8184" s="676"/>
    </row>
    <row r="8185" spans="14:14" x14ac:dyDescent="0.35">
      <c r="N8185" s="676"/>
    </row>
    <row r="8186" spans="14:14" x14ac:dyDescent="0.35">
      <c r="N8186" s="676"/>
    </row>
    <row r="8187" spans="14:14" x14ac:dyDescent="0.35">
      <c r="N8187" s="676"/>
    </row>
    <row r="8188" spans="14:14" x14ac:dyDescent="0.35">
      <c r="N8188" s="676"/>
    </row>
    <row r="8189" spans="14:14" x14ac:dyDescent="0.35">
      <c r="N8189" s="676"/>
    </row>
    <row r="8190" spans="14:14" x14ac:dyDescent="0.35">
      <c r="N8190" s="676"/>
    </row>
    <row r="8191" spans="14:14" x14ac:dyDescent="0.35">
      <c r="N8191" s="676"/>
    </row>
    <row r="8192" spans="14:14" x14ac:dyDescent="0.35">
      <c r="N8192" s="676"/>
    </row>
    <row r="8193" spans="14:14" x14ac:dyDescent="0.35">
      <c r="N8193" s="676"/>
    </row>
    <row r="8194" spans="14:14" x14ac:dyDescent="0.35">
      <c r="N8194" s="676"/>
    </row>
    <row r="8195" spans="14:14" x14ac:dyDescent="0.35">
      <c r="N8195" s="676"/>
    </row>
    <row r="8196" spans="14:14" x14ac:dyDescent="0.35">
      <c r="N8196" s="676"/>
    </row>
    <row r="8197" spans="14:14" x14ac:dyDescent="0.35">
      <c r="N8197" s="676"/>
    </row>
    <row r="8198" spans="14:14" x14ac:dyDescent="0.35">
      <c r="N8198" s="676"/>
    </row>
    <row r="8199" spans="14:14" x14ac:dyDescent="0.35">
      <c r="N8199" s="676"/>
    </row>
    <row r="8200" spans="14:14" x14ac:dyDescent="0.35">
      <c r="N8200" s="676"/>
    </row>
    <row r="8201" spans="14:14" x14ac:dyDescent="0.35">
      <c r="N8201" s="676"/>
    </row>
    <row r="8202" spans="14:14" x14ac:dyDescent="0.35">
      <c r="N8202" s="676"/>
    </row>
    <row r="8203" spans="14:14" x14ac:dyDescent="0.35">
      <c r="N8203" s="676"/>
    </row>
    <row r="8204" spans="14:14" x14ac:dyDescent="0.35">
      <c r="N8204" s="676"/>
    </row>
    <row r="8205" spans="14:14" x14ac:dyDescent="0.35">
      <c r="N8205" s="676"/>
    </row>
    <row r="8206" spans="14:14" x14ac:dyDescent="0.35">
      <c r="N8206" s="676"/>
    </row>
    <row r="8207" spans="14:14" x14ac:dyDescent="0.35">
      <c r="N8207" s="676"/>
    </row>
    <row r="8208" spans="14:14" x14ac:dyDescent="0.35">
      <c r="N8208" s="676"/>
    </row>
    <row r="8209" spans="14:14" x14ac:dyDescent="0.35">
      <c r="N8209" s="676"/>
    </row>
    <row r="8210" spans="14:14" x14ac:dyDescent="0.35">
      <c r="N8210" s="676"/>
    </row>
    <row r="8211" spans="14:14" x14ac:dyDescent="0.35">
      <c r="N8211" s="676"/>
    </row>
    <row r="8212" spans="14:14" x14ac:dyDescent="0.35">
      <c r="N8212" s="676"/>
    </row>
    <row r="8213" spans="14:14" x14ac:dyDescent="0.35">
      <c r="N8213" s="676"/>
    </row>
    <row r="8214" spans="14:14" x14ac:dyDescent="0.35">
      <c r="N8214" s="676"/>
    </row>
    <row r="8215" spans="14:14" x14ac:dyDescent="0.35">
      <c r="N8215" s="676"/>
    </row>
    <row r="8216" spans="14:14" x14ac:dyDescent="0.35">
      <c r="N8216" s="676"/>
    </row>
    <row r="8217" spans="14:14" x14ac:dyDescent="0.35">
      <c r="N8217" s="676"/>
    </row>
    <row r="8218" spans="14:14" x14ac:dyDescent="0.35">
      <c r="N8218" s="676"/>
    </row>
    <row r="8219" spans="14:14" x14ac:dyDescent="0.35">
      <c r="N8219" s="676"/>
    </row>
    <row r="8220" spans="14:14" x14ac:dyDescent="0.35">
      <c r="N8220" s="676"/>
    </row>
    <row r="8221" spans="14:14" x14ac:dyDescent="0.35">
      <c r="N8221" s="676"/>
    </row>
    <row r="8222" spans="14:14" x14ac:dyDescent="0.35">
      <c r="N8222" s="676"/>
    </row>
    <row r="8223" spans="14:14" x14ac:dyDescent="0.35">
      <c r="N8223" s="676"/>
    </row>
    <row r="8224" spans="14:14" x14ac:dyDescent="0.35">
      <c r="N8224" s="676"/>
    </row>
    <row r="8225" spans="14:14" x14ac:dyDescent="0.35">
      <c r="N8225" s="676"/>
    </row>
    <row r="8226" spans="14:14" x14ac:dyDescent="0.35">
      <c r="N8226" s="676"/>
    </row>
    <row r="8227" spans="14:14" x14ac:dyDescent="0.35">
      <c r="N8227" s="676"/>
    </row>
    <row r="8228" spans="14:14" x14ac:dyDescent="0.35">
      <c r="N8228" s="676"/>
    </row>
    <row r="8229" spans="14:14" x14ac:dyDescent="0.35">
      <c r="N8229" s="676"/>
    </row>
    <row r="8230" spans="14:14" x14ac:dyDescent="0.35">
      <c r="N8230" s="676"/>
    </row>
    <row r="8231" spans="14:14" x14ac:dyDescent="0.35">
      <c r="N8231" s="676"/>
    </row>
    <row r="8232" spans="14:14" x14ac:dyDescent="0.35">
      <c r="N8232" s="676"/>
    </row>
    <row r="8233" spans="14:14" x14ac:dyDescent="0.35">
      <c r="N8233" s="676"/>
    </row>
    <row r="8234" spans="14:14" x14ac:dyDescent="0.35">
      <c r="N8234" s="676"/>
    </row>
    <row r="8235" spans="14:14" x14ac:dyDescent="0.35">
      <c r="N8235" s="676"/>
    </row>
    <row r="8236" spans="14:14" x14ac:dyDescent="0.35">
      <c r="N8236" s="676"/>
    </row>
    <row r="8237" spans="14:14" x14ac:dyDescent="0.35">
      <c r="N8237" s="676"/>
    </row>
    <row r="8238" spans="14:14" x14ac:dyDescent="0.35">
      <c r="N8238" s="676"/>
    </row>
    <row r="8239" spans="14:14" x14ac:dyDescent="0.35">
      <c r="N8239" s="676"/>
    </row>
    <row r="8240" spans="14:14" x14ac:dyDescent="0.35">
      <c r="N8240" s="676"/>
    </row>
    <row r="8241" spans="14:14" x14ac:dyDescent="0.35">
      <c r="N8241" s="676"/>
    </row>
    <row r="8242" spans="14:14" x14ac:dyDescent="0.35">
      <c r="N8242" s="676"/>
    </row>
    <row r="8243" spans="14:14" x14ac:dyDescent="0.35">
      <c r="N8243" s="676"/>
    </row>
    <row r="8244" spans="14:14" x14ac:dyDescent="0.35">
      <c r="N8244" s="676"/>
    </row>
    <row r="8245" spans="14:14" x14ac:dyDescent="0.35">
      <c r="N8245" s="676"/>
    </row>
    <row r="8246" spans="14:14" x14ac:dyDescent="0.35">
      <c r="N8246" s="676"/>
    </row>
    <row r="8247" spans="14:14" x14ac:dyDescent="0.35">
      <c r="N8247" s="676"/>
    </row>
    <row r="8248" spans="14:14" x14ac:dyDescent="0.35">
      <c r="N8248" s="676"/>
    </row>
    <row r="8249" spans="14:14" x14ac:dyDescent="0.35">
      <c r="N8249" s="676"/>
    </row>
    <row r="8250" spans="14:14" x14ac:dyDescent="0.35">
      <c r="N8250" s="676"/>
    </row>
    <row r="8251" spans="14:14" x14ac:dyDescent="0.35">
      <c r="N8251" s="676"/>
    </row>
    <row r="8252" spans="14:14" x14ac:dyDescent="0.35">
      <c r="N8252" s="676"/>
    </row>
    <row r="8253" spans="14:14" x14ac:dyDescent="0.35">
      <c r="N8253" s="676"/>
    </row>
    <row r="8254" spans="14:14" x14ac:dyDescent="0.35">
      <c r="N8254" s="676"/>
    </row>
    <row r="8255" spans="14:14" x14ac:dyDescent="0.35">
      <c r="N8255" s="676"/>
    </row>
    <row r="8256" spans="14:14" x14ac:dyDescent="0.35">
      <c r="N8256" s="676"/>
    </row>
    <row r="8257" spans="14:14" x14ac:dyDescent="0.35">
      <c r="N8257" s="676"/>
    </row>
    <row r="8258" spans="14:14" x14ac:dyDescent="0.35">
      <c r="N8258" s="676"/>
    </row>
    <row r="8259" spans="14:14" x14ac:dyDescent="0.35">
      <c r="N8259" s="676"/>
    </row>
    <row r="8260" spans="14:14" x14ac:dyDescent="0.35">
      <c r="N8260" s="676"/>
    </row>
    <row r="8261" spans="14:14" x14ac:dyDescent="0.35">
      <c r="N8261" s="676"/>
    </row>
    <row r="8262" spans="14:14" x14ac:dyDescent="0.35">
      <c r="N8262" s="676"/>
    </row>
    <row r="8263" spans="14:14" x14ac:dyDescent="0.35">
      <c r="N8263" s="676"/>
    </row>
    <row r="8264" spans="14:14" x14ac:dyDescent="0.35">
      <c r="N8264" s="676"/>
    </row>
    <row r="8265" spans="14:14" x14ac:dyDescent="0.35">
      <c r="N8265" s="676"/>
    </row>
    <row r="8266" spans="14:14" x14ac:dyDescent="0.35">
      <c r="N8266" s="676"/>
    </row>
    <row r="8267" spans="14:14" x14ac:dyDescent="0.35">
      <c r="N8267" s="676"/>
    </row>
    <row r="8268" spans="14:14" x14ac:dyDescent="0.35">
      <c r="N8268" s="676"/>
    </row>
    <row r="8269" spans="14:14" x14ac:dyDescent="0.35">
      <c r="N8269" s="676"/>
    </row>
    <row r="8270" spans="14:14" x14ac:dyDescent="0.35">
      <c r="N8270" s="676"/>
    </row>
    <row r="8271" spans="14:14" x14ac:dyDescent="0.35">
      <c r="N8271" s="676"/>
    </row>
    <row r="8272" spans="14:14" x14ac:dyDescent="0.35">
      <c r="N8272" s="676"/>
    </row>
    <row r="8273" spans="14:14" x14ac:dyDescent="0.35">
      <c r="N8273" s="676"/>
    </row>
    <row r="8274" spans="14:14" x14ac:dyDescent="0.35">
      <c r="N8274" s="676"/>
    </row>
    <row r="8275" spans="14:14" x14ac:dyDescent="0.35">
      <c r="N8275" s="676"/>
    </row>
    <row r="8276" spans="14:14" x14ac:dyDescent="0.35">
      <c r="N8276" s="676"/>
    </row>
    <row r="8277" spans="14:14" x14ac:dyDescent="0.35">
      <c r="N8277" s="676"/>
    </row>
    <row r="8278" spans="14:14" x14ac:dyDescent="0.35">
      <c r="N8278" s="676"/>
    </row>
    <row r="8279" spans="14:14" x14ac:dyDescent="0.35">
      <c r="N8279" s="676"/>
    </row>
    <row r="8280" spans="14:14" x14ac:dyDescent="0.35">
      <c r="N8280" s="676"/>
    </row>
    <row r="8281" spans="14:14" x14ac:dyDescent="0.35">
      <c r="N8281" s="676"/>
    </row>
    <row r="8282" spans="14:14" x14ac:dyDescent="0.35">
      <c r="N8282" s="676"/>
    </row>
    <row r="8283" spans="14:14" x14ac:dyDescent="0.35">
      <c r="N8283" s="676"/>
    </row>
    <row r="8284" spans="14:14" x14ac:dyDescent="0.35">
      <c r="N8284" s="676"/>
    </row>
    <row r="8285" spans="14:14" x14ac:dyDescent="0.35">
      <c r="N8285" s="676"/>
    </row>
    <row r="8286" spans="14:14" x14ac:dyDescent="0.35">
      <c r="N8286" s="676"/>
    </row>
    <row r="8287" spans="14:14" x14ac:dyDescent="0.35">
      <c r="N8287" s="676"/>
    </row>
    <row r="8288" spans="14:14" x14ac:dyDescent="0.35">
      <c r="N8288" s="676"/>
    </row>
    <row r="8289" spans="14:14" x14ac:dyDescent="0.35">
      <c r="N8289" s="676"/>
    </row>
    <row r="8290" spans="14:14" x14ac:dyDescent="0.35">
      <c r="N8290" s="676"/>
    </row>
    <row r="8291" spans="14:14" x14ac:dyDescent="0.35">
      <c r="N8291" s="676"/>
    </row>
    <row r="8292" spans="14:14" x14ac:dyDescent="0.35">
      <c r="N8292" s="676"/>
    </row>
    <row r="8293" spans="14:14" x14ac:dyDescent="0.35">
      <c r="N8293" s="676"/>
    </row>
    <row r="8294" spans="14:14" x14ac:dyDescent="0.35">
      <c r="N8294" s="676"/>
    </row>
    <row r="8295" spans="14:14" x14ac:dyDescent="0.35">
      <c r="N8295" s="676"/>
    </row>
    <row r="8296" spans="14:14" x14ac:dyDescent="0.35">
      <c r="N8296" s="676"/>
    </row>
    <row r="8297" spans="14:14" x14ac:dyDescent="0.35">
      <c r="N8297" s="676"/>
    </row>
    <row r="8298" spans="14:14" x14ac:dyDescent="0.35">
      <c r="N8298" s="676"/>
    </row>
    <row r="8299" spans="14:14" x14ac:dyDescent="0.35">
      <c r="N8299" s="676"/>
    </row>
    <row r="8300" spans="14:14" x14ac:dyDescent="0.35">
      <c r="N8300" s="676"/>
    </row>
    <row r="8301" spans="14:14" x14ac:dyDescent="0.35">
      <c r="N8301" s="676"/>
    </row>
    <row r="8302" spans="14:14" x14ac:dyDescent="0.35">
      <c r="N8302" s="676"/>
    </row>
    <row r="8303" spans="14:14" x14ac:dyDescent="0.35">
      <c r="N8303" s="676"/>
    </row>
    <row r="8304" spans="14:14" x14ac:dyDescent="0.35">
      <c r="N8304" s="676"/>
    </row>
    <row r="8305" spans="14:14" x14ac:dyDescent="0.35">
      <c r="N8305" s="676"/>
    </row>
    <row r="8306" spans="14:14" x14ac:dyDescent="0.35">
      <c r="N8306" s="676"/>
    </row>
    <row r="8307" spans="14:14" x14ac:dyDescent="0.35">
      <c r="N8307" s="676"/>
    </row>
    <row r="8308" spans="14:14" x14ac:dyDescent="0.35">
      <c r="N8308" s="676"/>
    </row>
    <row r="8309" spans="14:14" x14ac:dyDescent="0.35">
      <c r="N8309" s="676"/>
    </row>
    <row r="8310" spans="14:14" x14ac:dyDescent="0.35">
      <c r="N8310" s="676"/>
    </row>
    <row r="8311" spans="14:14" x14ac:dyDescent="0.35">
      <c r="N8311" s="676"/>
    </row>
    <row r="8312" spans="14:14" x14ac:dyDescent="0.35">
      <c r="N8312" s="676"/>
    </row>
    <row r="8313" spans="14:14" x14ac:dyDescent="0.35">
      <c r="N8313" s="676"/>
    </row>
    <row r="8314" spans="14:14" x14ac:dyDescent="0.35">
      <c r="N8314" s="676"/>
    </row>
    <row r="8315" spans="14:14" x14ac:dyDescent="0.35">
      <c r="N8315" s="676"/>
    </row>
    <row r="8316" spans="14:14" x14ac:dyDescent="0.35">
      <c r="N8316" s="676"/>
    </row>
    <row r="8317" spans="14:14" x14ac:dyDescent="0.35">
      <c r="N8317" s="676"/>
    </row>
    <row r="8318" spans="14:14" x14ac:dyDescent="0.35">
      <c r="N8318" s="676"/>
    </row>
    <row r="8319" spans="14:14" x14ac:dyDescent="0.35">
      <c r="N8319" s="676"/>
    </row>
    <row r="8320" spans="14:14" x14ac:dyDescent="0.35">
      <c r="N8320" s="676"/>
    </row>
    <row r="8321" spans="14:14" x14ac:dyDescent="0.35">
      <c r="N8321" s="676"/>
    </row>
    <row r="8322" spans="14:14" x14ac:dyDescent="0.35">
      <c r="N8322" s="676"/>
    </row>
    <row r="8323" spans="14:14" x14ac:dyDescent="0.35">
      <c r="N8323" s="676"/>
    </row>
    <row r="8324" spans="14:14" x14ac:dyDescent="0.35">
      <c r="N8324" s="676"/>
    </row>
    <row r="8325" spans="14:14" x14ac:dyDescent="0.35">
      <c r="N8325" s="676"/>
    </row>
    <row r="8326" spans="14:14" x14ac:dyDescent="0.35">
      <c r="N8326" s="676"/>
    </row>
    <row r="8327" spans="14:14" x14ac:dyDescent="0.35">
      <c r="N8327" s="676"/>
    </row>
    <row r="8328" spans="14:14" x14ac:dyDescent="0.35">
      <c r="N8328" s="676"/>
    </row>
    <row r="8329" spans="14:14" x14ac:dyDescent="0.35">
      <c r="N8329" s="676"/>
    </row>
    <row r="8330" spans="14:14" x14ac:dyDescent="0.35">
      <c r="N8330" s="676"/>
    </row>
    <row r="8331" spans="14:14" x14ac:dyDescent="0.35">
      <c r="N8331" s="676"/>
    </row>
    <row r="8332" spans="14:14" x14ac:dyDescent="0.35">
      <c r="N8332" s="676"/>
    </row>
    <row r="8333" spans="14:14" x14ac:dyDescent="0.35">
      <c r="N8333" s="676"/>
    </row>
    <row r="8334" spans="14:14" x14ac:dyDescent="0.35">
      <c r="N8334" s="676"/>
    </row>
    <row r="8335" spans="14:14" x14ac:dyDescent="0.35">
      <c r="N8335" s="676"/>
    </row>
    <row r="8336" spans="14:14" x14ac:dyDescent="0.35">
      <c r="N8336" s="676"/>
    </row>
    <row r="8337" spans="14:14" x14ac:dyDescent="0.35">
      <c r="N8337" s="676"/>
    </row>
    <row r="8338" spans="14:14" x14ac:dyDescent="0.35">
      <c r="N8338" s="676"/>
    </row>
    <row r="8339" spans="14:14" x14ac:dyDescent="0.35">
      <c r="N8339" s="676"/>
    </row>
    <row r="8340" spans="14:14" x14ac:dyDescent="0.35">
      <c r="N8340" s="676"/>
    </row>
    <row r="8341" spans="14:14" x14ac:dyDescent="0.35">
      <c r="N8341" s="676"/>
    </row>
    <row r="8342" spans="14:14" x14ac:dyDescent="0.35">
      <c r="N8342" s="676"/>
    </row>
    <row r="8343" spans="14:14" x14ac:dyDescent="0.35">
      <c r="N8343" s="676"/>
    </row>
    <row r="8344" spans="14:14" x14ac:dyDescent="0.35">
      <c r="N8344" s="676"/>
    </row>
    <row r="8345" spans="14:14" x14ac:dyDescent="0.35">
      <c r="N8345" s="676"/>
    </row>
    <row r="8346" spans="14:14" x14ac:dyDescent="0.35">
      <c r="N8346" s="676"/>
    </row>
    <row r="8347" spans="14:14" x14ac:dyDescent="0.35">
      <c r="N8347" s="676"/>
    </row>
    <row r="8348" spans="14:14" x14ac:dyDescent="0.35">
      <c r="N8348" s="676"/>
    </row>
    <row r="8349" spans="14:14" x14ac:dyDescent="0.35">
      <c r="N8349" s="676"/>
    </row>
    <row r="8350" spans="14:14" x14ac:dyDescent="0.35">
      <c r="N8350" s="676"/>
    </row>
    <row r="8351" spans="14:14" x14ac:dyDescent="0.35">
      <c r="N8351" s="676"/>
    </row>
    <row r="8352" spans="14:14" x14ac:dyDescent="0.35">
      <c r="N8352" s="676"/>
    </row>
    <row r="8353" spans="14:14" x14ac:dyDescent="0.35">
      <c r="N8353" s="676"/>
    </row>
    <row r="8354" spans="14:14" x14ac:dyDescent="0.35">
      <c r="N8354" s="676"/>
    </row>
    <row r="8355" spans="14:14" x14ac:dyDescent="0.35">
      <c r="N8355" s="676"/>
    </row>
    <row r="8356" spans="14:14" x14ac:dyDescent="0.35">
      <c r="N8356" s="676"/>
    </row>
    <row r="8357" spans="14:14" x14ac:dyDescent="0.35">
      <c r="N8357" s="676"/>
    </row>
    <row r="8358" spans="14:14" x14ac:dyDescent="0.35">
      <c r="N8358" s="676"/>
    </row>
    <row r="8359" spans="14:14" x14ac:dyDescent="0.35">
      <c r="N8359" s="676"/>
    </row>
    <row r="8360" spans="14:14" x14ac:dyDescent="0.35">
      <c r="N8360" s="676"/>
    </row>
    <row r="8361" spans="14:14" x14ac:dyDescent="0.35">
      <c r="N8361" s="676"/>
    </row>
    <row r="8362" spans="14:14" x14ac:dyDescent="0.35">
      <c r="N8362" s="676"/>
    </row>
    <row r="8363" spans="14:14" x14ac:dyDescent="0.35">
      <c r="N8363" s="676"/>
    </row>
    <row r="8364" spans="14:14" x14ac:dyDescent="0.35">
      <c r="N8364" s="676"/>
    </row>
    <row r="8365" spans="14:14" x14ac:dyDescent="0.35">
      <c r="N8365" s="676"/>
    </row>
    <row r="8366" spans="14:14" x14ac:dyDescent="0.35">
      <c r="N8366" s="676"/>
    </row>
    <row r="8367" spans="14:14" x14ac:dyDescent="0.35">
      <c r="N8367" s="676"/>
    </row>
    <row r="8368" spans="14:14" x14ac:dyDescent="0.35">
      <c r="N8368" s="676"/>
    </row>
    <row r="8369" spans="14:14" x14ac:dyDescent="0.35">
      <c r="N8369" s="676"/>
    </row>
    <row r="8370" spans="14:14" x14ac:dyDescent="0.35">
      <c r="N8370" s="676"/>
    </row>
    <row r="8371" spans="14:14" x14ac:dyDescent="0.35">
      <c r="N8371" s="676"/>
    </row>
    <row r="8372" spans="14:14" x14ac:dyDescent="0.35">
      <c r="N8372" s="676"/>
    </row>
    <row r="8373" spans="14:14" x14ac:dyDescent="0.35">
      <c r="N8373" s="676"/>
    </row>
    <row r="8374" spans="14:14" x14ac:dyDescent="0.35">
      <c r="N8374" s="676"/>
    </row>
    <row r="8375" spans="14:14" x14ac:dyDescent="0.35">
      <c r="N8375" s="676"/>
    </row>
    <row r="8376" spans="14:14" x14ac:dyDescent="0.35">
      <c r="N8376" s="676"/>
    </row>
    <row r="8377" spans="14:14" x14ac:dyDescent="0.35">
      <c r="N8377" s="676"/>
    </row>
    <row r="8378" spans="14:14" x14ac:dyDescent="0.35">
      <c r="N8378" s="676"/>
    </row>
    <row r="8379" spans="14:14" x14ac:dyDescent="0.35">
      <c r="N8379" s="676"/>
    </row>
    <row r="8380" spans="14:14" x14ac:dyDescent="0.35">
      <c r="N8380" s="676"/>
    </row>
    <row r="8381" spans="14:14" x14ac:dyDescent="0.35">
      <c r="N8381" s="676"/>
    </row>
    <row r="8382" spans="14:14" x14ac:dyDescent="0.35">
      <c r="N8382" s="676"/>
    </row>
    <row r="8383" spans="14:14" x14ac:dyDescent="0.35">
      <c r="N8383" s="676"/>
    </row>
    <row r="8384" spans="14:14" x14ac:dyDescent="0.35">
      <c r="N8384" s="676"/>
    </row>
    <row r="8385" spans="14:14" x14ac:dyDescent="0.35">
      <c r="N8385" s="676"/>
    </row>
    <row r="8386" spans="14:14" x14ac:dyDescent="0.35">
      <c r="N8386" s="676"/>
    </row>
    <row r="8387" spans="14:14" x14ac:dyDescent="0.35">
      <c r="N8387" s="676"/>
    </row>
    <row r="8388" spans="14:14" x14ac:dyDescent="0.35">
      <c r="N8388" s="676"/>
    </row>
    <row r="8389" spans="14:14" x14ac:dyDescent="0.35">
      <c r="N8389" s="676"/>
    </row>
    <row r="8390" spans="14:14" x14ac:dyDescent="0.35">
      <c r="N8390" s="676"/>
    </row>
    <row r="8391" spans="14:14" x14ac:dyDescent="0.35">
      <c r="N8391" s="676"/>
    </row>
    <row r="8392" spans="14:14" x14ac:dyDescent="0.35">
      <c r="N8392" s="676"/>
    </row>
    <row r="8393" spans="14:14" x14ac:dyDescent="0.35">
      <c r="N8393" s="676"/>
    </row>
    <row r="8394" spans="14:14" x14ac:dyDescent="0.35">
      <c r="N8394" s="676"/>
    </row>
    <row r="8395" spans="14:14" x14ac:dyDescent="0.35">
      <c r="N8395" s="676"/>
    </row>
    <row r="8396" spans="14:14" x14ac:dyDescent="0.35">
      <c r="N8396" s="676"/>
    </row>
    <row r="8397" spans="14:14" x14ac:dyDescent="0.35">
      <c r="N8397" s="676"/>
    </row>
    <row r="8398" spans="14:14" x14ac:dyDescent="0.35">
      <c r="N8398" s="676"/>
    </row>
    <row r="8399" spans="14:14" x14ac:dyDescent="0.35">
      <c r="N8399" s="676"/>
    </row>
    <row r="8400" spans="14:14" x14ac:dyDescent="0.35">
      <c r="N8400" s="676"/>
    </row>
    <row r="8401" spans="14:14" x14ac:dyDescent="0.35">
      <c r="N8401" s="676"/>
    </row>
    <row r="8402" spans="14:14" x14ac:dyDescent="0.35">
      <c r="N8402" s="676"/>
    </row>
    <row r="8403" spans="14:14" x14ac:dyDescent="0.35">
      <c r="N8403" s="676"/>
    </row>
    <row r="8404" spans="14:14" x14ac:dyDescent="0.35">
      <c r="N8404" s="676"/>
    </row>
    <row r="8405" spans="14:14" x14ac:dyDescent="0.35">
      <c r="N8405" s="676"/>
    </row>
    <row r="8406" spans="14:14" x14ac:dyDescent="0.35">
      <c r="N8406" s="676"/>
    </row>
    <row r="8407" spans="14:14" x14ac:dyDescent="0.35">
      <c r="N8407" s="676"/>
    </row>
    <row r="8408" spans="14:14" x14ac:dyDescent="0.35">
      <c r="N8408" s="676"/>
    </row>
    <row r="8409" spans="14:14" x14ac:dyDescent="0.35">
      <c r="N8409" s="676"/>
    </row>
    <row r="8410" spans="14:14" x14ac:dyDescent="0.35">
      <c r="N8410" s="676"/>
    </row>
    <row r="8411" spans="14:14" x14ac:dyDescent="0.35">
      <c r="N8411" s="676"/>
    </row>
    <row r="8412" spans="14:14" x14ac:dyDescent="0.35">
      <c r="N8412" s="676"/>
    </row>
    <row r="8413" spans="14:14" x14ac:dyDescent="0.35">
      <c r="N8413" s="676"/>
    </row>
    <row r="8414" spans="14:14" x14ac:dyDescent="0.35">
      <c r="N8414" s="676"/>
    </row>
    <row r="8415" spans="14:14" x14ac:dyDescent="0.35">
      <c r="N8415" s="676"/>
    </row>
    <row r="8416" spans="14:14" x14ac:dyDescent="0.35">
      <c r="N8416" s="676"/>
    </row>
    <row r="8417" spans="14:14" x14ac:dyDescent="0.35">
      <c r="N8417" s="676"/>
    </row>
    <row r="8418" spans="14:14" x14ac:dyDescent="0.35">
      <c r="N8418" s="676"/>
    </row>
    <row r="8419" spans="14:14" x14ac:dyDescent="0.35">
      <c r="N8419" s="676"/>
    </row>
    <row r="8420" spans="14:14" x14ac:dyDescent="0.35">
      <c r="N8420" s="676"/>
    </row>
    <row r="8421" spans="14:14" x14ac:dyDescent="0.35">
      <c r="N8421" s="676"/>
    </row>
    <row r="8422" spans="14:14" x14ac:dyDescent="0.35">
      <c r="N8422" s="676"/>
    </row>
    <row r="8423" spans="14:14" x14ac:dyDescent="0.35">
      <c r="N8423" s="676"/>
    </row>
    <row r="8424" spans="14:14" x14ac:dyDescent="0.35">
      <c r="N8424" s="676"/>
    </row>
    <row r="8425" spans="14:14" x14ac:dyDescent="0.35">
      <c r="N8425" s="676"/>
    </row>
    <row r="8426" spans="14:14" x14ac:dyDescent="0.35">
      <c r="N8426" s="676"/>
    </row>
    <row r="8427" spans="14:14" x14ac:dyDescent="0.35">
      <c r="N8427" s="676"/>
    </row>
    <row r="8428" spans="14:14" x14ac:dyDescent="0.35">
      <c r="N8428" s="676"/>
    </row>
    <row r="8429" spans="14:14" x14ac:dyDescent="0.35">
      <c r="N8429" s="676"/>
    </row>
    <row r="8430" spans="14:14" x14ac:dyDescent="0.35">
      <c r="N8430" s="676"/>
    </row>
    <row r="8431" spans="14:14" x14ac:dyDescent="0.35">
      <c r="N8431" s="676"/>
    </row>
    <row r="8432" spans="14:14" x14ac:dyDescent="0.35">
      <c r="N8432" s="676"/>
    </row>
    <row r="8433" spans="14:14" x14ac:dyDescent="0.35">
      <c r="N8433" s="676"/>
    </row>
    <row r="8434" spans="14:14" x14ac:dyDescent="0.35">
      <c r="N8434" s="676"/>
    </row>
    <row r="8435" spans="14:14" x14ac:dyDescent="0.35">
      <c r="N8435" s="676"/>
    </row>
    <row r="8436" spans="14:14" x14ac:dyDescent="0.35">
      <c r="N8436" s="676"/>
    </row>
    <row r="8437" spans="14:14" x14ac:dyDescent="0.35">
      <c r="N8437" s="676"/>
    </row>
    <row r="8438" spans="14:14" x14ac:dyDescent="0.35">
      <c r="N8438" s="676"/>
    </row>
    <row r="8439" spans="14:14" x14ac:dyDescent="0.35">
      <c r="N8439" s="676"/>
    </row>
    <row r="8440" spans="14:14" x14ac:dyDescent="0.35">
      <c r="N8440" s="676"/>
    </row>
    <row r="8441" spans="14:14" x14ac:dyDescent="0.35">
      <c r="N8441" s="676"/>
    </row>
    <row r="8442" spans="14:14" x14ac:dyDescent="0.35">
      <c r="N8442" s="676"/>
    </row>
    <row r="8443" spans="14:14" x14ac:dyDescent="0.35">
      <c r="N8443" s="676"/>
    </row>
    <row r="8444" spans="14:14" x14ac:dyDescent="0.35">
      <c r="N8444" s="676"/>
    </row>
    <row r="8445" spans="14:14" x14ac:dyDescent="0.35">
      <c r="N8445" s="676"/>
    </row>
    <row r="8446" spans="14:14" x14ac:dyDescent="0.35">
      <c r="N8446" s="676"/>
    </row>
    <row r="8447" spans="14:14" x14ac:dyDescent="0.35">
      <c r="N8447" s="676"/>
    </row>
    <row r="8448" spans="14:14" x14ac:dyDescent="0.35">
      <c r="N8448" s="676"/>
    </row>
    <row r="8449" spans="14:14" x14ac:dyDescent="0.35">
      <c r="N8449" s="676"/>
    </row>
    <row r="8450" spans="14:14" x14ac:dyDescent="0.35">
      <c r="N8450" s="676"/>
    </row>
    <row r="8451" spans="14:14" x14ac:dyDescent="0.35">
      <c r="N8451" s="676"/>
    </row>
    <row r="8452" spans="14:14" x14ac:dyDescent="0.35">
      <c r="N8452" s="676"/>
    </row>
    <row r="8453" spans="14:14" x14ac:dyDescent="0.35">
      <c r="N8453" s="676"/>
    </row>
    <row r="8454" spans="14:14" x14ac:dyDescent="0.35">
      <c r="N8454" s="676"/>
    </row>
    <row r="8455" spans="14:14" x14ac:dyDescent="0.35">
      <c r="N8455" s="676"/>
    </row>
    <row r="8456" spans="14:14" x14ac:dyDescent="0.35">
      <c r="N8456" s="676"/>
    </row>
    <row r="8457" spans="14:14" x14ac:dyDescent="0.35">
      <c r="N8457" s="676"/>
    </row>
    <row r="8458" spans="14:14" x14ac:dyDescent="0.35">
      <c r="N8458" s="676"/>
    </row>
    <row r="8459" spans="14:14" x14ac:dyDescent="0.35">
      <c r="N8459" s="676"/>
    </row>
    <row r="8460" spans="14:14" x14ac:dyDescent="0.35">
      <c r="N8460" s="676"/>
    </row>
    <row r="8461" spans="14:14" x14ac:dyDescent="0.35">
      <c r="N8461" s="676"/>
    </row>
    <row r="8462" spans="14:14" x14ac:dyDescent="0.35">
      <c r="N8462" s="676"/>
    </row>
    <row r="8463" spans="14:14" x14ac:dyDescent="0.35">
      <c r="N8463" s="676"/>
    </row>
    <row r="8464" spans="14:14" x14ac:dyDescent="0.35">
      <c r="N8464" s="676"/>
    </row>
    <row r="8465" spans="14:14" x14ac:dyDescent="0.35">
      <c r="N8465" s="676"/>
    </row>
    <row r="8466" spans="14:14" x14ac:dyDescent="0.35">
      <c r="N8466" s="676"/>
    </row>
    <row r="8467" spans="14:14" x14ac:dyDescent="0.35">
      <c r="N8467" s="676"/>
    </row>
    <row r="8468" spans="14:14" x14ac:dyDescent="0.35">
      <c r="N8468" s="676"/>
    </row>
    <row r="8469" spans="14:14" x14ac:dyDescent="0.35">
      <c r="N8469" s="676"/>
    </row>
    <row r="8470" spans="14:14" x14ac:dyDescent="0.35">
      <c r="N8470" s="676"/>
    </row>
    <row r="8471" spans="14:14" x14ac:dyDescent="0.35">
      <c r="N8471" s="676"/>
    </row>
    <row r="8472" spans="14:14" x14ac:dyDescent="0.35">
      <c r="N8472" s="676"/>
    </row>
    <row r="8473" spans="14:14" x14ac:dyDescent="0.35">
      <c r="N8473" s="676"/>
    </row>
    <row r="8474" spans="14:14" x14ac:dyDescent="0.35">
      <c r="N8474" s="676"/>
    </row>
    <row r="8475" spans="14:14" x14ac:dyDescent="0.35">
      <c r="N8475" s="676"/>
    </row>
    <row r="8476" spans="14:14" x14ac:dyDescent="0.35">
      <c r="N8476" s="676"/>
    </row>
    <row r="8477" spans="14:14" x14ac:dyDescent="0.35">
      <c r="N8477" s="676"/>
    </row>
    <row r="8478" spans="14:14" x14ac:dyDescent="0.35">
      <c r="N8478" s="676"/>
    </row>
    <row r="8479" spans="14:14" x14ac:dyDescent="0.35">
      <c r="N8479" s="676"/>
    </row>
    <row r="8480" spans="14:14" x14ac:dyDescent="0.35">
      <c r="N8480" s="676"/>
    </row>
    <row r="8481" spans="14:14" x14ac:dyDescent="0.35">
      <c r="N8481" s="676"/>
    </row>
    <row r="8482" spans="14:14" x14ac:dyDescent="0.35">
      <c r="N8482" s="676"/>
    </row>
    <row r="8483" spans="14:14" x14ac:dyDescent="0.35">
      <c r="N8483" s="676"/>
    </row>
    <row r="8484" spans="14:14" x14ac:dyDescent="0.35">
      <c r="N8484" s="676"/>
    </row>
    <row r="8485" spans="14:14" x14ac:dyDescent="0.35">
      <c r="N8485" s="676"/>
    </row>
    <row r="8486" spans="14:14" x14ac:dyDescent="0.35">
      <c r="N8486" s="676"/>
    </row>
    <row r="8487" spans="14:14" x14ac:dyDescent="0.35">
      <c r="N8487" s="676"/>
    </row>
    <row r="8488" spans="14:14" x14ac:dyDescent="0.35">
      <c r="N8488" s="676"/>
    </row>
    <row r="8489" spans="14:14" x14ac:dyDescent="0.35">
      <c r="N8489" s="676"/>
    </row>
    <row r="8490" spans="14:14" x14ac:dyDescent="0.35">
      <c r="N8490" s="676"/>
    </row>
    <row r="8491" spans="14:14" x14ac:dyDescent="0.35">
      <c r="N8491" s="676"/>
    </row>
    <row r="8492" spans="14:14" x14ac:dyDescent="0.35">
      <c r="N8492" s="676"/>
    </row>
    <row r="8493" spans="14:14" x14ac:dyDescent="0.35">
      <c r="N8493" s="676"/>
    </row>
    <row r="8494" spans="14:14" x14ac:dyDescent="0.35">
      <c r="N8494" s="676"/>
    </row>
    <row r="8495" spans="14:14" x14ac:dyDescent="0.35">
      <c r="N8495" s="676"/>
    </row>
    <row r="8496" spans="14:14" x14ac:dyDescent="0.35">
      <c r="N8496" s="676"/>
    </row>
    <row r="8497" spans="14:14" x14ac:dyDescent="0.35">
      <c r="N8497" s="676"/>
    </row>
    <row r="8498" spans="14:14" x14ac:dyDescent="0.35">
      <c r="N8498" s="676"/>
    </row>
    <row r="8499" spans="14:14" x14ac:dyDescent="0.35">
      <c r="N8499" s="676"/>
    </row>
    <row r="8500" spans="14:14" x14ac:dyDescent="0.35">
      <c r="N8500" s="676"/>
    </row>
    <row r="8501" spans="14:14" x14ac:dyDescent="0.35">
      <c r="N8501" s="676"/>
    </row>
    <row r="8502" spans="14:14" x14ac:dyDescent="0.35">
      <c r="N8502" s="676"/>
    </row>
    <row r="8503" spans="14:14" x14ac:dyDescent="0.35">
      <c r="N8503" s="676"/>
    </row>
    <row r="8504" spans="14:14" x14ac:dyDescent="0.35">
      <c r="N8504" s="676"/>
    </row>
    <row r="8505" spans="14:14" x14ac:dyDescent="0.35">
      <c r="N8505" s="676"/>
    </row>
    <row r="8506" spans="14:14" x14ac:dyDescent="0.35">
      <c r="N8506" s="676"/>
    </row>
    <row r="8507" spans="14:14" x14ac:dyDescent="0.35">
      <c r="N8507" s="676"/>
    </row>
    <row r="8508" spans="14:14" x14ac:dyDescent="0.35">
      <c r="N8508" s="676"/>
    </row>
    <row r="8509" spans="14:14" x14ac:dyDescent="0.35">
      <c r="N8509" s="676"/>
    </row>
    <row r="8510" spans="14:14" x14ac:dyDescent="0.35">
      <c r="N8510" s="676"/>
    </row>
    <row r="8511" spans="14:14" x14ac:dyDescent="0.35">
      <c r="N8511" s="676"/>
    </row>
    <row r="8512" spans="14:14" x14ac:dyDescent="0.35">
      <c r="N8512" s="676"/>
    </row>
    <row r="8513" spans="14:14" x14ac:dyDescent="0.35">
      <c r="N8513" s="676"/>
    </row>
    <row r="8514" spans="14:14" x14ac:dyDescent="0.35">
      <c r="N8514" s="676"/>
    </row>
    <row r="8515" spans="14:14" x14ac:dyDescent="0.35">
      <c r="N8515" s="676"/>
    </row>
    <row r="8516" spans="14:14" x14ac:dyDescent="0.35">
      <c r="N8516" s="676"/>
    </row>
    <row r="8517" spans="14:14" x14ac:dyDescent="0.35">
      <c r="N8517" s="676"/>
    </row>
    <row r="8518" spans="14:14" x14ac:dyDescent="0.35">
      <c r="N8518" s="676"/>
    </row>
    <row r="8519" spans="14:14" x14ac:dyDescent="0.35">
      <c r="N8519" s="676"/>
    </row>
    <row r="8520" spans="14:14" x14ac:dyDescent="0.35">
      <c r="N8520" s="676"/>
    </row>
    <row r="8521" spans="14:14" x14ac:dyDescent="0.35">
      <c r="N8521" s="676"/>
    </row>
    <row r="8522" spans="14:14" x14ac:dyDescent="0.35">
      <c r="N8522" s="676"/>
    </row>
    <row r="8523" spans="14:14" x14ac:dyDescent="0.35">
      <c r="N8523" s="676"/>
    </row>
    <row r="8524" spans="14:14" x14ac:dyDescent="0.35">
      <c r="N8524" s="676"/>
    </row>
    <row r="8525" spans="14:14" x14ac:dyDescent="0.35">
      <c r="N8525" s="676"/>
    </row>
    <row r="8526" spans="14:14" x14ac:dyDescent="0.35">
      <c r="N8526" s="676"/>
    </row>
    <row r="8527" spans="14:14" x14ac:dyDescent="0.35">
      <c r="N8527" s="676"/>
    </row>
    <row r="8528" spans="14:14" x14ac:dyDescent="0.35">
      <c r="N8528" s="676"/>
    </row>
    <row r="8529" spans="14:14" x14ac:dyDescent="0.35">
      <c r="N8529" s="676"/>
    </row>
    <row r="8530" spans="14:14" x14ac:dyDescent="0.35">
      <c r="N8530" s="676"/>
    </row>
    <row r="8531" spans="14:14" x14ac:dyDescent="0.35">
      <c r="N8531" s="676"/>
    </row>
    <row r="8532" spans="14:14" x14ac:dyDescent="0.35">
      <c r="N8532" s="676"/>
    </row>
    <row r="8533" spans="14:14" x14ac:dyDescent="0.35">
      <c r="N8533" s="676"/>
    </row>
    <row r="8534" spans="14:14" x14ac:dyDescent="0.35">
      <c r="N8534" s="676"/>
    </row>
    <row r="8535" spans="14:14" x14ac:dyDescent="0.35">
      <c r="N8535" s="676"/>
    </row>
    <row r="8536" spans="14:14" x14ac:dyDescent="0.35">
      <c r="N8536" s="676"/>
    </row>
    <row r="8537" spans="14:14" x14ac:dyDescent="0.35">
      <c r="N8537" s="676"/>
    </row>
    <row r="8538" spans="14:14" x14ac:dyDescent="0.35">
      <c r="N8538" s="676"/>
    </row>
    <row r="8539" spans="14:14" x14ac:dyDescent="0.35">
      <c r="N8539" s="676"/>
    </row>
    <row r="8540" spans="14:14" x14ac:dyDescent="0.35">
      <c r="N8540" s="676"/>
    </row>
    <row r="8541" spans="14:14" x14ac:dyDescent="0.35">
      <c r="N8541" s="676"/>
    </row>
    <row r="8542" spans="14:14" x14ac:dyDescent="0.35">
      <c r="N8542" s="676"/>
    </row>
    <row r="8543" spans="14:14" x14ac:dyDescent="0.35">
      <c r="N8543" s="676"/>
    </row>
    <row r="8544" spans="14:14" x14ac:dyDescent="0.35">
      <c r="N8544" s="676"/>
    </row>
    <row r="8545" spans="14:14" x14ac:dyDescent="0.35">
      <c r="N8545" s="676"/>
    </row>
    <row r="8546" spans="14:14" x14ac:dyDescent="0.35">
      <c r="N8546" s="676"/>
    </row>
    <row r="8547" spans="14:14" x14ac:dyDescent="0.35">
      <c r="N8547" s="676"/>
    </row>
    <row r="8548" spans="14:14" x14ac:dyDescent="0.35">
      <c r="N8548" s="676"/>
    </row>
    <row r="8549" spans="14:14" x14ac:dyDescent="0.35">
      <c r="N8549" s="676"/>
    </row>
    <row r="8550" spans="14:14" x14ac:dyDescent="0.35">
      <c r="N8550" s="676"/>
    </row>
    <row r="8551" spans="14:14" x14ac:dyDescent="0.35">
      <c r="N8551" s="676"/>
    </row>
    <row r="8552" spans="14:14" x14ac:dyDescent="0.35">
      <c r="N8552" s="676"/>
    </row>
    <row r="8553" spans="14:14" x14ac:dyDescent="0.35">
      <c r="N8553" s="676"/>
    </row>
    <row r="8554" spans="14:14" x14ac:dyDescent="0.35">
      <c r="N8554" s="676"/>
    </row>
    <row r="8555" spans="14:14" x14ac:dyDescent="0.35">
      <c r="N8555" s="676"/>
    </row>
    <row r="8556" spans="14:14" x14ac:dyDescent="0.35">
      <c r="N8556" s="676"/>
    </row>
    <row r="8557" spans="14:14" x14ac:dyDescent="0.35">
      <c r="N8557" s="676"/>
    </row>
    <row r="8558" spans="14:14" x14ac:dyDescent="0.35">
      <c r="N8558" s="676"/>
    </row>
    <row r="8559" spans="14:14" x14ac:dyDescent="0.35">
      <c r="N8559" s="676"/>
    </row>
    <row r="8560" spans="14:14" x14ac:dyDescent="0.35">
      <c r="N8560" s="676"/>
    </row>
    <row r="8561" spans="14:14" x14ac:dyDescent="0.35">
      <c r="N8561" s="676"/>
    </row>
    <row r="8562" spans="14:14" x14ac:dyDescent="0.35">
      <c r="N8562" s="676"/>
    </row>
    <row r="8563" spans="14:14" x14ac:dyDescent="0.35">
      <c r="N8563" s="676"/>
    </row>
    <row r="8564" spans="14:14" x14ac:dyDescent="0.35">
      <c r="N8564" s="676"/>
    </row>
    <row r="8565" spans="14:14" x14ac:dyDescent="0.35">
      <c r="N8565" s="676"/>
    </row>
    <row r="8566" spans="14:14" x14ac:dyDescent="0.35">
      <c r="N8566" s="676"/>
    </row>
    <row r="8567" spans="14:14" x14ac:dyDescent="0.35">
      <c r="N8567" s="676"/>
    </row>
    <row r="8568" spans="14:14" x14ac:dyDescent="0.35">
      <c r="N8568" s="676"/>
    </row>
    <row r="8569" spans="14:14" x14ac:dyDescent="0.35">
      <c r="N8569" s="676"/>
    </row>
    <row r="8570" spans="14:14" x14ac:dyDescent="0.35">
      <c r="N8570" s="676"/>
    </row>
    <row r="8571" spans="14:14" x14ac:dyDescent="0.35">
      <c r="N8571" s="676"/>
    </row>
    <row r="8572" spans="14:14" x14ac:dyDescent="0.35">
      <c r="N8572" s="676"/>
    </row>
    <row r="8573" spans="14:14" x14ac:dyDescent="0.35">
      <c r="N8573" s="676"/>
    </row>
    <row r="8574" spans="14:14" x14ac:dyDescent="0.35">
      <c r="N8574" s="676"/>
    </row>
    <row r="8575" spans="14:14" x14ac:dyDescent="0.35">
      <c r="N8575" s="676"/>
    </row>
    <row r="8576" spans="14:14" x14ac:dyDescent="0.35">
      <c r="N8576" s="676"/>
    </row>
    <row r="8577" spans="14:14" x14ac:dyDescent="0.35">
      <c r="N8577" s="676"/>
    </row>
    <row r="8578" spans="14:14" x14ac:dyDescent="0.35">
      <c r="N8578" s="676"/>
    </row>
    <row r="8579" spans="14:14" x14ac:dyDescent="0.35">
      <c r="N8579" s="676"/>
    </row>
    <row r="8580" spans="14:14" x14ac:dyDescent="0.35">
      <c r="N8580" s="676"/>
    </row>
    <row r="8581" spans="14:14" x14ac:dyDescent="0.35">
      <c r="N8581" s="676"/>
    </row>
    <row r="8582" spans="14:14" x14ac:dyDescent="0.35">
      <c r="N8582" s="676"/>
    </row>
    <row r="8583" spans="14:14" x14ac:dyDescent="0.35">
      <c r="N8583" s="676"/>
    </row>
    <row r="8584" spans="14:14" x14ac:dyDescent="0.35">
      <c r="N8584" s="676"/>
    </row>
    <row r="8585" spans="14:14" x14ac:dyDescent="0.35">
      <c r="N8585" s="676"/>
    </row>
    <row r="8586" spans="14:14" x14ac:dyDescent="0.35">
      <c r="N8586" s="676"/>
    </row>
    <row r="8587" spans="14:14" x14ac:dyDescent="0.35">
      <c r="N8587" s="676"/>
    </row>
    <row r="8588" spans="14:14" x14ac:dyDescent="0.35">
      <c r="N8588" s="676"/>
    </row>
    <row r="8589" spans="14:14" x14ac:dyDescent="0.35">
      <c r="N8589" s="676"/>
    </row>
    <row r="8590" spans="14:14" x14ac:dyDescent="0.35">
      <c r="N8590" s="676"/>
    </row>
    <row r="8591" spans="14:14" x14ac:dyDescent="0.35">
      <c r="N8591" s="676"/>
    </row>
    <row r="8592" spans="14:14" x14ac:dyDescent="0.35">
      <c r="N8592" s="676"/>
    </row>
    <row r="8593" spans="14:14" x14ac:dyDescent="0.35">
      <c r="N8593" s="676"/>
    </row>
    <row r="8594" spans="14:14" x14ac:dyDescent="0.35">
      <c r="N8594" s="676"/>
    </row>
    <row r="8595" spans="14:14" x14ac:dyDescent="0.35">
      <c r="N8595" s="676"/>
    </row>
    <row r="8596" spans="14:14" x14ac:dyDescent="0.35">
      <c r="N8596" s="676"/>
    </row>
    <row r="8597" spans="14:14" x14ac:dyDescent="0.35">
      <c r="N8597" s="676"/>
    </row>
    <row r="8598" spans="14:14" x14ac:dyDescent="0.35">
      <c r="N8598" s="676"/>
    </row>
    <row r="8599" spans="14:14" x14ac:dyDescent="0.35">
      <c r="N8599" s="676"/>
    </row>
    <row r="8600" spans="14:14" x14ac:dyDescent="0.35">
      <c r="N8600" s="676"/>
    </row>
    <row r="8601" spans="14:14" x14ac:dyDescent="0.35">
      <c r="N8601" s="676"/>
    </row>
    <row r="8602" spans="14:14" x14ac:dyDescent="0.35">
      <c r="N8602" s="676"/>
    </row>
    <row r="8603" spans="14:14" x14ac:dyDescent="0.35">
      <c r="N8603" s="676"/>
    </row>
    <row r="8604" spans="14:14" x14ac:dyDescent="0.35">
      <c r="N8604" s="676"/>
    </row>
    <row r="8605" spans="14:14" x14ac:dyDescent="0.35">
      <c r="N8605" s="676"/>
    </row>
    <row r="8606" spans="14:14" x14ac:dyDescent="0.35">
      <c r="N8606" s="676"/>
    </row>
    <row r="8607" spans="14:14" x14ac:dyDescent="0.35">
      <c r="N8607" s="676"/>
    </row>
    <row r="8608" spans="14:14" x14ac:dyDescent="0.35">
      <c r="N8608" s="676"/>
    </row>
    <row r="8609" spans="14:14" x14ac:dyDescent="0.35">
      <c r="N8609" s="676"/>
    </row>
    <row r="8610" spans="14:14" x14ac:dyDescent="0.35">
      <c r="N8610" s="676"/>
    </row>
    <row r="8611" spans="14:14" x14ac:dyDescent="0.35">
      <c r="N8611" s="676"/>
    </row>
    <row r="8612" spans="14:14" x14ac:dyDescent="0.35">
      <c r="N8612" s="676"/>
    </row>
    <row r="8613" spans="14:14" x14ac:dyDescent="0.35">
      <c r="N8613" s="676"/>
    </row>
    <row r="8614" spans="14:14" x14ac:dyDescent="0.35">
      <c r="N8614" s="676"/>
    </row>
    <row r="8615" spans="14:14" x14ac:dyDescent="0.35">
      <c r="N8615" s="676"/>
    </row>
    <row r="8616" spans="14:14" x14ac:dyDescent="0.35">
      <c r="N8616" s="676"/>
    </row>
    <row r="8617" spans="14:14" x14ac:dyDescent="0.35">
      <c r="N8617" s="676"/>
    </row>
    <row r="8618" spans="14:14" x14ac:dyDescent="0.35">
      <c r="N8618" s="676"/>
    </row>
    <row r="8619" spans="14:14" x14ac:dyDescent="0.35">
      <c r="N8619" s="676"/>
    </row>
    <row r="8620" spans="14:14" x14ac:dyDescent="0.35">
      <c r="N8620" s="676"/>
    </row>
    <row r="8621" spans="14:14" x14ac:dyDescent="0.35">
      <c r="N8621" s="676"/>
    </row>
    <row r="8622" spans="14:14" x14ac:dyDescent="0.35">
      <c r="N8622" s="676"/>
    </row>
    <row r="8623" spans="14:14" x14ac:dyDescent="0.35">
      <c r="N8623" s="676"/>
    </row>
    <row r="8624" spans="14:14" x14ac:dyDescent="0.35">
      <c r="N8624" s="676"/>
    </row>
    <row r="8625" spans="14:14" x14ac:dyDescent="0.35">
      <c r="N8625" s="676"/>
    </row>
    <row r="8626" spans="14:14" x14ac:dyDescent="0.35">
      <c r="N8626" s="676"/>
    </row>
    <row r="8627" spans="14:14" x14ac:dyDescent="0.35">
      <c r="N8627" s="676"/>
    </row>
    <row r="8628" spans="14:14" x14ac:dyDescent="0.35">
      <c r="N8628" s="676"/>
    </row>
    <row r="8629" spans="14:14" x14ac:dyDescent="0.35">
      <c r="N8629" s="676"/>
    </row>
    <row r="8630" spans="14:14" x14ac:dyDescent="0.35">
      <c r="N8630" s="676"/>
    </row>
    <row r="8631" spans="14:14" x14ac:dyDescent="0.35">
      <c r="N8631" s="676"/>
    </row>
    <row r="8632" spans="14:14" x14ac:dyDescent="0.35">
      <c r="N8632" s="676"/>
    </row>
    <row r="8633" spans="14:14" x14ac:dyDescent="0.35">
      <c r="N8633" s="676"/>
    </row>
    <row r="8634" spans="14:14" x14ac:dyDescent="0.35">
      <c r="N8634" s="676"/>
    </row>
    <row r="8635" spans="14:14" x14ac:dyDescent="0.35">
      <c r="N8635" s="676"/>
    </row>
    <row r="8636" spans="14:14" x14ac:dyDescent="0.35">
      <c r="N8636" s="676"/>
    </row>
    <row r="8637" spans="14:14" x14ac:dyDescent="0.35">
      <c r="N8637" s="676"/>
    </row>
    <row r="8638" spans="14:14" x14ac:dyDescent="0.35">
      <c r="N8638" s="676"/>
    </row>
    <row r="8639" spans="14:14" x14ac:dyDescent="0.35">
      <c r="N8639" s="676"/>
    </row>
    <row r="8640" spans="14:14" x14ac:dyDescent="0.35">
      <c r="N8640" s="676"/>
    </row>
    <row r="8641" spans="14:14" x14ac:dyDescent="0.35">
      <c r="N8641" s="676"/>
    </row>
    <row r="8642" spans="14:14" x14ac:dyDescent="0.35">
      <c r="N8642" s="676"/>
    </row>
    <row r="8643" spans="14:14" x14ac:dyDescent="0.35">
      <c r="N8643" s="676"/>
    </row>
    <row r="8644" spans="14:14" x14ac:dyDescent="0.35">
      <c r="N8644" s="676"/>
    </row>
    <row r="8645" spans="14:14" x14ac:dyDescent="0.35">
      <c r="N8645" s="676"/>
    </row>
    <row r="8646" spans="14:14" x14ac:dyDescent="0.35">
      <c r="N8646" s="676"/>
    </row>
    <row r="8647" spans="14:14" x14ac:dyDescent="0.35">
      <c r="N8647" s="676"/>
    </row>
    <row r="8648" spans="14:14" x14ac:dyDescent="0.35">
      <c r="N8648" s="676"/>
    </row>
    <row r="8649" spans="14:14" x14ac:dyDescent="0.35">
      <c r="N8649" s="676"/>
    </row>
    <row r="8650" spans="14:14" x14ac:dyDescent="0.35">
      <c r="N8650" s="676"/>
    </row>
    <row r="8651" spans="14:14" x14ac:dyDescent="0.35">
      <c r="N8651" s="676"/>
    </row>
    <row r="8652" spans="14:14" x14ac:dyDescent="0.35">
      <c r="N8652" s="676"/>
    </row>
    <row r="8653" spans="14:14" x14ac:dyDescent="0.35">
      <c r="N8653" s="676"/>
    </row>
    <row r="8654" spans="14:14" x14ac:dyDescent="0.35">
      <c r="N8654" s="676"/>
    </row>
    <row r="8655" spans="14:14" x14ac:dyDescent="0.35">
      <c r="N8655" s="676"/>
    </row>
    <row r="8656" spans="14:14" x14ac:dyDescent="0.35">
      <c r="N8656" s="676"/>
    </row>
    <row r="8657" spans="14:14" x14ac:dyDescent="0.35">
      <c r="N8657" s="676"/>
    </row>
    <row r="8658" spans="14:14" x14ac:dyDescent="0.35">
      <c r="N8658" s="676"/>
    </row>
    <row r="8659" spans="14:14" x14ac:dyDescent="0.35">
      <c r="N8659" s="676"/>
    </row>
    <row r="8660" spans="14:14" x14ac:dyDescent="0.35">
      <c r="N8660" s="676"/>
    </row>
    <row r="8661" spans="14:14" x14ac:dyDescent="0.35">
      <c r="N8661" s="676"/>
    </row>
    <row r="8662" spans="14:14" x14ac:dyDescent="0.35">
      <c r="N8662" s="676"/>
    </row>
    <row r="8663" spans="14:14" x14ac:dyDescent="0.35">
      <c r="N8663" s="676"/>
    </row>
    <row r="8664" spans="14:14" x14ac:dyDescent="0.35">
      <c r="N8664" s="676"/>
    </row>
    <row r="8665" spans="14:14" x14ac:dyDescent="0.35">
      <c r="N8665" s="676"/>
    </row>
    <row r="8666" spans="14:14" x14ac:dyDescent="0.35">
      <c r="N8666" s="676"/>
    </row>
    <row r="8667" spans="14:14" x14ac:dyDescent="0.35">
      <c r="N8667" s="676"/>
    </row>
    <row r="8668" spans="14:14" x14ac:dyDescent="0.35">
      <c r="N8668" s="676"/>
    </row>
    <row r="8669" spans="14:14" x14ac:dyDescent="0.35">
      <c r="N8669" s="676"/>
    </row>
    <row r="8670" spans="14:14" x14ac:dyDescent="0.35">
      <c r="N8670" s="676"/>
    </row>
    <row r="8671" spans="14:14" x14ac:dyDescent="0.35">
      <c r="N8671" s="676"/>
    </row>
    <row r="8672" spans="14:14" x14ac:dyDescent="0.35">
      <c r="N8672" s="676"/>
    </row>
    <row r="8673" spans="14:14" x14ac:dyDescent="0.35">
      <c r="N8673" s="676"/>
    </row>
    <row r="8674" spans="14:14" x14ac:dyDescent="0.35">
      <c r="N8674" s="676"/>
    </row>
    <row r="8675" spans="14:14" x14ac:dyDescent="0.35">
      <c r="N8675" s="676"/>
    </row>
    <row r="8676" spans="14:14" x14ac:dyDescent="0.35">
      <c r="N8676" s="676"/>
    </row>
    <row r="8677" spans="14:14" x14ac:dyDescent="0.35">
      <c r="N8677" s="676"/>
    </row>
    <row r="8678" spans="14:14" x14ac:dyDescent="0.35">
      <c r="N8678" s="676"/>
    </row>
    <row r="8679" spans="14:14" x14ac:dyDescent="0.35">
      <c r="N8679" s="676"/>
    </row>
    <row r="8680" spans="14:14" x14ac:dyDescent="0.35">
      <c r="N8680" s="676"/>
    </row>
    <row r="8681" spans="14:14" x14ac:dyDescent="0.35">
      <c r="N8681" s="676"/>
    </row>
    <row r="8682" spans="14:14" x14ac:dyDescent="0.35">
      <c r="N8682" s="676"/>
    </row>
    <row r="8683" spans="14:14" x14ac:dyDescent="0.35">
      <c r="N8683" s="676"/>
    </row>
    <row r="8684" spans="14:14" x14ac:dyDescent="0.35">
      <c r="N8684" s="676"/>
    </row>
    <row r="8685" spans="14:14" x14ac:dyDescent="0.35">
      <c r="N8685" s="676"/>
    </row>
    <row r="8686" spans="14:14" x14ac:dyDescent="0.35">
      <c r="N8686" s="676"/>
    </row>
    <row r="8687" spans="14:14" x14ac:dyDescent="0.35">
      <c r="N8687" s="676"/>
    </row>
    <row r="8688" spans="14:14" x14ac:dyDescent="0.35">
      <c r="N8688" s="676"/>
    </row>
    <row r="8689" spans="14:14" x14ac:dyDescent="0.35">
      <c r="N8689" s="676"/>
    </row>
    <row r="8690" spans="14:14" x14ac:dyDescent="0.35">
      <c r="N8690" s="676"/>
    </row>
    <row r="8691" spans="14:14" x14ac:dyDescent="0.35">
      <c r="N8691" s="676"/>
    </row>
    <row r="8692" spans="14:14" x14ac:dyDescent="0.35">
      <c r="N8692" s="676"/>
    </row>
    <row r="8693" spans="14:14" x14ac:dyDescent="0.35">
      <c r="N8693" s="676"/>
    </row>
    <row r="8694" spans="14:14" x14ac:dyDescent="0.35">
      <c r="N8694" s="676"/>
    </row>
    <row r="8695" spans="14:14" x14ac:dyDescent="0.35">
      <c r="N8695" s="676"/>
    </row>
    <row r="8696" spans="14:14" x14ac:dyDescent="0.35">
      <c r="N8696" s="676"/>
    </row>
    <row r="8697" spans="14:14" x14ac:dyDescent="0.35">
      <c r="N8697" s="676"/>
    </row>
    <row r="8698" spans="14:14" x14ac:dyDescent="0.35">
      <c r="N8698" s="676"/>
    </row>
    <row r="8699" spans="14:14" x14ac:dyDescent="0.35">
      <c r="N8699" s="676"/>
    </row>
    <row r="8700" spans="14:14" x14ac:dyDescent="0.35">
      <c r="N8700" s="676"/>
    </row>
    <row r="8701" spans="14:14" x14ac:dyDescent="0.35">
      <c r="N8701" s="676"/>
    </row>
    <row r="8702" spans="14:14" x14ac:dyDescent="0.35">
      <c r="N8702" s="676"/>
    </row>
    <row r="8703" spans="14:14" x14ac:dyDescent="0.35">
      <c r="N8703" s="676"/>
    </row>
    <row r="8704" spans="14:14" x14ac:dyDescent="0.35">
      <c r="N8704" s="676"/>
    </row>
    <row r="8705" spans="14:14" x14ac:dyDescent="0.35">
      <c r="N8705" s="676"/>
    </row>
    <row r="8706" spans="14:14" x14ac:dyDescent="0.35">
      <c r="N8706" s="676"/>
    </row>
    <row r="8707" spans="14:14" x14ac:dyDescent="0.35">
      <c r="N8707" s="676"/>
    </row>
    <row r="8708" spans="14:14" x14ac:dyDescent="0.35">
      <c r="N8708" s="676"/>
    </row>
    <row r="8709" spans="14:14" x14ac:dyDescent="0.35">
      <c r="N8709" s="676"/>
    </row>
    <row r="8710" spans="14:14" x14ac:dyDescent="0.35">
      <c r="N8710" s="676"/>
    </row>
    <row r="8711" spans="14:14" x14ac:dyDescent="0.35">
      <c r="N8711" s="676"/>
    </row>
    <row r="8712" spans="14:14" x14ac:dyDescent="0.35">
      <c r="N8712" s="676"/>
    </row>
    <row r="8713" spans="14:14" x14ac:dyDescent="0.35">
      <c r="N8713" s="676"/>
    </row>
    <row r="8714" spans="14:14" x14ac:dyDescent="0.35">
      <c r="N8714" s="676"/>
    </row>
    <row r="8715" spans="14:14" x14ac:dyDescent="0.35">
      <c r="N8715" s="676"/>
    </row>
    <row r="8716" spans="14:14" x14ac:dyDescent="0.35">
      <c r="N8716" s="676"/>
    </row>
    <row r="8717" spans="14:14" x14ac:dyDescent="0.35">
      <c r="N8717" s="676"/>
    </row>
    <row r="8718" spans="14:14" x14ac:dyDescent="0.35">
      <c r="N8718" s="676"/>
    </row>
    <row r="8719" spans="14:14" x14ac:dyDescent="0.35">
      <c r="N8719" s="676"/>
    </row>
    <row r="8720" spans="14:14" x14ac:dyDescent="0.35">
      <c r="N8720" s="676"/>
    </row>
    <row r="8721" spans="14:14" x14ac:dyDescent="0.35">
      <c r="N8721" s="676"/>
    </row>
    <row r="8722" spans="14:14" x14ac:dyDescent="0.35">
      <c r="N8722" s="676"/>
    </row>
    <row r="8723" spans="14:14" x14ac:dyDescent="0.35">
      <c r="N8723" s="676"/>
    </row>
    <row r="8724" spans="14:14" x14ac:dyDescent="0.35">
      <c r="N8724" s="676"/>
    </row>
    <row r="8725" spans="14:14" x14ac:dyDescent="0.35">
      <c r="N8725" s="676"/>
    </row>
    <row r="8726" spans="14:14" x14ac:dyDescent="0.35">
      <c r="N8726" s="676"/>
    </row>
    <row r="8727" spans="14:14" x14ac:dyDescent="0.35">
      <c r="N8727" s="676"/>
    </row>
    <row r="8728" spans="14:14" x14ac:dyDescent="0.35">
      <c r="N8728" s="676"/>
    </row>
    <row r="8729" spans="14:14" x14ac:dyDescent="0.35">
      <c r="N8729" s="676"/>
    </row>
    <row r="8730" spans="14:14" x14ac:dyDescent="0.35">
      <c r="N8730" s="676"/>
    </row>
    <row r="8731" spans="14:14" x14ac:dyDescent="0.35">
      <c r="N8731" s="676"/>
    </row>
    <row r="8732" spans="14:14" x14ac:dyDescent="0.35">
      <c r="N8732" s="676"/>
    </row>
    <row r="8733" spans="14:14" x14ac:dyDescent="0.35">
      <c r="N8733" s="676"/>
    </row>
    <row r="8734" spans="14:14" x14ac:dyDescent="0.35">
      <c r="N8734" s="676"/>
    </row>
    <row r="8735" spans="14:14" x14ac:dyDescent="0.35">
      <c r="N8735" s="676"/>
    </row>
    <row r="8736" spans="14:14" x14ac:dyDescent="0.35">
      <c r="N8736" s="676"/>
    </row>
    <row r="8737" spans="14:14" x14ac:dyDescent="0.35">
      <c r="N8737" s="676"/>
    </row>
    <row r="8738" spans="14:14" x14ac:dyDescent="0.35">
      <c r="N8738" s="676"/>
    </row>
    <row r="8739" spans="14:14" x14ac:dyDescent="0.35">
      <c r="N8739" s="676"/>
    </row>
    <row r="8740" spans="14:14" x14ac:dyDescent="0.35">
      <c r="N8740" s="676"/>
    </row>
    <row r="8741" spans="14:14" x14ac:dyDescent="0.35">
      <c r="N8741" s="676"/>
    </row>
    <row r="8742" spans="14:14" x14ac:dyDescent="0.35">
      <c r="N8742" s="676"/>
    </row>
    <row r="8743" spans="14:14" x14ac:dyDescent="0.35">
      <c r="N8743" s="676"/>
    </row>
    <row r="8744" spans="14:14" x14ac:dyDescent="0.35">
      <c r="N8744" s="676"/>
    </row>
    <row r="8745" spans="14:14" x14ac:dyDescent="0.35">
      <c r="N8745" s="676"/>
    </row>
    <row r="8746" spans="14:14" x14ac:dyDescent="0.35">
      <c r="N8746" s="676"/>
    </row>
    <row r="8747" spans="14:14" x14ac:dyDescent="0.35">
      <c r="N8747" s="676"/>
    </row>
    <row r="8748" spans="14:14" x14ac:dyDescent="0.35">
      <c r="N8748" s="676"/>
    </row>
    <row r="8749" spans="14:14" x14ac:dyDescent="0.35">
      <c r="N8749" s="676"/>
    </row>
    <row r="8750" spans="14:14" x14ac:dyDescent="0.35">
      <c r="N8750" s="676"/>
    </row>
    <row r="8751" spans="14:14" x14ac:dyDescent="0.35">
      <c r="N8751" s="676"/>
    </row>
    <row r="8752" spans="14:14" x14ac:dyDescent="0.35">
      <c r="N8752" s="676"/>
    </row>
    <row r="8753" spans="14:14" x14ac:dyDescent="0.35">
      <c r="N8753" s="676"/>
    </row>
    <row r="8754" spans="14:14" x14ac:dyDescent="0.35">
      <c r="N8754" s="676"/>
    </row>
    <row r="8755" spans="14:14" x14ac:dyDescent="0.35">
      <c r="N8755" s="676"/>
    </row>
    <row r="8756" spans="14:14" x14ac:dyDescent="0.35">
      <c r="N8756" s="676"/>
    </row>
    <row r="8757" spans="14:14" x14ac:dyDescent="0.35">
      <c r="N8757" s="676"/>
    </row>
    <row r="8758" spans="14:14" x14ac:dyDescent="0.35">
      <c r="N8758" s="676"/>
    </row>
    <row r="8759" spans="14:14" x14ac:dyDescent="0.35">
      <c r="N8759" s="676"/>
    </row>
    <row r="8760" spans="14:14" x14ac:dyDescent="0.35">
      <c r="N8760" s="676"/>
    </row>
    <row r="8761" spans="14:14" x14ac:dyDescent="0.35">
      <c r="N8761" s="676"/>
    </row>
    <row r="8762" spans="14:14" x14ac:dyDescent="0.35">
      <c r="N8762" s="676"/>
    </row>
    <row r="8763" spans="14:14" x14ac:dyDescent="0.35">
      <c r="N8763" s="676"/>
    </row>
    <row r="8764" spans="14:14" x14ac:dyDescent="0.35">
      <c r="N8764" s="676"/>
    </row>
    <row r="8765" spans="14:14" x14ac:dyDescent="0.35">
      <c r="N8765" s="676"/>
    </row>
    <row r="8766" spans="14:14" x14ac:dyDescent="0.35">
      <c r="N8766" s="676"/>
    </row>
    <row r="8767" spans="14:14" x14ac:dyDescent="0.35">
      <c r="N8767" s="676"/>
    </row>
    <row r="8768" spans="14:14" x14ac:dyDescent="0.35">
      <c r="N8768" s="676"/>
    </row>
    <row r="8769" spans="14:14" x14ac:dyDescent="0.35">
      <c r="N8769" s="676"/>
    </row>
    <row r="8770" spans="14:14" x14ac:dyDescent="0.35">
      <c r="N8770" s="676"/>
    </row>
    <row r="8771" spans="14:14" x14ac:dyDescent="0.35">
      <c r="N8771" s="676"/>
    </row>
    <row r="8772" spans="14:14" x14ac:dyDescent="0.35">
      <c r="N8772" s="676"/>
    </row>
    <row r="8773" spans="14:14" x14ac:dyDescent="0.35">
      <c r="N8773" s="676"/>
    </row>
    <row r="8774" spans="14:14" x14ac:dyDescent="0.35">
      <c r="N8774" s="676"/>
    </row>
    <row r="8775" spans="14:14" x14ac:dyDescent="0.35">
      <c r="N8775" s="676"/>
    </row>
    <row r="8776" spans="14:14" x14ac:dyDescent="0.35">
      <c r="N8776" s="676"/>
    </row>
    <row r="8777" spans="14:14" x14ac:dyDescent="0.35">
      <c r="N8777" s="676"/>
    </row>
    <row r="8778" spans="14:14" x14ac:dyDescent="0.35">
      <c r="N8778" s="676"/>
    </row>
    <row r="8779" spans="14:14" x14ac:dyDescent="0.35">
      <c r="N8779" s="676"/>
    </row>
    <row r="8780" spans="14:14" x14ac:dyDescent="0.35">
      <c r="N8780" s="676"/>
    </row>
    <row r="8781" spans="14:14" x14ac:dyDescent="0.35">
      <c r="N8781" s="676"/>
    </row>
    <row r="8782" spans="14:14" x14ac:dyDescent="0.35">
      <c r="N8782" s="676"/>
    </row>
    <row r="8783" spans="14:14" x14ac:dyDescent="0.35">
      <c r="N8783" s="676"/>
    </row>
    <row r="8784" spans="14:14" x14ac:dyDescent="0.35">
      <c r="N8784" s="676"/>
    </row>
    <row r="8785" spans="14:14" x14ac:dyDescent="0.35">
      <c r="N8785" s="676"/>
    </row>
    <row r="8786" spans="14:14" x14ac:dyDescent="0.35">
      <c r="N8786" s="676"/>
    </row>
    <row r="8787" spans="14:14" x14ac:dyDescent="0.35">
      <c r="N8787" s="676"/>
    </row>
    <row r="8788" spans="14:14" x14ac:dyDescent="0.35">
      <c r="N8788" s="676"/>
    </row>
    <row r="8789" spans="14:14" x14ac:dyDescent="0.35">
      <c r="N8789" s="676"/>
    </row>
    <row r="8790" spans="14:14" x14ac:dyDescent="0.35">
      <c r="N8790" s="676"/>
    </row>
    <row r="8791" spans="14:14" x14ac:dyDescent="0.35">
      <c r="N8791" s="676"/>
    </row>
    <row r="8792" spans="14:14" x14ac:dyDescent="0.35">
      <c r="N8792" s="676"/>
    </row>
    <row r="8793" spans="14:14" x14ac:dyDescent="0.35">
      <c r="N8793" s="676"/>
    </row>
    <row r="8794" spans="14:14" x14ac:dyDescent="0.35">
      <c r="N8794" s="676"/>
    </row>
    <row r="8795" spans="14:14" x14ac:dyDescent="0.35">
      <c r="N8795" s="676"/>
    </row>
    <row r="8796" spans="14:14" x14ac:dyDescent="0.35">
      <c r="N8796" s="676"/>
    </row>
    <row r="8797" spans="14:14" x14ac:dyDescent="0.35">
      <c r="N8797" s="676"/>
    </row>
    <row r="8798" spans="14:14" x14ac:dyDescent="0.35">
      <c r="N8798" s="676"/>
    </row>
    <row r="8799" spans="14:14" x14ac:dyDescent="0.35">
      <c r="N8799" s="676"/>
    </row>
    <row r="8800" spans="14:14" x14ac:dyDescent="0.35">
      <c r="N8800" s="676"/>
    </row>
    <row r="8801" spans="14:14" x14ac:dyDescent="0.35">
      <c r="N8801" s="676"/>
    </row>
    <row r="8802" spans="14:14" x14ac:dyDescent="0.35">
      <c r="N8802" s="676"/>
    </row>
    <row r="8803" spans="14:14" x14ac:dyDescent="0.35">
      <c r="N8803" s="676"/>
    </row>
    <row r="8804" spans="14:14" x14ac:dyDescent="0.35">
      <c r="N8804" s="676"/>
    </row>
    <row r="8805" spans="14:14" x14ac:dyDescent="0.35">
      <c r="N8805" s="676"/>
    </row>
    <row r="8806" spans="14:14" x14ac:dyDescent="0.35">
      <c r="N8806" s="676"/>
    </row>
    <row r="8807" spans="14:14" x14ac:dyDescent="0.35">
      <c r="N8807" s="676"/>
    </row>
    <row r="8808" spans="14:14" x14ac:dyDescent="0.35">
      <c r="N8808" s="676"/>
    </row>
    <row r="8809" spans="14:14" x14ac:dyDescent="0.35">
      <c r="N8809" s="676"/>
    </row>
    <row r="8810" spans="14:14" x14ac:dyDescent="0.35">
      <c r="N8810" s="676"/>
    </row>
    <row r="8811" spans="14:14" x14ac:dyDescent="0.35">
      <c r="N8811" s="676"/>
    </row>
    <row r="8812" spans="14:14" x14ac:dyDescent="0.35">
      <c r="N8812" s="676"/>
    </row>
    <row r="8813" spans="14:14" x14ac:dyDescent="0.35">
      <c r="N8813" s="676"/>
    </row>
    <row r="8814" spans="14:14" x14ac:dyDescent="0.35">
      <c r="N8814" s="676"/>
    </row>
    <row r="8815" spans="14:14" x14ac:dyDescent="0.35">
      <c r="N8815" s="676"/>
    </row>
    <row r="8816" spans="14:14" x14ac:dyDescent="0.35">
      <c r="N8816" s="676"/>
    </row>
    <row r="8817" spans="14:14" x14ac:dyDescent="0.35">
      <c r="N8817" s="676"/>
    </row>
    <row r="8818" spans="14:14" x14ac:dyDescent="0.35">
      <c r="N8818" s="676"/>
    </row>
    <row r="8819" spans="14:14" x14ac:dyDescent="0.35">
      <c r="N8819" s="676"/>
    </row>
    <row r="8820" spans="14:14" x14ac:dyDescent="0.35">
      <c r="N8820" s="676"/>
    </row>
    <row r="8821" spans="14:14" x14ac:dyDescent="0.35">
      <c r="N8821" s="676"/>
    </row>
    <row r="8822" spans="14:14" x14ac:dyDescent="0.35">
      <c r="N8822" s="676"/>
    </row>
    <row r="8823" spans="14:14" x14ac:dyDescent="0.35">
      <c r="N8823" s="676"/>
    </row>
    <row r="8824" spans="14:14" x14ac:dyDescent="0.35">
      <c r="N8824" s="676"/>
    </row>
    <row r="8825" spans="14:14" x14ac:dyDescent="0.35">
      <c r="N8825" s="676"/>
    </row>
    <row r="8826" spans="14:14" x14ac:dyDescent="0.35">
      <c r="N8826" s="676"/>
    </row>
    <row r="8827" spans="14:14" x14ac:dyDescent="0.35">
      <c r="N8827" s="676"/>
    </row>
    <row r="8828" spans="14:14" x14ac:dyDescent="0.35">
      <c r="N8828" s="676"/>
    </row>
    <row r="8829" spans="14:14" x14ac:dyDescent="0.35">
      <c r="N8829" s="676"/>
    </row>
    <row r="8830" spans="14:14" x14ac:dyDescent="0.35">
      <c r="N8830" s="676"/>
    </row>
    <row r="8831" spans="14:14" x14ac:dyDescent="0.35">
      <c r="N8831" s="676"/>
    </row>
    <row r="8832" spans="14:14" x14ac:dyDescent="0.35">
      <c r="N8832" s="676"/>
    </row>
    <row r="8833" spans="14:14" x14ac:dyDescent="0.35">
      <c r="N8833" s="676"/>
    </row>
    <row r="8834" spans="14:14" x14ac:dyDescent="0.35">
      <c r="N8834" s="676"/>
    </row>
    <row r="8835" spans="14:14" x14ac:dyDescent="0.35">
      <c r="N8835" s="676"/>
    </row>
    <row r="8836" spans="14:14" x14ac:dyDescent="0.35">
      <c r="N8836" s="676"/>
    </row>
    <row r="8837" spans="14:14" x14ac:dyDescent="0.35">
      <c r="N8837" s="676"/>
    </row>
    <row r="8838" spans="14:14" x14ac:dyDescent="0.35">
      <c r="N8838" s="676"/>
    </row>
    <row r="8839" spans="14:14" x14ac:dyDescent="0.35">
      <c r="N8839" s="676"/>
    </row>
    <row r="8840" spans="14:14" x14ac:dyDescent="0.35">
      <c r="N8840" s="676"/>
    </row>
    <row r="8841" spans="14:14" x14ac:dyDescent="0.35">
      <c r="N8841" s="676"/>
    </row>
    <row r="8842" spans="14:14" x14ac:dyDescent="0.35">
      <c r="N8842" s="676"/>
    </row>
    <row r="8843" spans="14:14" x14ac:dyDescent="0.35">
      <c r="N8843" s="676"/>
    </row>
    <row r="8844" spans="14:14" x14ac:dyDescent="0.35">
      <c r="N8844" s="676"/>
    </row>
    <row r="8845" spans="14:14" x14ac:dyDescent="0.35">
      <c r="N8845" s="676"/>
    </row>
    <row r="8846" spans="14:14" x14ac:dyDescent="0.35">
      <c r="N8846" s="676"/>
    </row>
    <row r="8847" spans="14:14" x14ac:dyDescent="0.35">
      <c r="N8847" s="676"/>
    </row>
    <row r="8848" spans="14:14" x14ac:dyDescent="0.35">
      <c r="N8848" s="676"/>
    </row>
    <row r="8849" spans="14:14" x14ac:dyDescent="0.35">
      <c r="N8849" s="676"/>
    </row>
    <row r="8850" spans="14:14" x14ac:dyDescent="0.35">
      <c r="N8850" s="676"/>
    </row>
    <row r="8851" spans="14:14" x14ac:dyDescent="0.35">
      <c r="N8851" s="676"/>
    </row>
    <row r="8852" spans="14:14" x14ac:dyDescent="0.35">
      <c r="N8852" s="676"/>
    </row>
    <row r="8853" spans="14:14" x14ac:dyDescent="0.35">
      <c r="N8853" s="676"/>
    </row>
    <row r="8854" spans="14:14" x14ac:dyDescent="0.35">
      <c r="N8854" s="676"/>
    </row>
    <row r="8855" spans="14:14" x14ac:dyDescent="0.35">
      <c r="N8855" s="676"/>
    </row>
    <row r="8856" spans="14:14" x14ac:dyDescent="0.35">
      <c r="N8856" s="676"/>
    </row>
    <row r="8857" spans="14:14" x14ac:dyDescent="0.35">
      <c r="N8857" s="676"/>
    </row>
    <row r="8858" spans="14:14" x14ac:dyDescent="0.35">
      <c r="N8858" s="676"/>
    </row>
    <row r="8859" spans="14:14" x14ac:dyDescent="0.35">
      <c r="N8859" s="676"/>
    </row>
    <row r="8860" spans="14:14" x14ac:dyDescent="0.35">
      <c r="N8860" s="676"/>
    </row>
    <row r="8861" spans="14:14" x14ac:dyDescent="0.35">
      <c r="N8861" s="676"/>
    </row>
    <row r="8862" spans="14:14" x14ac:dyDescent="0.35">
      <c r="N8862" s="676"/>
    </row>
    <row r="8863" spans="14:14" x14ac:dyDescent="0.35">
      <c r="N8863" s="676"/>
    </row>
    <row r="8864" spans="14:14" x14ac:dyDescent="0.35">
      <c r="N8864" s="676"/>
    </row>
    <row r="8865" spans="14:14" x14ac:dyDescent="0.35">
      <c r="N8865" s="676"/>
    </row>
    <row r="8866" spans="14:14" x14ac:dyDescent="0.35">
      <c r="N8866" s="676"/>
    </row>
    <row r="8867" spans="14:14" x14ac:dyDescent="0.35">
      <c r="N8867" s="676"/>
    </row>
    <row r="8868" spans="14:14" x14ac:dyDescent="0.35">
      <c r="N8868" s="676"/>
    </row>
    <row r="8869" spans="14:14" x14ac:dyDescent="0.35">
      <c r="N8869" s="676"/>
    </row>
    <row r="8870" spans="14:14" x14ac:dyDescent="0.35">
      <c r="N8870" s="676"/>
    </row>
    <row r="8871" spans="14:14" x14ac:dyDescent="0.35">
      <c r="N8871" s="676"/>
    </row>
    <row r="8872" spans="14:14" x14ac:dyDescent="0.35">
      <c r="N8872" s="676"/>
    </row>
    <row r="8873" spans="14:14" x14ac:dyDescent="0.35">
      <c r="N8873" s="676"/>
    </row>
    <row r="8874" spans="14:14" x14ac:dyDescent="0.35">
      <c r="N8874" s="676"/>
    </row>
    <row r="8875" spans="14:14" x14ac:dyDescent="0.35">
      <c r="N8875" s="676"/>
    </row>
    <row r="8876" spans="14:14" x14ac:dyDescent="0.35">
      <c r="N8876" s="676"/>
    </row>
    <row r="8877" spans="14:14" x14ac:dyDescent="0.35">
      <c r="N8877" s="676"/>
    </row>
    <row r="8878" spans="14:14" x14ac:dyDescent="0.35">
      <c r="N8878" s="676"/>
    </row>
    <row r="8879" spans="14:14" x14ac:dyDescent="0.35">
      <c r="N8879" s="676"/>
    </row>
    <row r="8880" spans="14:14" x14ac:dyDescent="0.35">
      <c r="N8880" s="676"/>
    </row>
    <row r="8881" spans="14:14" x14ac:dyDescent="0.35">
      <c r="N8881" s="676"/>
    </row>
    <row r="8882" spans="14:14" x14ac:dyDescent="0.35">
      <c r="N8882" s="676"/>
    </row>
    <row r="8883" spans="14:14" x14ac:dyDescent="0.35">
      <c r="N8883" s="676"/>
    </row>
    <row r="8884" spans="14:14" x14ac:dyDescent="0.35">
      <c r="N8884" s="676"/>
    </row>
    <row r="8885" spans="14:14" x14ac:dyDescent="0.35">
      <c r="N8885" s="676"/>
    </row>
    <row r="8886" spans="14:14" x14ac:dyDescent="0.35">
      <c r="N8886" s="676"/>
    </row>
    <row r="8887" spans="14:14" x14ac:dyDescent="0.35">
      <c r="N8887" s="676"/>
    </row>
    <row r="8888" spans="14:14" x14ac:dyDescent="0.35">
      <c r="N8888" s="676"/>
    </row>
    <row r="8889" spans="14:14" x14ac:dyDescent="0.35">
      <c r="N8889" s="676"/>
    </row>
    <row r="8890" spans="14:14" x14ac:dyDescent="0.35">
      <c r="N8890" s="676"/>
    </row>
    <row r="8891" spans="14:14" x14ac:dyDescent="0.35">
      <c r="N8891" s="676"/>
    </row>
    <row r="8892" spans="14:14" x14ac:dyDescent="0.35">
      <c r="N8892" s="676"/>
    </row>
    <row r="8893" spans="14:14" x14ac:dyDescent="0.35">
      <c r="N8893" s="676"/>
    </row>
    <row r="8894" spans="14:14" x14ac:dyDescent="0.35">
      <c r="N8894" s="676"/>
    </row>
    <row r="8895" spans="14:14" x14ac:dyDescent="0.35">
      <c r="N8895" s="676"/>
    </row>
    <row r="8896" spans="14:14" x14ac:dyDescent="0.35">
      <c r="N8896" s="676"/>
    </row>
    <row r="8897" spans="14:14" x14ac:dyDescent="0.35">
      <c r="N8897" s="676"/>
    </row>
    <row r="8898" spans="14:14" x14ac:dyDescent="0.35">
      <c r="N8898" s="676"/>
    </row>
    <row r="8899" spans="14:14" x14ac:dyDescent="0.35">
      <c r="N8899" s="676"/>
    </row>
    <row r="8900" spans="14:14" x14ac:dyDescent="0.35">
      <c r="N8900" s="676"/>
    </row>
    <row r="8901" spans="14:14" x14ac:dyDescent="0.35">
      <c r="N8901" s="676"/>
    </row>
    <row r="8902" spans="14:14" x14ac:dyDescent="0.35">
      <c r="N8902" s="676"/>
    </row>
    <row r="8903" spans="14:14" x14ac:dyDescent="0.35">
      <c r="N8903" s="676"/>
    </row>
    <row r="8904" spans="14:14" x14ac:dyDescent="0.35">
      <c r="N8904" s="676"/>
    </row>
    <row r="8905" spans="14:14" x14ac:dyDescent="0.35">
      <c r="N8905" s="676"/>
    </row>
    <row r="8906" spans="14:14" x14ac:dyDescent="0.35">
      <c r="N8906" s="676"/>
    </row>
    <row r="8907" spans="14:14" x14ac:dyDescent="0.35">
      <c r="N8907" s="676"/>
    </row>
    <row r="8908" spans="14:14" x14ac:dyDescent="0.35">
      <c r="N8908" s="676"/>
    </row>
    <row r="8909" spans="14:14" x14ac:dyDescent="0.35">
      <c r="N8909" s="676"/>
    </row>
    <row r="8910" spans="14:14" x14ac:dyDescent="0.35">
      <c r="N8910" s="676"/>
    </row>
    <row r="8911" spans="14:14" x14ac:dyDescent="0.35">
      <c r="N8911" s="676"/>
    </row>
    <row r="8912" spans="14:14" x14ac:dyDescent="0.35">
      <c r="N8912" s="676"/>
    </row>
    <row r="8913" spans="14:14" x14ac:dyDescent="0.35">
      <c r="N8913" s="676"/>
    </row>
    <row r="8914" spans="14:14" x14ac:dyDescent="0.35">
      <c r="N8914" s="676"/>
    </row>
    <row r="8915" spans="14:14" x14ac:dyDescent="0.35">
      <c r="N8915" s="676"/>
    </row>
    <row r="8916" spans="14:14" x14ac:dyDescent="0.35">
      <c r="N8916" s="676"/>
    </row>
    <row r="8917" spans="14:14" x14ac:dyDescent="0.35">
      <c r="N8917" s="676"/>
    </row>
    <row r="8918" spans="14:14" x14ac:dyDescent="0.35">
      <c r="N8918" s="676"/>
    </row>
    <row r="8919" spans="14:14" x14ac:dyDescent="0.35">
      <c r="N8919" s="676"/>
    </row>
    <row r="8920" spans="14:14" x14ac:dyDescent="0.35">
      <c r="N8920" s="676"/>
    </row>
    <row r="8921" spans="14:14" x14ac:dyDescent="0.35">
      <c r="N8921" s="676"/>
    </row>
    <row r="8922" spans="14:14" x14ac:dyDescent="0.35">
      <c r="N8922" s="676"/>
    </row>
    <row r="8923" spans="14:14" x14ac:dyDescent="0.35">
      <c r="N8923" s="676"/>
    </row>
    <row r="8924" spans="14:14" x14ac:dyDescent="0.35">
      <c r="N8924" s="676"/>
    </row>
    <row r="8925" spans="14:14" x14ac:dyDescent="0.35">
      <c r="N8925" s="676"/>
    </row>
    <row r="8926" spans="14:14" x14ac:dyDescent="0.35">
      <c r="N8926" s="676"/>
    </row>
    <row r="8927" spans="14:14" x14ac:dyDescent="0.35">
      <c r="N8927" s="676"/>
    </row>
    <row r="8928" spans="14:14" x14ac:dyDescent="0.35">
      <c r="N8928" s="676"/>
    </row>
    <row r="8929" spans="14:14" x14ac:dyDescent="0.35">
      <c r="N8929" s="676"/>
    </row>
    <row r="8930" spans="14:14" x14ac:dyDescent="0.35">
      <c r="N8930" s="676"/>
    </row>
    <row r="8931" spans="14:14" x14ac:dyDescent="0.35">
      <c r="N8931" s="676"/>
    </row>
    <row r="8932" spans="14:14" x14ac:dyDescent="0.35">
      <c r="N8932" s="676"/>
    </row>
    <row r="8933" spans="14:14" x14ac:dyDescent="0.35">
      <c r="N8933" s="676"/>
    </row>
    <row r="8934" spans="14:14" x14ac:dyDescent="0.35">
      <c r="N8934" s="676"/>
    </row>
    <row r="8935" spans="14:14" x14ac:dyDescent="0.35">
      <c r="N8935" s="676"/>
    </row>
    <row r="8936" spans="14:14" x14ac:dyDescent="0.35">
      <c r="N8936" s="676"/>
    </row>
    <row r="8937" spans="14:14" x14ac:dyDescent="0.35">
      <c r="N8937" s="676"/>
    </row>
    <row r="8938" spans="14:14" x14ac:dyDescent="0.35">
      <c r="N8938" s="676"/>
    </row>
    <row r="8939" spans="14:14" x14ac:dyDescent="0.35">
      <c r="N8939" s="676"/>
    </row>
    <row r="8940" spans="14:14" x14ac:dyDescent="0.35">
      <c r="N8940" s="676"/>
    </row>
    <row r="8941" spans="14:14" x14ac:dyDescent="0.35">
      <c r="N8941" s="676"/>
    </row>
    <row r="8942" spans="14:14" x14ac:dyDescent="0.35">
      <c r="N8942" s="676"/>
    </row>
    <row r="8943" spans="14:14" x14ac:dyDescent="0.35">
      <c r="N8943" s="676"/>
    </row>
    <row r="8944" spans="14:14" x14ac:dyDescent="0.35">
      <c r="N8944" s="676"/>
    </row>
    <row r="8945" spans="14:14" x14ac:dyDescent="0.35">
      <c r="N8945" s="676"/>
    </row>
    <row r="8946" spans="14:14" x14ac:dyDescent="0.35">
      <c r="N8946" s="676"/>
    </row>
    <row r="8947" spans="14:14" x14ac:dyDescent="0.35">
      <c r="N8947" s="676"/>
    </row>
    <row r="8948" spans="14:14" x14ac:dyDescent="0.35">
      <c r="N8948" s="676"/>
    </row>
    <row r="8949" spans="14:14" x14ac:dyDescent="0.35">
      <c r="N8949" s="676"/>
    </row>
    <row r="8950" spans="14:14" x14ac:dyDescent="0.35">
      <c r="N8950" s="676"/>
    </row>
    <row r="8951" spans="14:14" x14ac:dyDescent="0.35">
      <c r="N8951" s="676"/>
    </row>
    <row r="8952" spans="14:14" x14ac:dyDescent="0.35">
      <c r="N8952" s="676"/>
    </row>
    <row r="8953" spans="14:14" x14ac:dyDescent="0.35">
      <c r="N8953" s="676"/>
    </row>
    <row r="8954" spans="14:14" x14ac:dyDescent="0.35">
      <c r="N8954" s="676"/>
    </row>
    <row r="8955" spans="14:14" x14ac:dyDescent="0.35">
      <c r="N8955" s="676"/>
    </row>
    <row r="8956" spans="14:14" x14ac:dyDescent="0.35">
      <c r="N8956" s="676"/>
    </row>
    <row r="8957" spans="14:14" x14ac:dyDescent="0.35">
      <c r="N8957" s="676"/>
    </row>
    <row r="8958" spans="14:14" x14ac:dyDescent="0.35">
      <c r="N8958" s="676"/>
    </row>
    <row r="8959" spans="14:14" x14ac:dyDescent="0.35">
      <c r="N8959" s="676"/>
    </row>
    <row r="8960" spans="14:14" x14ac:dyDescent="0.35">
      <c r="N8960" s="676"/>
    </row>
    <row r="8961" spans="14:14" x14ac:dyDescent="0.35">
      <c r="N8961" s="676"/>
    </row>
    <row r="8962" spans="14:14" x14ac:dyDescent="0.35">
      <c r="N8962" s="676"/>
    </row>
    <row r="8963" spans="14:14" x14ac:dyDescent="0.35">
      <c r="N8963" s="676"/>
    </row>
    <row r="8964" spans="14:14" x14ac:dyDescent="0.35">
      <c r="N8964" s="676"/>
    </row>
    <row r="8965" spans="14:14" x14ac:dyDescent="0.35">
      <c r="N8965" s="676"/>
    </row>
    <row r="8966" spans="14:14" x14ac:dyDescent="0.35">
      <c r="N8966" s="676"/>
    </row>
    <row r="8967" spans="14:14" x14ac:dyDescent="0.35">
      <c r="N8967" s="676"/>
    </row>
    <row r="8968" spans="14:14" x14ac:dyDescent="0.35">
      <c r="N8968" s="676"/>
    </row>
    <row r="8969" spans="14:14" x14ac:dyDescent="0.35">
      <c r="N8969" s="676"/>
    </row>
    <row r="8970" spans="14:14" x14ac:dyDescent="0.35">
      <c r="N8970" s="676"/>
    </row>
    <row r="8971" spans="14:14" x14ac:dyDescent="0.35">
      <c r="N8971" s="676"/>
    </row>
    <row r="8972" spans="14:14" x14ac:dyDescent="0.35">
      <c r="N8972" s="676"/>
    </row>
    <row r="8973" spans="14:14" x14ac:dyDescent="0.35">
      <c r="N8973" s="676"/>
    </row>
    <row r="8974" spans="14:14" x14ac:dyDescent="0.35">
      <c r="N8974" s="676"/>
    </row>
    <row r="8975" spans="14:14" x14ac:dyDescent="0.35">
      <c r="N8975" s="676"/>
    </row>
    <row r="8976" spans="14:14" x14ac:dyDescent="0.35">
      <c r="N8976" s="676"/>
    </row>
    <row r="8977" spans="14:14" x14ac:dyDescent="0.35">
      <c r="N8977" s="676"/>
    </row>
    <row r="8978" spans="14:14" x14ac:dyDescent="0.35">
      <c r="N8978" s="676"/>
    </row>
    <row r="8979" spans="14:14" x14ac:dyDescent="0.35">
      <c r="N8979" s="676"/>
    </row>
    <row r="8980" spans="14:14" x14ac:dyDescent="0.35">
      <c r="N8980" s="676"/>
    </row>
    <row r="8981" spans="14:14" x14ac:dyDescent="0.35">
      <c r="N8981" s="676"/>
    </row>
    <row r="8982" spans="14:14" x14ac:dyDescent="0.35">
      <c r="N8982" s="676"/>
    </row>
    <row r="8983" spans="14:14" x14ac:dyDescent="0.35">
      <c r="N8983" s="676"/>
    </row>
    <row r="8984" spans="14:14" x14ac:dyDescent="0.35">
      <c r="N8984" s="676"/>
    </row>
    <row r="8985" spans="14:14" x14ac:dyDescent="0.35">
      <c r="N8985" s="676"/>
    </row>
    <row r="8986" spans="14:14" x14ac:dyDescent="0.35">
      <c r="N8986" s="676"/>
    </row>
    <row r="8987" spans="14:14" x14ac:dyDescent="0.35">
      <c r="N8987" s="676"/>
    </row>
    <row r="8988" spans="14:14" x14ac:dyDescent="0.35">
      <c r="N8988" s="676"/>
    </row>
    <row r="8989" spans="14:14" x14ac:dyDescent="0.35">
      <c r="N8989" s="676"/>
    </row>
    <row r="8990" spans="14:14" x14ac:dyDescent="0.35">
      <c r="N8990" s="676"/>
    </row>
    <row r="8991" spans="14:14" x14ac:dyDescent="0.35">
      <c r="N8991" s="676"/>
    </row>
    <row r="8992" spans="14:14" x14ac:dyDescent="0.35">
      <c r="N8992" s="676"/>
    </row>
    <row r="8993" spans="14:14" x14ac:dyDescent="0.35">
      <c r="N8993" s="676"/>
    </row>
    <row r="8994" spans="14:14" x14ac:dyDescent="0.35">
      <c r="N8994" s="676"/>
    </row>
    <row r="8995" spans="14:14" x14ac:dyDescent="0.35">
      <c r="N8995" s="676"/>
    </row>
    <row r="8996" spans="14:14" x14ac:dyDescent="0.35">
      <c r="N8996" s="676"/>
    </row>
    <row r="8997" spans="14:14" x14ac:dyDescent="0.35">
      <c r="N8997" s="676"/>
    </row>
    <row r="8998" spans="14:14" x14ac:dyDescent="0.35">
      <c r="N8998" s="676"/>
    </row>
    <row r="8999" spans="14:14" x14ac:dyDescent="0.35">
      <c r="N8999" s="676"/>
    </row>
    <row r="9000" spans="14:14" x14ac:dyDescent="0.35">
      <c r="N9000" s="676"/>
    </row>
    <row r="9001" spans="14:14" x14ac:dyDescent="0.35">
      <c r="N9001" s="676"/>
    </row>
    <row r="9002" spans="14:14" x14ac:dyDescent="0.35">
      <c r="N9002" s="676"/>
    </row>
    <row r="9003" spans="14:14" x14ac:dyDescent="0.35">
      <c r="N9003" s="676"/>
    </row>
    <row r="9004" spans="14:14" x14ac:dyDescent="0.35">
      <c r="N9004" s="676"/>
    </row>
    <row r="9005" spans="14:14" x14ac:dyDescent="0.35">
      <c r="N9005" s="676"/>
    </row>
    <row r="9006" spans="14:14" x14ac:dyDescent="0.35">
      <c r="N9006" s="676"/>
    </row>
    <row r="9007" spans="14:14" x14ac:dyDescent="0.35">
      <c r="N9007" s="676"/>
    </row>
    <row r="9008" spans="14:14" x14ac:dyDescent="0.35">
      <c r="N9008" s="676"/>
    </row>
    <row r="9009" spans="14:14" x14ac:dyDescent="0.35">
      <c r="N9009" s="676"/>
    </row>
    <row r="9010" spans="14:14" x14ac:dyDescent="0.35">
      <c r="N9010" s="676"/>
    </row>
    <row r="9011" spans="14:14" x14ac:dyDescent="0.35">
      <c r="N9011" s="676"/>
    </row>
    <row r="9012" spans="14:14" x14ac:dyDescent="0.35">
      <c r="N9012" s="676"/>
    </row>
    <row r="9013" spans="14:14" x14ac:dyDescent="0.35">
      <c r="N9013" s="676"/>
    </row>
    <row r="9014" spans="14:14" x14ac:dyDescent="0.35">
      <c r="N9014" s="676"/>
    </row>
    <row r="9015" spans="14:14" x14ac:dyDescent="0.35">
      <c r="N9015" s="676"/>
    </row>
    <row r="9016" spans="14:14" x14ac:dyDescent="0.35">
      <c r="N9016" s="676"/>
    </row>
    <row r="9017" spans="14:14" x14ac:dyDescent="0.35">
      <c r="N9017" s="676"/>
    </row>
    <row r="9018" spans="14:14" x14ac:dyDescent="0.35">
      <c r="N9018" s="676"/>
    </row>
    <row r="9019" spans="14:14" x14ac:dyDescent="0.35">
      <c r="N9019" s="676"/>
    </row>
    <row r="9020" spans="14:14" x14ac:dyDescent="0.35">
      <c r="N9020" s="676"/>
    </row>
    <row r="9021" spans="14:14" x14ac:dyDescent="0.35">
      <c r="N9021" s="676"/>
    </row>
    <row r="9022" spans="14:14" x14ac:dyDescent="0.35">
      <c r="N9022" s="676"/>
    </row>
    <row r="9023" spans="14:14" x14ac:dyDescent="0.35">
      <c r="N9023" s="676"/>
    </row>
    <row r="9024" spans="14:14" x14ac:dyDescent="0.35">
      <c r="N9024" s="676"/>
    </row>
    <row r="9025" spans="14:14" x14ac:dyDescent="0.35">
      <c r="N9025" s="676"/>
    </row>
    <row r="9026" spans="14:14" x14ac:dyDescent="0.35">
      <c r="N9026" s="676"/>
    </row>
    <row r="9027" spans="14:14" x14ac:dyDescent="0.35">
      <c r="N9027" s="676"/>
    </row>
    <row r="9028" spans="14:14" x14ac:dyDescent="0.35">
      <c r="N9028" s="676"/>
    </row>
    <row r="9029" spans="14:14" x14ac:dyDescent="0.35">
      <c r="N9029" s="676"/>
    </row>
    <row r="9030" spans="14:14" x14ac:dyDescent="0.35">
      <c r="N9030" s="676"/>
    </row>
    <row r="9031" spans="14:14" x14ac:dyDescent="0.35">
      <c r="N9031" s="676"/>
    </row>
    <row r="9032" spans="14:14" x14ac:dyDescent="0.35">
      <c r="N9032" s="676"/>
    </row>
    <row r="9033" spans="14:14" x14ac:dyDescent="0.35">
      <c r="N9033" s="676"/>
    </row>
    <row r="9034" spans="14:14" x14ac:dyDescent="0.35">
      <c r="N9034" s="676"/>
    </row>
    <row r="9035" spans="14:14" x14ac:dyDescent="0.35">
      <c r="N9035" s="676"/>
    </row>
    <row r="9036" spans="14:14" x14ac:dyDescent="0.35">
      <c r="N9036" s="676"/>
    </row>
    <row r="9037" spans="14:14" x14ac:dyDescent="0.35">
      <c r="N9037" s="676"/>
    </row>
    <row r="9038" spans="14:14" x14ac:dyDescent="0.35">
      <c r="N9038" s="676"/>
    </row>
    <row r="9039" spans="14:14" x14ac:dyDescent="0.35">
      <c r="N9039" s="676"/>
    </row>
    <row r="9040" spans="14:14" x14ac:dyDescent="0.35">
      <c r="N9040" s="676"/>
    </row>
    <row r="9041" spans="14:14" x14ac:dyDescent="0.35">
      <c r="N9041" s="676"/>
    </row>
    <row r="9042" spans="14:14" x14ac:dyDescent="0.35">
      <c r="N9042" s="676"/>
    </row>
    <row r="9043" spans="14:14" x14ac:dyDescent="0.35">
      <c r="N9043" s="676"/>
    </row>
    <row r="9044" spans="14:14" x14ac:dyDescent="0.35">
      <c r="N9044" s="676"/>
    </row>
    <row r="9045" spans="14:14" x14ac:dyDescent="0.35">
      <c r="N9045" s="676"/>
    </row>
    <row r="9046" spans="14:14" x14ac:dyDescent="0.35">
      <c r="N9046" s="676"/>
    </row>
    <row r="9047" spans="14:14" x14ac:dyDescent="0.35">
      <c r="N9047" s="676"/>
    </row>
    <row r="9048" spans="14:14" x14ac:dyDescent="0.35">
      <c r="N9048" s="676"/>
    </row>
    <row r="9049" spans="14:14" x14ac:dyDescent="0.35">
      <c r="N9049" s="676"/>
    </row>
    <row r="9050" spans="14:14" x14ac:dyDescent="0.35">
      <c r="N9050" s="676"/>
    </row>
    <row r="9051" spans="14:14" x14ac:dyDescent="0.35">
      <c r="N9051" s="676"/>
    </row>
    <row r="9052" spans="14:14" x14ac:dyDescent="0.35">
      <c r="N9052" s="676"/>
    </row>
    <row r="9053" spans="14:14" x14ac:dyDescent="0.35">
      <c r="N9053" s="676"/>
    </row>
    <row r="9054" spans="14:14" x14ac:dyDescent="0.35">
      <c r="N9054" s="676"/>
    </row>
    <row r="9055" spans="14:14" x14ac:dyDescent="0.35">
      <c r="N9055" s="676"/>
    </row>
    <row r="9056" spans="14:14" x14ac:dyDescent="0.35">
      <c r="N9056" s="676"/>
    </row>
    <row r="9057" spans="14:14" x14ac:dyDescent="0.35">
      <c r="N9057" s="676"/>
    </row>
    <row r="9058" spans="14:14" x14ac:dyDescent="0.35">
      <c r="N9058" s="676"/>
    </row>
    <row r="9059" spans="14:14" x14ac:dyDescent="0.35">
      <c r="N9059" s="676"/>
    </row>
    <row r="9060" spans="14:14" x14ac:dyDescent="0.35">
      <c r="N9060" s="676"/>
    </row>
    <row r="9061" spans="14:14" x14ac:dyDescent="0.35">
      <c r="N9061" s="676"/>
    </row>
    <row r="9062" spans="14:14" x14ac:dyDescent="0.35">
      <c r="N9062" s="676"/>
    </row>
    <row r="9063" spans="14:14" x14ac:dyDescent="0.35">
      <c r="N9063" s="676"/>
    </row>
    <row r="9064" spans="14:14" x14ac:dyDescent="0.35">
      <c r="N9064" s="676"/>
    </row>
    <row r="9065" spans="14:14" x14ac:dyDescent="0.35">
      <c r="N9065" s="676"/>
    </row>
    <row r="9066" spans="14:14" x14ac:dyDescent="0.35">
      <c r="N9066" s="676"/>
    </row>
    <row r="9067" spans="14:14" x14ac:dyDescent="0.35">
      <c r="N9067" s="676"/>
    </row>
    <row r="9068" spans="14:14" x14ac:dyDescent="0.35">
      <c r="N9068" s="676"/>
    </row>
    <row r="9069" spans="14:14" x14ac:dyDescent="0.35">
      <c r="N9069" s="676"/>
    </row>
    <row r="9070" spans="14:14" x14ac:dyDescent="0.35">
      <c r="N9070" s="676"/>
    </row>
    <row r="9071" spans="14:14" x14ac:dyDescent="0.35">
      <c r="N9071" s="676"/>
    </row>
    <row r="9072" spans="14:14" x14ac:dyDescent="0.35">
      <c r="N9072" s="676"/>
    </row>
    <row r="9073" spans="14:14" x14ac:dyDescent="0.35">
      <c r="N9073" s="676"/>
    </row>
    <row r="9074" spans="14:14" x14ac:dyDescent="0.35">
      <c r="N9074" s="676"/>
    </row>
    <row r="9075" spans="14:14" x14ac:dyDescent="0.35">
      <c r="N9075" s="676"/>
    </row>
    <row r="9076" spans="14:14" x14ac:dyDescent="0.35">
      <c r="N9076" s="676"/>
    </row>
    <row r="9077" spans="14:14" x14ac:dyDescent="0.35">
      <c r="N9077" s="676"/>
    </row>
    <row r="9078" spans="14:14" x14ac:dyDescent="0.35">
      <c r="N9078" s="676"/>
    </row>
    <row r="9079" spans="14:14" x14ac:dyDescent="0.35">
      <c r="N9079" s="676"/>
    </row>
    <row r="9080" spans="14:14" x14ac:dyDescent="0.35">
      <c r="N9080" s="676"/>
    </row>
    <row r="9081" spans="14:14" x14ac:dyDescent="0.35">
      <c r="N9081" s="676"/>
    </row>
    <row r="9082" spans="14:14" x14ac:dyDescent="0.35">
      <c r="N9082" s="676"/>
    </row>
    <row r="9083" spans="14:14" x14ac:dyDescent="0.35">
      <c r="N9083" s="676"/>
    </row>
    <row r="9084" spans="14:14" x14ac:dyDescent="0.35">
      <c r="N9084" s="676"/>
    </row>
    <row r="9085" spans="14:14" x14ac:dyDescent="0.35">
      <c r="N9085" s="676"/>
    </row>
    <row r="9086" spans="14:14" x14ac:dyDescent="0.35">
      <c r="N9086" s="676"/>
    </row>
    <row r="9087" spans="14:14" x14ac:dyDescent="0.35">
      <c r="N9087" s="676"/>
    </row>
    <row r="9088" spans="14:14" x14ac:dyDescent="0.35">
      <c r="N9088" s="676"/>
    </row>
    <row r="9089" spans="14:14" x14ac:dyDescent="0.35">
      <c r="N9089" s="676"/>
    </row>
    <row r="9090" spans="14:14" x14ac:dyDescent="0.35">
      <c r="N9090" s="676"/>
    </row>
    <row r="9091" spans="14:14" x14ac:dyDescent="0.35">
      <c r="N9091" s="676"/>
    </row>
    <row r="9092" spans="14:14" x14ac:dyDescent="0.35">
      <c r="N9092" s="676"/>
    </row>
    <row r="9093" spans="14:14" x14ac:dyDescent="0.35">
      <c r="N9093" s="676"/>
    </row>
    <row r="9094" spans="14:14" x14ac:dyDescent="0.35">
      <c r="N9094" s="676"/>
    </row>
    <row r="9095" spans="14:14" x14ac:dyDescent="0.35">
      <c r="N9095" s="676"/>
    </row>
    <row r="9096" spans="14:14" x14ac:dyDescent="0.35">
      <c r="N9096" s="676"/>
    </row>
    <row r="9097" spans="14:14" x14ac:dyDescent="0.35">
      <c r="N9097" s="676"/>
    </row>
    <row r="9098" spans="14:14" x14ac:dyDescent="0.35">
      <c r="N9098" s="676"/>
    </row>
    <row r="9099" spans="14:14" x14ac:dyDescent="0.35">
      <c r="N9099" s="676"/>
    </row>
    <row r="9100" spans="14:14" x14ac:dyDescent="0.35">
      <c r="N9100" s="676"/>
    </row>
    <row r="9101" spans="14:14" x14ac:dyDescent="0.35">
      <c r="N9101" s="676"/>
    </row>
    <row r="9102" spans="14:14" x14ac:dyDescent="0.35">
      <c r="N9102" s="676"/>
    </row>
    <row r="9103" spans="14:14" x14ac:dyDescent="0.35">
      <c r="N9103" s="676"/>
    </row>
    <row r="9104" spans="14:14" x14ac:dyDescent="0.35">
      <c r="N9104" s="676"/>
    </row>
    <row r="9105" spans="14:14" x14ac:dyDescent="0.35">
      <c r="N9105" s="676"/>
    </row>
    <row r="9106" spans="14:14" x14ac:dyDescent="0.35">
      <c r="N9106" s="676"/>
    </row>
    <row r="9107" spans="14:14" x14ac:dyDescent="0.35">
      <c r="N9107" s="676"/>
    </row>
    <row r="9108" spans="14:14" x14ac:dyDescent="0.35">
      <c r="N9108" s="676"/>
    </row>
    <row r="9109" spans="14:14" x14ac:dyDescent="0.35">
      <c r="N9109" s="676"/>
    </row>
    <row r="9110" spans="14:14" x14ac:dyDescent="0.35">
      <c r="N9110" s="676"/>
    </row>
    <row r="9111" spans="14:14" x14ac:dyDescent="0.35">
      <c r="N9111" s="676"/>
    </row>
    <row r="9112" spans="14:14" x14ac:dyDescent="0.35">
      <c r="N9112" s="676"/>
    </row>
    <row r="9113" spans="14:14" x14ac:dyDescent="0.35">
      <c r="N9113" s="676"/>
    </row>
    <row r="9114" spans="14:14" x14ac:dyDescent="0.35">
      <c r="N9114" s="676"/>
    </row>
    <row r="9115" spans="14:14" x14ac:dyDescent="0.35">
      <c r="N9115" s="676"/>
    </row>
    <row r="9116" spans="14:14" x14ac:dyDescent="0.35">
      <c r="N9116" s="676"/>
    </row>
    <row r="9117" spans="14:14" x14ac:dyDescent="0.35">
      <c r="N9117" s="676"/>
    </row>
    <row r="9118" spans="14:14" x14ac:dyDescent="0.35">
      <c r="N9118" s="676"/>
    </row>
    <row r="9119" spans="14:14" x14ac:dyDescent="0.35">
      <c r="N9119" s="676"/>
    </row>
    <row r="9120" spans="14:14" x14ac:dyDescent="0.35">
      <c r="N9120" s="676"/>
    </row>
    <row r="9121" spans="14:14" x14ac:dyDescent="0.35">
      <c r="N9121" s="676"/>
    </row>
    <row r="9122" spans="14:14" x14ac:dyDescent="0.35">
      <c r="N9122" s="676"/>
    </row>
    <row r="9123" spans="14:14" x14ac:dyDescent="0.35">
      <c r="N9123" s="676"/>
    </row>
    <row r="9124" spans="14:14" x14ac:dyDescent="0.35">
      <c r="N9124" s="676"/>
    </row>
    <row r="9125" spans="14:14" x14ac:dyDescent="0.35">
      <c r="N9125" s="676"/>
    </row>
    <row r="9126" spans="14:14" x14ac:dyDescent="0.35">
      <c r="N9126" s="676"/>
    </row>
    <row r="9127" spans="14:14" x14ac:dyDescent="0.35">
      <c r="N9127" s="676"/>
    </row>
    <row r="9128" spans="14:14" x14ac:dyDescent="0.35">
      <c r="N9128" s="676"/>
    </row>
    <row r="9129" spans="14:14" x14ac:dyDescent="0.35">
      <c r="N9129" s="676"/>
    </row>
    <row r="9130" spans="14:14" x14ac:dyDescent="0.35">
      <c r="N9130" s="676"/>
    </row>
    <row r="9131" spans="14:14" x14ac:dyDescent="0.35">
      <c r="N9131" s="676"/>
    </row>
    <row r="9132" spans="14:14" x14ac:dyDescent="0.35">
      <c r="N9132" s="676"/>
    </row>
    <row r="9133" spans="14:14" x14ac:dyDescent="0.35">
      <c r="N9133" s="676"/>
    </row>
    <row r="9134" spans="14:14" x14ac:dyDescent="0.35">
      <c r="N9134" s="676"/>
    </row>
    <row r="9135" spans="14:14" x14ac:dyDescent="0.35">
      <c r="N9135" s="676"/>
    </row>
    <row r="9136" spans="14:14" x14ac:dyDescent="0.35">
      <c r="N9136" s="676"/>
    </row>
    <row r="9137" spans="14:14" x14ac:dyDescent="0.35">
      <c r="N9137" s="676"/>
    </row>
    <row r="9138" spans="14:14" x14ac:dyDescent="0.35">
      <c r="N9138" s="676"/>
    </row>
    <row r="9139" spans="14:14" x14ac:dyDescent="0.35">
      <c r="N9139" s="676"/>
    </row>
    <row r="9140" spans="14:14" x14ac:dyDescent="0.35">
      <c r="N9140" s="676"/>
    </row>
    <row r="9141" spans="14:14" x14ac:dyDescent="0.35">
      <c r="N9141" s="676"/>
    </row>
    <row r="9142" spans="14:14" x14ac:dyDescent="0.35">
      <c r="N9142" s="676"/>
    </row>
    <row r="9143" spans="14:14" x14ac:dyDescent="0.35">
      <c r="N9143" s="676"/>
    </row>
    <row r="9144" spans="14:14" x14ac:dyDescent="0.35">
      <c r="N9144" s="676"/>
    </row>
    <row r="9145" spans="14:14" x14ac:dyDescent="0.35">
      <c r="N9145" s="676"/>
    </row>
    <row r="9146" spans="14:14" x14ac:dyDescent="0.35">
      <c r="N9146" s="676"/>
    </row>
    <row r="9147" spans="14:14" x14ac:dyDescent="0.35">
      <c r="N9147" s="676"/>
    </row>
    <row r="9148" spans="14:14" x14ac:dyDescent="0.35">
      <c r="N9148" s="676"/>
    </row>
    <row r="9149" spans="14:14" x14ac:dyDescent="0.35">
      <c r="N9149" s="676"/>
    </row>
    <row r="9150" spans="14:14" x14ac:dyDescent="0.35">
      <c r="N9150" s="676"/>
    </row>
    <row r="9151" spans="14:14" x14ac:dyDescent="0.35">
      <c r="N9151" s="676"/>
    </row>
    <row r="9152" spans="14:14" x14ac:dyDescent="0.35">
      <c r="N9152" s="676"/>
    </row>
    <row r="9153" spans="14:14" x14ac:dyDescent="0.35">
      <c r="N9153" s="676"/>
    </row>
    <row r="9154" spans="14:14" x14ac:dyDescent="0.35">
      <c r="N9154" s="676"/>
    </row>
    <row r="9155" spans="14:14" x14ac:dyDescent="0.35">
      <c r="N9155" s="676"/>
    </row>
    <row r="9156" spans="14:14" x14ac:dyDescent="0.35">
      <c r="N9156" s="676"/>
    </row>
    <row r="9157" spans="14:14" x14ac:dyDescent="0.35">
      <c r="N9157" s="676"/>
    </row>
    <row r="9158" spans="14:14" x14ac:dyDescent="0.35">
      <c r="N9158" s="676"/>
    </row>
    <row r="9159" spans="14:14" x14ac:dyDescent="0.35">
      <c r="N9159" s="676"/>
    </row>
    <row r="9160" spans="14:14" x14ac:dyDescent="0.35">
      <c r="N9160" s="676"/>
    </row>
    <row r="9161" spans="14:14" x14ac:dyDescent="0.35">
      <c r="N9161" s="676"/>
    </row>
    <row r="9162" spans="14:14" x14ac:dyDescent="0.35">
      <c r="N9162" s="676"/>
    </row>
    <row r="9163" spans="14:14" x14ac:dyDescent="0.35">
      <c r="N9163" s="676"/>
    </row>
    <row r="9164" spans="14:14" x14ac:dyDescent="0.35">
      <c r="N9164" s="676"/>
    </row>
    <row r="9165" spans="14:14" x14ac:dyDescent="0.35">
      <c r="N9165" s="676"/>
    </row>
    <row r="9166" spans="14:14" x14ac:dyDescent="0.35">
      <c r="N9166" s="676"/>
    </row>
    <row r="9167" spans="14:14" x14ac:dyDescent="0.35">
      <c r="N9167" s="676"/>
    </row>
    <row r="9168" spans="14:14" x14ac:dyDescent="0.35">
      <c r="N9168" s="676"/>
    </row>
    <row r="9169" spans="14:14" x14ac:dyDescent="0.35">
      <c r="N9169" s="676"/>
    </row>
    <row r="9170" spans="14:14" x14ac:dyDescent="0.35">
      <c r="N9170" s="676"/>
    </row>
    <row r="9171" spans="14:14" x14ac:dyDescent="0.35">
      <c r="N9171" s="676"/>
    </row>
    <row r="9172" spans="14:14" x14ac:dyDescent="0.35">
      <c r="N9172" s="676"/>
    </row>
    <row r="9173" spans="14:14" x14ac:dyDescent="0.35">
      <c r="N9173" s="676"/>
    </row>
    <row r="9174" spans="14:14" x14ac:dyDescent="0.35">
      <c r="N9174" s="676"/>
    </row>
    <row r="9175" spans="14:14" x14ac:dyDescent="0.35">
      <c r="N9175" s="676"/>
    </row>
    <row r="9176" spans="14:14" x14ac:dyDescent="0.35">
      <c r="N9176" s="676"/>
    </row>
    <row r="9177" spans="14:14" x14ac:dyDescent="0.35">
      <c r="N9177" s="676"/>
    </row>
    <row r="9178" spans="14:14" x14ac:dyDescent="0.35">
      <c r="N9178" s="676"/>
    </row>
    <row r="9179" spans="14:14" x14ac:dyDescent="0.35">
      <c r="N9179" s="676"/>
    </row>
    <row r="9180" spans="14:14" x14ac:dyDescent="0.35">
      <c r="N9180" s="676"/>
    </row>
    <row r="9181" spans="14:14" x14ac:dyDescent="0.35">
      <c r="N9181" s="676"/>
    </row>
    <row r="9182" spans="14:14" x14ac:dyDescent="0.35">
      <c r="N9182" s="676"/>
    </row>
    <row r="9183" spans="14:14" x14ac:dyDescent="0.35">
      <c r="N9183" s="676"/>
    </row>
    <row r="9184" spans="14:14" x14ac:dyDescent="0.35">
      <c r="N9184" s="676"/>
    </row>
    <row r="9185" spans="14:14" x14ac:dyDescent="0.35">
      <c r="N9185" s="676"/>
    </row>
    <row r="9186" spans="14:14" x14ac:dyDescent="0.35">
      <c r="N9186" s="676"/>
    </row>
    <row r="9187" spans="14:14" x14ac:dyDescent="0.35">
      <c r="N9187" s="676"/>
    </row>
    <row r="9188" spans="14:14" x14ac:dyDescent="0.35">
      <c r="N9188" s="676"/>
    </row>
    <row r="9189" spans="14:14" x14ac:dyDescent="0.35">
      <c r="N9189" s="676"/>
    </row>
    <row r="9190" spans="14:14" x14ac:dyDescent="0.35">
      <c r="N9190" s="676"/>
    </row>
    <row r="9191" spans="14:14" x14ac:dyDescent="0.35">
      <c r="N9191" s="676"/>
    </row>
    <row r="9192" spans="14:14" x14ac:dyDescent="0.35">
      <c r="N9192" s="676"/>
    </row>
    <row r="9193" spans="14:14" x14ac:dyDescent="0.35">
      <c r="N9193" s="676"/>
    </row>
    <row r="9194" spans="14:14" x14ac:dyDescent="0.35">
      <c r="N9194" s="676"/>
    </row>
    <row r="9195" spans="14:14" x14ac:dyDescent="0.35">
      <c r="N9195" s="676"/>
    </row>
    <row r="9196" spans="14:14" x14ac:dyDescent="0.35">
      <c r="N9196" s="676"/>
    </row>
    <row r="9197" spans="14:14" x14ac:dyDescent="0.35">
      <c r="N9197" s="676"/>
    </row>
    <row r="9198" spans="14:14" x14ac:dyDescent="0.35">
      <c r="N9198" s="676"/>
    </row>
    <row r="9199" spans="14:14" x14ac:dyDescent="0.35">
      <c r="N9199" s="676"/>
    </row>
    <row r="9200" spans="14:14" x14ac:dyDescent="0.35">
      <c r="N9200" s="676"/>
    </row>
    <row r="9201" spans="14:14" x14ac:dyDescent="0.35">
      <c r="N9201" s="676"/>
    </row>
    <row r="9202" spans="14:14" x14ac:dyDescent="0.35">
      <c r="N9202" s="676"/>
    </row>
    <row r="9203" spans="14:14" x14ac:dyDescent="0.35">
      <c r="N9203" s="676"/>
    </row>
    <row r="9204" spans="14:14" x14ac:dyDescent="0.35">
      <c r="N9204" s="676"/>
    </row>
    <row r="9205" spans="14:14" x14ac:dyDescent="0.35">
      <c r="N9205" s="676"/>
    </row>
    <row r="9206" spans="14:14" x14ac:dyDescent="0.35">
      <c r="N9206" s="676"/>
    </row>
    <row r="9207" spans="14:14" x14ac:dyDescent="0.35">
      <c r="N9207" s="676"/>
    </row>
    <row r="9208" spans="14:14" x14ac:dyDescent="0.35">
      <c r="N9208" s="676"/>
    </row>
    <row r="9209" spans="14:14" x14ac:dyDescent="0.35">
      <c r="N9209" s="676"/>
    </row>
    <row r="9210" spans="14:14" x14ac:dyDescent="0.35">
      <c r="N9210" s="676"/>
    </row>
    <row r="9211" spans="14:14" x14ac:dyDescent="0.35">
      <c r="N9211" s="676"/>
    </row>
    <row r="9212" spans="14:14" x14ac:dyDescent="0.35">
      <c r="N9212" s="676"/>
    </row>
    <row r="9213" spans="14:14" x14ac:dyDescent="0.35">
      <c r="N9213" s="676"/>
    </row>
    <row r="9214" spans="14:14" x14ac:dyDescent="0.35">
      <c r="N9214" s="676"/>
    </row>
    <row r="9215" spans="14:14" x14ac:dyDescent="0.35">
      <c r="N9215" s="676"/>
    </row>
    <row r="9216" spans="14:14" x14ac:dyDescent="0.35">
      <c r="N9216" s="676"/>
    </row>
    <row r="9217" spans="14:14" x14ac:dyDescent="0.35">
      <c r="N9217" s="676"/>
    </row>
    <row r="9218" spans="14:14" x14ac:dyDescent="0.35">
      <c r="N9218" s="676"/>
    </row>
    <row r="9219" spans="14:14" x14ac:dyDescent="0.35">
      <c r="N9219" s="676"/>
    </row>
    <row r="9220" spans="14:14" x14ac:dyDescent="0.35">
      <c r="N9220" s="676"/>
    </row>
    <row r="9221" spans="14:14" x14ac:dyDescent="0.35">
      <c r="N9221" s="676"/>
    </row>
    <row r="9222" spans="14:14" x14ac:dyDescent="0.35">
      <c r="N9222" s="676"/>
    </row>
    <row r="9223" spans="14:14" x14ac:dyDescent="0.35">
      <c r="N9223" s="676"/>
    </row>
    <row r="9224" spans="14:14" x14ac:dyDescent="0.35">
      <c r="N9224" s="676"/>
    </row>
    <row r="9225" spans="14:14" x14ac:dyDescent="0.35">
      <c r="N9225" s="676"/>
    </row>
    <row r="9226" spans="14:14" x14ac:dyDescent="0.35">
      <c r="N9226" s="676"/>
    </row>
    <row r="9227" spans="14:14" x14ac:dyDescent="0.35">
      <c r="N9227" s="676"/>
    </row>
    <row r="9228" spans="14:14" x14ac:dyDescent="0.35">
      <c r="N9228" s="676"/>
    </row>
    <row r="9229" spans="14:14" x14ac:dyDescent="0.35">
      <c r="N9229" s="676"/>
    </row>
    <row r="9230" spans="14:14" x14ac:dyDescent="0.35">
      <c r="N9230" s="676"/>
    </row>
    <row r="9231" spans="14:14" x14ac:dyDescent="0.35">
      <c r="N9231" s="676"/>
    </row>
    <row r="9232" spans="14:14" x14ac:dyDescent="0.35">
      <c r="N9232" s="676"/>
    </row>
    <row r="9233" spans="14:14" x14ac:dyDescent="0.35">
      <c r="N9233" s="676"/>
    </row>
    <row r="9234" spans="14:14" x14ac:dyDescent="0.35">
      <c r="N9234" s="676"/>
    </row>
    <row r="9235" spans="14:14" x14ac:dyDescent="0.35">
      <c r="N9235" s="676"/>
    </row>
    <row r="9236" spans="14:14" x14ac:dyDescent="0.35">
      <c r="N9236" s="676"/>
    </row>
    <row r="9237" spans="14:14" x14ac:dyDescent="0.35">
      <c r="N9237" s="676"/>
    </row>
    <row r="9238" spans="14:14" x14ac:dyDescent="0.35">
      <c r="N9238" s="676"/>
    </row>
    <row r="9239" spans="14:14" x14ac:dyDescent="0.35">
      <c r="N9239" s="676"/>
    </row>
    <row r="9240" spans="14:14" x14ac:dyDescent="0.35">
      <c r="N9240" s="676"/>
    </row>
    <row r="9241" spans="14:14" x14ac:dyDescent="0.35">
      <c r="N9241" s="676"/>
    </row>
    <row r="9242" spans="14:14" x14ac:dyDescent="0.35">
      <c r="N9242" s="676"/>
    </row>
    <row r="9243" spans="14:14" x14ac:dyDescent="0.35">
      <c r="N9243" s="676"/>
    </row>
    <row r="9244" spans="14:14" x14ac:dyDescent="0.35">
      <c r="N9244" s="676"/>
    </row>
    <row r="9245" spans="14:14" x14ac:dyDescent="0.35">
      <c r="N9245" s="676"/>
    </row>
    <row r="9246" spans="14:14" x14ac:dyDescent="0.35">
      <c r="N9246" s="676"/>
    </row>
    <row r="9247" spans="14:14" x14ac:dyDescent="0.35">
      <c r="N9247" s="676"/>
    </row>
    <row r="9248" spans="14:14" x14ac:dyDescent="0.35">
      <c r="N9248" s="676"/>
    </row>
    <row r="9249" spans="14:14" x14ac:dyDescent="0.35">
      <c r="N9249" s="676"/>
    </row>
    <row r="9250" spans="14:14" x14ac:dyDescent="0.35">
      <c r="N9250" s="676"/>
    </row>
    <row r="9251" spans="14:14" x14ac:dyDescent="0.35">
      <c r="N9251" s="676"/>
    </row>
    <row r="9252" spans="14:14" x14ac:dyDescent="0.35">
      <c r="N9252" s="676"/>
    </row>
    <row r="9253" spans="14:14" x14ac:dyDescent="0.35">
      <c r="N9253" s="676"/>
    </row>
    <row r="9254" spans="14:14" x14ac:dyDescent="0.35">
      <c r="N9254" s="676"/>
    </row>
    <row r="9255" spans="14:14" x14ac:dyDescent="0.35">
      <c r="N9255" s="676"/>
    </row>
    <row r="9256" spans="14:14" x14ac:dyDescent="0.35">
      <c r="N9256" s="676"/>
    </row>
    <row r="9257" spans="14:14" x14ac:dyDescent="0.35">
      <c r="N9257" s="676"/>
    </row>
    <row r="9258" spans="14:14" x14ac:dyDescent="0.35">
      <c r="N9258" s="676"/>
    </row>
    <row r="9259" spans="14:14" x14ac:dyDescent="0.35">
      <c r="N9259" s="676"/>
    </row>
    <row r="9260" spans="14:14" x14ac:dyDescent="0.35">
      <c r="N9260" s="676"/>
    </row>
    <row r="9261" spans="14:14" x14ac:dyDescent="0.35">
      <c r="N9261" s="676"/>
    </row>
    <row r="9262" spans="14:14" x14ac:dyDescent="0.35">
      <c r="N9262" s="676"/>
    </row>
    <row r="9263" spans="14:14" x14ac:dyDescent="0.35">
      <c r="N9263" s="676"/>
    </row>
    <row r="9264" spans="14:14" x14ac:dyDescent="0.35">
      <c r="N9264" s="676"/>
    </row>
    <row r="9265" spans="14:14" x14ac:dyDescent="0.35">
      <c r="N9265" s="676"/>
    </row>
    <row r="9266" spans="14:14" x14ac:dyDescent="0.35">
      <c r="N9266" s="676"/>
    </row>
    <row r="9267" spans="14:14" x14ac:dyDescent="0.35">
      <c r="N9267" s="676"/>
    </row>
    <row r="9268" spans="14:14" x14ac:dyDescent="0.35">
      <c r="N9268" s="676"/>
    </row>
    <row r="9269" spans="14:14" x14ac:dyDescent="0.35">
      <c r="N9269" s="676"/>
    </row>
    <row r="9270" spans="14:14" x14ac:dyDescent="0.35">
      <c r="N9270" s="676"/>
    </row>
    <row r="9271" spans="14:14" x14ac:dyDescent="0.35">
      <c r="N9271" s="676"/>
    </row>
    <row r="9272" spans="14:14" x14ac:dyDescent="0.35">
      <c r="N9272" s="676"/>
    </row>
    <row r="9273" spans="14:14" x14ac:dyDescent="0.35">
      <c r="N9273" s="676"/>
    </row>
    <row r="9274" spans="14:14" x14ac:dyDescent="0.35">
      <c r="N9274" s="676"/>
    </row>
    <row r="9275" spans="14:14" x14ac:dyDescent="0.35">
      <c r="N9275" s="676"/>
    </row>
    <row r="9276" spans="14:14" x14ac:dyDescent="0.35">
      <c r="N9276" s="676"/>
    </row>
    <row r="9277" spans="14:14" x14ac:dyDescent="0.35">
      <c r="N9277" s="676"/>
    </row>
    <row r="9278" spans="14:14" x14ac:dyDescent="0.35">
      <c r="N9278" s="676"/>
    </row>
    <row r="9279" spans="14:14" x14ac:dyDescent="0.35">
      <c r="N9279" s="676"/>
    </row>
    <row r="9280" spans="14:14" x14ac:dyDescent="0.35">
      <c r="N9280" s="676"/>
    </row>
    <row r="9281" spans="14:14" x14ac:dyDescent="0.35">
      <c r="N9281" s="676"/>
    </row>
    <row r="9282" spans="14:14" x14ac:dyDescent="0.35">
      <c r="N9282" s="676"/>
    </row>
    <row r="9283" spans="14:14" x14ac:dyDescent="0.35">
      <c r="N9283" s="676"/>
    </row>
    <row r="9284" spans="14:14" x14ac:dyDescent="0.35">
      <c r="N9284" s="676"/>
    </row>
    <row r="9285" spans="14:14" x14ac:dyDescent="0.35">
      <c r="N9285" s="676"/>
    </row>
    <row r="9286" spans="14:14" x14ac:dyDescent="0.35">
      <c r="N9286" s="676"/>
    </row>
    <row r="9287" spans="14:14" x14ac:dyDescent="0.35">
      <c r="N9287" s="676"/>
    </row>
    <row r="9288" spans="14:14" x14ac:dyDescent="0.35">
      <c r="N9288" s="676"/>
    </row>
    <row r="9289" spans="14:14" x14ac:dyDescent="0.35">
      <c r="N9289" s="676"/>
    </row>
    <row r="9290" spans="14:14" x14ac:dyDescent="0.35">
      <c r="N9290" s="676"/>
    </row>
    <row r="9291" spans="14:14" x14ac:dyDescent="0.35">
      <c r="N9291" s="676"/>
    </row>
    <row r="9292" spans="14:14" x14ac:dyDescent="0.35">
      <c r="N9292" s="676"/>
    </row>
    <row r="9293" spans="14:14" x14ac:dyDescent="0.35">
      <c r="N9293" s="676"/>
    </row>
    <row r="9294" spans="14:14" x14ac:dyDescent="0.35">
      <c r="N9294" s="676"/>
    </row>
    <row r="9295" spans="14:14" x14ac:dyDescent="0.35">
      <c r="N9295" s="676"/>
    </row>
    <row r="9296" spans="14:14" x14ac:dyDescent="0.35">
      <c r="N9296" s="676"/>
    </row>
    <row r="9297" spans="14:14" x14ac:dyDescent="0.35">
      <c r="N9297" s="676"/>
    </row>
    <row r="9298" spans="14:14" x14ac:dyDescent="0.35">
      <c r="N9298" s="676"/>
    </row>
    <row r="9299" spans="14:14" x14ac:dyDescent="0.35">
      <c r="N9299" s="676"/>
    </row>
    <row r="9300" spans="14:14" x14ac:dyDescent="0.35">
      <c r="N9300" s="676"/>
    </row>
    <row r="9301" spans="14:14" x14ac:dyDescent="0.35">
      <c r="N9301" s="676"/>
    </row>
    <row r="9302" spans="14:14" x14ac:dyDescent="0.35">
      <c r="N9302" s="676"/>
    </row>
    <row r="9303" spans="14:14" x14ac:dyDescent="0.35">
      <c r="N9303" s="676"/>
    </row>
    <row r="9304" spans="14:14" x14ac:dyDescent="0.35">
      <c r="N9304" s="676"/>
    </row>
    <row r="9305" spans="14:14" x14ac:dyDescent="0.35">
      <c r="N9305" s="676"/>
    </row>
    <row r="9306" spans="14:14" x14ac:dyDescent="0.35">
      <c r="N9306" s="676"/>
    </row>
    <row r="9307" spans="14:14" x14ac:dyDescent="0.35">
      <c r="N9307" s="676"/>
    </row>
    <row r="9308" spans="14:14" x14ac:dyDescent="0.35">
      <c r="N9308" s="676"/>
    </row>
    <row r="9309" spans="14:14" x14ac:dyDescent="0.35">
      <c r="N9309" s="676"/>
    </row>
    <row r="9310" spans="14:14" x14ac:dyDescent="0.35">
      <c r="N9310" s="676"/>
    </row>
    <row r="9311" spans="14:14" x14ac:dyDescent="0.35">
      <c r="N9311" s="676"/>
    </row>
    <row r="9312" spans="14:14" x14ac:dyDescent="0.35">
      <c r="N9312" s="676"/>
    </row>
    <row r="9313" spans="14:14" x14ac:dyDescent="0.35">
      <c r="N9313" s="676"/>
    </row>
    <row r="9314" spans="14:14" x14ac:dyDescent="0.35">
      <c r="N9314" s="676"/>
    </row>
    <row r="9315" spans="14:14" x14ac:dyDescent="0.35">
      <c r="N9315" s="676"/>
    </row>
    <row r="9316" spans="14:14" x14ac:dyDescent="0.35">
      <c r="N9316" s="676"/>
    </row>
    <row r="9317" spans="14:14" x14ac:dyDescent="0.35">
      <c r="N9317" s="676"/>
    </row>
    <row r="9318" spans="14:14" x14ac:dyDescent="0.35">
      <c r="N9318" s="676"/>
    </row>
    <row r="9319" spans="14:14" x14ac:dyDescent="0.35">
      <c r="N9319" s="676"/>
    </row>
    <row r="9320" spans="14:14" x14ac:dyDescent="0.35">
      <c r="N9320" s="676"/>
    </row>
    <row r="9321" spans="14:14" x14ac:dyDescent="0.35">
      <c r="N9321" s="676"/>
    </row>
    <row r="9322" spans="14:14" x14ac:dyDescent="0.35">
      <c r="N9322" s="676"/>
    </row>
    <row r="9323" spans="14:14" x14ac:dyDescent="0.35">
      <c r="N9323" s="676"/>
    </row>
    <row r="9324" spans="14:14" x14ac:dyDescent="0.35">
      <c r="N9324" s="676"/>
    </row>
    <row r="9325" spans="14:14" x14ac:dyDescent="0.35">
      <c r="N9325" s="676"/>
    </row>
    <row r="9326" spans="14:14" x14ac:dyDescent="0.35">
      <c r="N9326" s="676"/>
    </row>
    <row r="9327" spans="14:14" x14ac:dyDescent="0.35">
      <c r="N9327" s="676"/>
    </row>
    <row r="9328" spans="14:14" x14ac:dyDescent="0.35">
      <c r="N9328" s="676"/>
    </row>
    <row r="9329" spans="14:14" x14ac:dyDescent="0.35">
      <c r="N9329" s="676"/>
    </row>
    <row r="9330" spans="14:14" x14ac:dyDescent="0.35">
      <c r="N9330" s="676"/>
    </row>
    <row r="9331" spans="14:14" x14ac:dyDescent="0.35">
      <c r="N9331" s="676"/>
    </row>
    <row r="9332" spans="14:14" x14ac:dyDescent="0.35">
      <c r="N9332" s="676"/>
    </row>
    <row r="9333" spans="14:14" x14ac:dyDescent="0.35">
      <c r="N9333" s="676"/>
    </row>
    <row r="9334" spans="14:14" x14ac:dyDescent="0.35">
      <c r="N9334" s="676"/>
    </row>
    <row r="9335" spans="14:14" x14ac:dyDescent="0.35">
      <c r="N9335" s="676"/>
    </row>
    <row r="9336" spans="14:14" x14ac:dyDescent="0.35">
      <c r="N9336" s="676"/>
    </row>
    <row r="9337" spans="14:14" x14ac:dyDescent="0.35">
      <c r="N9337" s="676"/>
    </row>
    <row r="9338" spans="14:14" x14ac:dyDescent="0.35">
      <c r="N9338" s="676"/>
    </row>
    <row r="9339" spans="14:14" x14ac:dyDescent="0.35">
      <c r="N9339" s="676"/>
    </row>
    <row r="9340" spans="14:14" x14ac:dyDescent="0.35">
      <c r="N9340" s="676"/>
    </row>
    <row r="9341" spans="14:14" x14ac:dyDescent="0.35">
      <c r="N9341" s="676"/>
    </row>
    <row r="9342" spans="14:14" x14ac:dyDescent="0.35">
      <c r="N9342" s="676"/>
    </row>
    <row r="9343" spans="14:14" x14ac:dyDescent="0.35">
      <c r="N9343" s="676"/>
    </row>
    <row r="9344" spans="14:14" x14ac:dyDescent="0.35">
      <c r="N9344" s="676"/>
    </row>
    <row r="9345" spans="14:14" x14ac:dyDescent="0.35">
      <c r="N9345" s="676"/>
    </row>
    <row r="9346" spans="14:14" x14ac:dyDescent="0.35">
      <c r="N9346" s="676"/>
    </row>
    <row r="9347" spans="14:14" x14ac:dyDescent="0.35">
      <c r="N9347" s="676"/>
    </row>
    <row r="9348" spans="14:14" x14ac:dyDescent="0.35">
      <c r="N9348" s="676"/>
    </row>
    <row r="9349" spans="14:14" x14ac:dyDescent="0.35">
      <c r="N9349" s="676"/>
    </row>
    <row r="9350" spans="14:14" x14ac:dyDescent="0.35">
      <c r="N9350" s="676"/>
    </row>
    <row r="9351" spans="14:14" x14ac:dyDescent="0.35">
      <c r="N9351" s="676"/>
    </row>
    <row r="9352" spans="14:14" x14ac:dyDescent="0.35">
      <c r="N9352" s="676"/>
    </row>
    <row r="9353" spans="14:14" x14ac:dyDescent="0.35">
      <c r="N9353" s="676"/>
    </row>
    <row r="9354" spans="14:14" x14ac:dyDescent="0.35">
      <c r="N9354" s="676"/>
    </row>
    <row r="9355" spans="14:14" x14ac:dyDescent="0.35">
      <c r="N9355" s="676"/>
    </row>
    <row r="9356" spans="14:14" x14ac:dyDescent="0.35">
      <c r="N9356" s="676"/>
    </row>
    <row r="9357" spans="14:14" x14ac:dyDescent="0.35">
      <c r="N9357" s="676"/>
    </row>
    <row r="9358" spans="14:14" x14ac:dyDescent="0.35">
      <c r="N9358" s="676"/>
    </row>
    <row r="9359" spans="14:14" x14ac:dyDescent="0.35">
      <c r="N9359" s="676"/>
    </row>
    <row r="9360" spans="14:14" x14ac:dyDescent="0.35">
      <c r="N9360" s="676"/>
    </row>
    <row r="9361" spans="14:14" x14ac:dyDescent="0.35">
      <c r="N9361" s="676"/>
    </row>
    <row r="9362" spans="14:14" x14ac:dyDescent="0.35">
      <c r="N9362" s="676"/>
    </row>
    <row r="9363" spans="14:14" x14ac:dyDescent="0.35">
      <c r="N9363" s="676"/>
    </row>
    <row r="9364" spans="14:14" x14ac:dyDescent="0.35">
      <c r="N9364" s="676"/>
    </row>
    <row r="9365" spans="14:14" x14ac:dyDescent="0.35">
      <c r="N9365" s="676"/>
    </row>
    <row r="9366" spans="14:14" x14ac:dyDescent="0.35">
      <c r="N9366" s="676"/>
    </row>
    <row r="9367" spans="14:14" x14ac:dyDescent="0.35">
      <c r="N9367" s="676"/>
    </row>
    <row r="9368" spans="14:14" x14ac:dyDescent="0.35">
      <c r="N9368" s="676"/>
    </row>
    <row r="9369" spans="14:14" x14ac:dyDescent="0.35">
      <c r="N9369" s="676"/>
    </row>
    <row r="9370" spans="14:14" x14ac:dyDescent="0.35">
      <c r="N9370" s="676"/>
    </row>
    <row r="9371" spans="14:14" x14ac:dyDescent="0.35">
      <c r="N9371" s="676"/>
    </row>
    <row r="9372" spans="14:14" x14ac:dyDescent="0.35">
      <c r="N9372" s="676"/>
    </row>
    <row r="9373" spans="14:14" x14ac:dyDescent="0.35">
      <c r="N9373" s="676"/>
    </row>
    <row r="9374" spans="14:14" x14ac:dyDescent="0.35">
      <c r="N9374" s="676"/>
    </row>
    <row r="9375" spans="14:14" x14ac:dyDescent="0.35">
      <c r="N9375" s="676"/>
    </row>
    <row r="9376" spans="14:14" x14ac:dyDescent="0.35">
      <c r="N9376" s="676"/>
    </row>
    <row r="9377" spans="14:14" x14ac:dyDescent="0.35">
      <c r="N9377" s="676"/>
    </row>
    <row r="9378" spans="14:14" x14ac:dyDescent="0.35">
      <c r="N9378" s="676"/>
    </row>
    <row r="9379" spans="14:14" x14ac:dyDescent="0.35">
      <c r="N9379" s="676"/>
    </row>
    <row r="9380" spans="14:14" x14ac:dyDescent="0.35">
      <c r="N9380" s="676"/>
    </row>
    <row r="9381" spans="14:14" x14ac:dyDescent="0.35">
      <c r="N9381" s="676"/>
    </row>
    <row r="9382" spans="14:14" x14ac:dyDescent="0.35">
      <c r="N9382" s="676"/>
    </row>
    <row r="9383" spans="14:14" x14ac:dyDescent="0.35">
      <c r="N9383" s="676"/>
    </row>
    <row r="9384" spans="14:14" x14ac:dyDescent="0.35">
      <c r="N9384" s="676"/>
    </row>
    <row r="9385" spans="14:14" x14ac:dyDescent="0.35">
      <c r="N9385" s="676"/>
    </row>
    <row r="9386" spans="14:14" x14ac:dyDescent="0.35">
      <c r="N9386" s="676"/>
    </row>
    <row r="9387" spans="14:14" x14ac:dyDescent="0.35">
      <c r="N9387" s="676"/>
    </row>
    <row r="9388" spans="14:14" x14ac:dyDescent="0.35">
      <c r="N9388" s="676"/>
    </row>
    <row r="9389" spans="14:14" x14ac:dyDescent="0.35">
      <c r="N9389" s="676"/>
    </row>
    <row r="9390" spans="14:14" x14ac:dyDescent="0.35">
      <c r="N9390" s="676"/>
    </row>
    <row r="9391" spans="14:14" x14ac:dyDescent="0.35">
      <c r="N9391" s="676"/>
    </row>
    <row r="9392" spans="14:14" x14ac:dyDescent="0.35">
      <c r="N9392" s="676"/>
    </row>
    <row r="9393" spans="14:14" x14ac:dyDescent="0.35">
      <c r="N9393" s="676"/>
    </row>
    <row r="9394" spans="14:14" x14ac:dyDescent="0.35">
      <c r="N9394" s="676"/>
    </row>
    <row r="9395" spans="14:14" x14ac:dyDescent="0.35">
      <c r="N9395" s="676"/>
    </row>
    <row r="9396" spans="14:14" x14ac:dyDescent="0.35">
      <c r="N9396" s="676"/>
    </row>
    <row r="9397" spans="14:14" x14ac:dyDescent="0.35">
      <c r="N9397" s="676"/>
    </row>
    <row r="9398" spans="14:14" x14ac:dyDescent="0.35">
      <c r="N9398" s="676"/>
    </row>
    <row r="9399" spans="14:14" x14ac:dyDescent="0.35">
      <c r="N9399" s="676"/>
    </row>
    <row r="9400" spans="14:14" x14ac:dyDescent="0.35">
      <c r="N9400" s="676"/>
    </row>
    <row r="9401" spans="14:14" x14ac:dyDescent="0.35">
      <c r="N9401" s="676"/>
    </row>
    <row r="9402" spans="14:14" x14ac:dyDescent="0.35">
      <c r="N9402" s="676"/>
    </row>
    <row r="9403" spans="14:14" x14ac:dyDescent="0.35">
      <c r="N9403" s="676"/>
    </row>
    <row r="9404" spans="14:14" x14ac:dyDescent="0.35">
      <c r="N9404" s="676"/>
    </row>
    <row r="9405" spans="14:14" x14ac:dyDescent="0.35">
      <c r="N9405" s="676"/>
    </row>
    <row r="9406" spans="14:14" x14ac:dyDescent="0.35">
      <c r="N9406" s="676"/>
    </row>
    <row r="9407" spans="14:14" x14ac:dyDescent="0.35">
      <c r="N9407" s="676"/>
    </row>
    <row r="9408" spans="14:14" x14ac:dyDescent="0.35">
      <c r="N9408" s="676"/>
    </row>
    <row r="9409" spans="14:14" x14ac:dyDescent="0.35">
      <c r="N9409" s="676"/>
    </row>
    <row r="9410" spans="14:14" x14ac:dyDescent="0.35">
      <c r="N9410" s="676"/>
    </row>
    <row r="9411" spans="14:14" x14ac:dyDescent="0.35">
      <c r="N9411" s="676"/>
    </row>
    <row r="9412" spans="14:14" x14ac:dyDescent="0.35">
      <c r="N9412" s="676"/>
    </row>
    <row r="9413" spans="14:14" x14ac:dyDescent="0.35">
      <c r="N9413" s="676"/>
    </row>
    <row r="9414" spans="14:14" x14ac:dyDescent="0.35">
      <c r="N9414" s="676"/>
    </row>
    <row r="9415" spans="14:14" x14ac:dyDescent="0.35">
      <c r="N9415" s="676"/>
    </row>
    <row r="9416" spans="14:14" x14ac:dyDescent="0.35">
      <c r="N9416" s="676"/>
    </row>
    <row r="9417" spans="14:14" x14ac:dyDescent="0.35">
      <c r="N9417" s="676"/>
    </row>
    <row r="9418" spans="14:14" x14ac:dyDescent="0.35">
      <c r="N9418" s="676"/>
    </row>
    <row r="9419" spans="14:14" x14ac:dyDescent="0.35">
      <c r="N9419" s="676"/>
    </row>
    <row r="9420" spans="14:14" x14ac:dyDescent="0.35">
      <c r="N9420" s="676"/>
    </row>
    <row r="9421" spans="14:14" x14ac:dyDescent="0.35">
      <c r="N9421" s="676"/>
    </row>
    <row r="9422" spans="14:14" x14ac:dyDescent="0.35">
      <c r="N9422" s="676"/>
    </row>
    <row r="9423" spans="14:14" x14ac:dyDescent="0.35">
      <c r="N9423" s="676"/>
    </row>
    <row r="9424" spans="14:14" x14ac:dyDescent="0.35">
      <c r="N9424" s="676"/>
    </row>
    <row r="9425" spans="14:14" x14ac:dyDescent="0.35">
      <c r="N9425" s="676"/>
    </row>
    <row r="9426" spans="14:14" x14ac:dyDescent="0.35">
      <c r="N9426" s="676"/>
    </row>
    <row r="9427" spans="14:14" x14ac:dyDescent="0.35">
      <c r="N9427" s="676"/>
    </row>
    <row r="9428" spans="14:14" x14ac:dyDescent="0.35">
      <c r="N9428" s="676"/>
    </row>
    <row r="9429" spans="14:14" x14ac:dyDescent="0.35">
      <c r="N9429" s="676"/>
    </row>
    <row r="9430" spans="14:14" x14ac:dyDescent="0.35">
      <c r="N9430" s="676"/>
    </row>
    <row r="9431" spans="14:14" x14ac:dyDescent="0.35">
      <c r="N9431" s="676"/>
    </row>
    <row r="9432" spans="14:14" x14ac:dyDescent="0.35">
      <c r="N9432" s="676"/>
    </row>
    <row r="9433" spans="14:14" x14ac:dyDescent="0.35">
      <c r="N9433" s="676"/>
    </row>
    <row r="9434" spans="14:14" x14ac:dyDescent="0.35">
      <c r="N9434" s="676"/>
    </row>
    <row r="9435" spans="14:14" x14ac:dyDescent="0.35">
      <c r="N9435" s="676"/>
    </row>
    <row r="9436" spans="14:14" x14ac:dyDescent="0.35">
      <c r="N9436" s="676"/>
    </row>
    <row r="9437" spans="14:14" x14ac:dyDescent="0.35">
      <c r="N9437" s="676"/>
    </row>
    <row r="9438" spans="14:14" x14ac:dyDescent="0.35">
      <c r="N9438" s="676"/>
    </row>
    <row r="9439" spans="14:14" x14ac:dyDescent="0.35">
      <c r="N9439" s="676"/>
    </row>
    <row r="9440" spans="14:14" x14ac:dyDescent="0.35">
      <c r="N9440" s="676"/>
    </row>
    <row r="9441" spans="14:14" x14ac:dyDescent="0.35">
      <c r="N9441" s="676"/>
    </row>
    <row r="9442" spans="14:14" x14ac:dyDescent="0.35">
      <c r="N9442" s="676"/>
    </row>
    <row r="9443" spans="14:14" x14ac:dyDescent="0.35">
      <c r="N9443" s="676"/>
    </row>
    <row r="9444" spans="14:14" x14ac:dyDescent="0.35">
      <c r="N9444" s="676"/>
    </row>
    <row r="9445" spans="14:14" x14ac:dyDescent="0.35">
      <c r="N9445" s="676"/>
    </row>
    <row r="9446" spans="14:14" x14ac:dyDescent="0.35">
      <c r="N9446" s="676"/>
    </row>
    <row r="9447" spans="14:14" x14ac:dyDescent="0.35">
      <c r="N9447" s="676"/>
    </row>
    <row r="9448" spans="14:14" x14ac:dyDescent="0.35">
      <c r="N9448" s="676"/>
    </row>
    <row r="9449" spans="14:14" x14ac:dyDescent="0.35">
      <c r="N9449" s="676"/>
    </row>
    <row r="9450" spans="14:14" x14ac:dyDescent="0.35">
      <c r="N9450" s="676"/>
    </row>
    <row r="9451" spans="14:14" x14ac:dyDescent="0.35">
      <c r="N9451" s="676"/>
    </row>
    <row r="9452" spans="14:14" x14ac:dyDescent="0.35">
      <c r="N9452" s="676"/>
    </row>
    <row r="9453" spans="14:14" x14ac:dyDescent="0.35">
      <c r="N9453" s="676"/>
    </row>
    <row r="9454" spans="14:14" x14ac:dyDescent="0.35">
      <c r="N9454" s="676"/>
    </row>
    <row r="9455" spans="14:14" x14ac:dyDescent="0.35">
      <c r="N9455" s="676"/>
    </row>
    <row r="9456" spans="14:14" x14ac:dyDescent="0.35">
      <c r="N9456" s="676"/>
    </row>
    <row r="9457" spans="14:14" x14ac:dyDescent="0.35">
      <c r="N9457" s="676"/>
    </row>
    <row r="9458" spans="14:14" x14ac:dyDescent="0.35">
      <c r="N9458" s="676"/>
    </row>
    <row r="9459" spans="14:14" x14ac:dyDescent="0.35">
      <c r="N9459" s="676"/>
    </row>
    <row r="9460" spans="14:14" x14ac:dyDescent="0.35">
      <c r="N9460" s="676"/>
    </row>
    <row r="9461" spans="14:14" x14ac:dyDescent="0.35">
      <c r="N9461" s="676"/>
    </row>
    <row r="9462" spans="14:14" x14ac:dyDescent="0.35">
      <c r="N9462" s="676"/>
    </row>
    <row r="9463" spans="14:14" x14ac:dyDescent="0.35">
      <c r="N9463" s="676"/>
    </row>
    <row r="9464" spans="14:14" x14ac:dyDescent="0.35">
      <c r="N9464" s="676"/>
    </row>
    <row r="9465" spans="14:14" x14ac:dyDescent="0.35">
      <c r="N9465" s="676"/>
    </row>
    <row r="9466" spans="14:14" x14ac:dyDescent="0.35">
      <c r="N9466" s="676"/>
    </row>
    <row r="9467" spans="14:14" x14ac:dyDescent="0.35">
      <c r="N9467" s="676"/>
    </row>
    <row r="9468" spans="14:14" x14ac:dyDescent="0.35">
      <c r="N9468" s="676"/>
    </row>
    <row r="9469" spans="14:14" x14ac:dyDescent="0.35">
      <c r="N9469" s="676"/>
    </row>
    <row r="9470" spans="14:14" x14ac:dyDescent="0.35">
      <c r="N9470" s="676"/>
    </row>
    <row r="9471" spans="14:14" x14ac:dyDescent="0.35">
      <c r="N9471" s="676"/>
    </row>
    <row r="9472" spans="14:14" x14ac:dyDescent="0.35">
      <c r="N9472" s="676"/>
    </row>
    <row r="9473" spans="14:14" x14ac:dyDescent="0.35">
      <c r="N9473" s="676"/>
    </row>
    <row r="9474" spans="14:14" x14ac:dyDescent="0.35">
      <c r="N9474" s="676"/>
    </row>
    <row r="9475" spans="14:14" x14ac:dyDescent="0.35">
      <c r="N9475" s="676"/>
    </row>
    <row r="9476" spans="14:14" x14ac:dyDescent="0.35">
      <c r="N9476" s="676"/>
    </row>
    <row r="9477" spans="14:14" x14ac:dyDescent="0.35">
      <c r="N9477" s="676"/>
    </row>
    <row r="9478" spans="14:14" x14ac:dyDescent="0.35">
      <c r="N9478" s="676"/>
    </row>
    <row r="9479" spans="14:14" x14ac:dyDescent="0.35">
      <c r="N9479" s="676"/>
    </row>
    <row r="9480" spans="14:14" x14ac:dyDescent="0.35">
      <c r="N9480" s="676"/>
    </row>
    <row r="9481" spans="14:14" x14ac:dyDescent="0.35">
      <c r="N9481" s="676"/>
    </row>
    <row r="9482" spans="14:14" x14ac:dyDescent="0.35">
      <c r="N9482" s="676"/>
    </row>
    <row r="9483" spans="14:14" x14ac:dyDescent="0.35">
      <c r="N9483" s="676"/>
    </row>
    <row r="9484" spans="14:14" x14ac:dyDescent="0.35">
      <c r="N9484" s="676"/>
    </row>
    <row r="9485" spans="14:14" x14ac:dyDescent="0.35">
      <c r="N9485" s="676"/>
    </row>
    <row r="9486" spans="14:14" x14ac:dyDescent="0.35">
      <c r="N9486" s="676"/>
    </row>
    <row r="9487" spans="14:14" x14ac:dyDescent="0.35">
      <c r="N9487" s="676"/>
    </row>
    <row r="9488" spans="14:14" x14ac:dyDescent="0.35">
      <c r="N9488" s="676"/>
    </row>
    <row r="9489" spans="14:14" x14ac:dyDescent="0.35">
      <c r="N9489" s="676"/>
    </row>
    <row r="9490" spans="14:14" x14ac:dyDescent="0.35">
      <c r="N9490" s="676"/>
    </row>
    <row r="9491" spans="14:14" x14ac:dyDescent="0.35">
      <c r="N9491" s="676"/>
    </row>
    <row r="9492" spans="14:14" x14ac:dyDescent="0.35">
      <c r="N9492" s="676"/>
    </row>
    <row r="9493" spans="14:14" x14ac:dyDescent="0.35">
      <c r="N9493" s="676"/>
    </row>
    <row r="9494" spans="14:14" x14ac:dyDescent="0.35">
      <c r="N9494" s="676"/>
    </row>
    <row r="9495" spans="14:14" x14ac:dyDescent="0.35">
      <c r="N9495" s="676"/>
    </row>
    <row r="9496" spans="14:14" x14ac:dyDescent="0.35">
      <c r="N9496" s="676"/>
    </row>
    <row r="9497" spans="14:14" x14ac:dyDescent="0.35">
      <c r="N9497" s="676"/>
    </row>
    <row r="9498" spans="14:14" x14ac:dyDescent="0.35">
      <c r="N9498" s="676"/>
    </row>
    <row r="9499" spans="14:14" x14ac:dyDescent="0.35">
      <c r="N9499" s="676"/>
    </row>
    <row r="9500" spans="14:14" x14ac:dyDescent="0.35">
      <c r="N9500" s="676"/>
    </row>
    <row r="9501" spans="14:14" x14ac:dyDescent="0.35">
      <c r="N9501" s="676"/>
    </row>
    <row r="9502" spans="14:14" x14ac:dyDescent="0.35">
      <c r="N9502" s="676"/>
    </row>
    <row r="9503" spans="14:14" x14ac:dyDescent="0.35">
      <c r="N9503" s="676"/>
    </row>
    <row r="9504" spans="14:14" x14ac:dyDescent="0.35">
      <c r="N9504" s="676"/>
    </row>
    <row r="9505" spans="14:14" x14ac:dyDescent="0.35">
      <c r="N9505" s="676"/>
    </row>
    <row r="9506" spans="14:14" x14ac:dyDescent="0.35">
      <c r="N9506" s="676"/>
    </row>
    <row r="9507" spans="14:14" x14ac:dyDescent="0.35">
      <c r="N9507" s="676"/>
    </row>
    <row r="9508" spans="14:14" x14ac:dyDescent="0.35">
      <c r="N9508" s="676"/>
    </row>
    <row r="9509" spans="14:14" x14ac:dyDescent="0.35">
      <c r="N9509" s="676"/>
    </row>
    <row r="9510" spans="14:14" x14ac:dyDescent="0.35">
      <c r="N9510" s="676"/>
    </row>
    <row r="9511" spans="14:14" x14ac:dyDescent="0.35">
      <c r="N9511" s="676"/>
    </row>
    <row r="9512" spans="14:14" x14ac:dyDescent="0.35">
      <c r="N9512" s="676"/>
    </row>
    <row r="9513" spans="14:14" x14ac:dyDescent="0.35">
      <c r="N9513" s="676"/>
    </row>
    <row r="9514" spans="14:14" x14ac:dyDescent="0.35">
      <c r="N9514" s="676"/>
    </row>
    <row r="9515" spans="14:14" x14ac:dyDescent="0.35">
      <c r="N9515" s="676"/>
    </row>
    <row r="9516" spans="14:14" x14ac:dyDescent="0.35">
      <c r="N9516" s="676"/>
    </row>
    <row r="9517" spans="14:14" x14ac:dyDescent="0.35">
      <c r="N9517" s="676"/>
    </row>
    <row r="9518" spans="14:14" x14ac:dyDescent="0.35">
      <c r="N9518" s="676"/>
    </row>
    <row r="9519" spans="14:14" x14ac:dyDescent="0.35">
      <c r="N9519" s="676"/>
    </row>
    <row r="9520" spans="14:14" x14ac:dyDescent="0.35">
      <c r="N9520" s="676"/>
    </row>
    <row r="9521" spans="14:14" x14ac:dyDescent="0.35">
      <c r="N9521" s="676"/>
    </row>
    <row r="9522" spans="14:14" x14ac:dyDescent="0.35">
      <c r="N9522" s="676"/>
    </row>
    <row r="9523" spans="14:14" x14ac:dyDescent="0.35">
      <c r="N9523" s="676"/>
    </row>
    <row r="9524" spans="14:14" x14ac:dyDescent="0.35">
      <c r="N9524" s="676"/>
    </row>
    <row r="9525" spans="14:14" x14ac:dyDescent="0.35">
      <c r="N9525" s="676"/>
    </row>
    <row r="9526" spans="14:14" x14ac:dyDescent="0.35">
      <c r="N9526" s="676"/>
    </row>
    <row r="9527" spans="14:14" x14ac:dyDescent="0.35">
      <c r="N9527" s="676"/>
    </row>
    <row r="9528" spans="14:14" x14ac:dyDescent="0.35">
      <c r="N9528" s="676"/>
    </row>
    <row r="9529" spans="14:14" x14ac:dyDescent="0.35">
      <c r="N9529" s="676"/>
    </row>
    <row r="9530" spans="14:14" x14ac:dyDescent="0.35">
      <c r="N9530" s="676"/>
    </row>
    <row r="9531" spans="14:14" x14ac:dyDescent="0.35">
      <c r="N9531" s="676"/>
    </row>
    <row r="9532" spans="14:14" x14ac:dyDescent="0.35">
      <c r="N9532" s="676"/>
    </row>
    <row r="9533" spans="14:14" x14ac:dyDescent="0.35">
      <c r="N9533" s="676"/>
    </row>
    <row r="9534" spans="14:14" x14ac:dyDescent="0.35">
      <c r="N9534" s="676"/>
    </row>
    <row r="9535" spans="14:14" x14ac:dyDescent="0.35">
      <c r="N9535" s="676"/>
    </row>
    <row r="9536" spans="14:14" x14ac:dyDescent="0.35">
      <c r="N9536" s="676"/>
    </row>
    <row r="9537" spans="14:14" x14ac:dyDescent="0.35">
      <c r="N9537" s="676"/>
    </row>
    <row r="9538" spans="14:14" x14ac:dyDescent="0.35">
      <c r="N9538" s="676"/>
    </row>
    <row r="9539" spans="14:14" x14ac:dyDescent="0.35">
      <c r="N9539" s="676"/>
    </row>
    <row r="9540" spans="14:14" x14ac:dyDescent="0.35">
      <c r="N9540" s="676"/>
    </row>
    <row r="9541" spans="14:14" x14ac:dyDescent="0.35">
      <c r="N9541" s="676"/>
    </row>
    <row r="9542" spans="14:14" x14ac:dyDescent="0.35">
      <c r="N9542" s="676"/>
    </row>
    <row r="9543" spans="14:14" x14ac:dyDescent="0.35">
      <c r="N9543" s="676"/>
    </row>
    <row r="9544" spans="14:14" x14ac:dyDescent="0.35">
      <c r="N9544" s="676"/>
    </row>
    <row r="9545" spans="14:14" x14ac:dyDescent="0.35">
      <c r="N9545" s="676"/>
    </row>
    <row r="9546" spans="14:14" x14ac:dyDescent="0.35">
      <c r="N9546" s="676"/>
    </row>
    <row r="9547" spans="14:14" x14ac:dyDescent="0.35">
      <c r="N9547" s="676"/>
    </row>
    <row r="9548" spans="14:14" x14ac:dyDescent="0.35">
      <c r="N9548" s="676"/>
    </row>
    <row r="9549" spans="14:14" x14ac:dyDescent="0.35">
      <c r="N9549" s="676"/>
    </row>
    <row r="9550" spans="14:14" x14ac:dyDescent="0.35">
      <c r="N9550" s="676"/>
    </row>
    <row r="9551" spans="14:14" x14ac:dyDescent="0.35">
      <c r="N9551" s="676"/>
    </row>
    <row r="9552" spans="14:14" x14ac:dyDescent="0.35">
      <c r="N9552" s="676"/>
    </row>
    <row r="9553" spans="14:14" x14ac:dyDescent="0.35">
      <c r="N9553" s="676"/>
    </row>
    <row r="9554" spans="14:14" x14ac:dyDescent="0.35">
      <c r="N9554" s="676"/>
    </row>
    <row r="9555" spans="14:14" x14ac:dyDescent="0.35">
      <c r="N9555" s="676"/>
    </row>
    <row r="9556" spans="14:14" x14ac:dyDescent="0.35">
      <c r="N9556" s="676"/>
    </row>
    <row r="9557" spans="14:14" x14ac:dyDescent="0.35">
      <c r="N9557" s="676"/>
    </row>
    <row r="9558" spans="14:14" x14ac:dyDescent="0.35">
      <c r="N9558" s="676"/>
    </row>
    <row r="9559" spans="14:14" x14ac:dyDescent="0.35">
      <c r="N9559" s="676"/>
    </row>
    <row r="9560" spans="14:14" x14ac:dyDescent="0.35">
      <c r="N9560" s="676"/>
    </row>
    <row r="9561" spans="14:14" x14ac:dyDescent="0.35">
      <c r="N9561" s="676"/>
    </row>
    <row r="9562" spans="14:14" x14ac:dyDescent="0.35">
      <c r="N9562" s="676"/>
    </row>
    <row r="9563" spans="14:14" x14ac:dyDescent="0.35">
      <c r="N9563" s="676"/>
    </row>
    <row r="9564" spans="14:14" x14ac:dyDescent="0.35">
      <c r="N9564" s="676"/>
    </row>
    <row r="9565" spans="14:14" x14ac:dyDescent="0.35">
      <c r="N9565" s="676"/>
    </row>
    <row r="9566" spans="14:14" x14ac:dyDescent="0.35">
      <c r="N9566" s="676"/>
    </row>
    <row r="9567" spans="14:14" x14ac:dyDescent="0.35">
      <c r="N9567" s="676"/>
    </row>
    <row r="9568" spans="14:14" x14ac:dyDescent="0.35">
      <c r="N9568" s="676"/>
    </row>
    <row r="9569" spans="14:14" x14ac:dyDescent="0.35">
      <c r="N9569" s="676"/>
    </row>
    <row r="9570" spans="14:14" x14ac:dyDescent="0.35">
      <c r="N9570" s="676"/>
    </row>
    <row r="9571" spans="14:14" x14ac:dyDescent="0.35">
      <c r="N9571" s="676"/>
    </row>
    <row r="9572" spans="14:14" x14ac:dyDescent="0.35">
      <c r="N9572" s="676"/>
    </row>
    <row r="9573" spans="14:14" x14ac:dyDescent="0.35">
      <c r="N9573" s="676"/>
    </row>
    <row r="9574" spans="14:14" x14ac:dyDescent="0.35">
      <c r="N9574" s="676"/>
    </row>
    <row r="9575" spans="14:14" x14ac:dyDescent="0.35">
      <c r="N9575" s="676"/>
    </row>
    <row r="9576" spans="14:14" x14ac:dyDescent="0.35">
      <c r="N9576" s="676"/>
    </row>
    <row r="9577" spans="14:14" x14ac:dyDescent="0.35">
      <c r="N9577" s="676"/>
    </row>
    <row r="9578" spans="14:14" x14ac:dyDescent="0.35">
      <c r="N9578" s="676"/>
    </row>
    <row r="9579" spans="14:14" x14ac:dyDescent="0.35">
      <c r="N9579" s="676"/>
    </row>
    <row r="9580" spans="14:14" x14ac:dyDescent="0.35">
      <c r="N9580" s="676"/>
    </row>
    <row r="9581" spans="14:14" x14ac:dyDescent="0.35">
      <c r="N9581" s="676"/>
    </row>
    <row r="9582" spans="14:14" x14ac:dyDescent="0.35">
      <c r="N9582" s="676"/>
    </row>
    <row r="9583" spans="14:14" x14ac:dyDescent="0.35">
      <c r="N9583" s="676"/>
    </row>
    <row r="9584" spans="14:14" x14ac:dyDescent="0.35">
      <c r="N9584" s="676"/>
    </row>
    <row r="9585" spans="14:14" x14ac:dyDescent="0.35">
      <c r="N9585" s="676"/>
    </row>
    <row r="9586" spans="14:14" x14ac:dyDescent="0.35">
      <c r="N9586" s="676"/>
    </row>
    <row r="9587" spans="14:14" x14ac:dyDescent="0.35">
      <c r="N9587" s="676"/>
    </row>
    <row r="9588" spans="14:14" x14ac:dyDescent="0.35">
      <c r="N9588" s="676"/>
    </row>
    <row r="9589" spans="14:14" x14ac:dyDescent="0.35">
      <c r="N9589" s="676"/>
    </row>
    <row r="9590" spans="14:14" x14ac:dyDescent="0.35">
      <c r="N9590" s="676"/>
    </row>
    <row r="9591" spans="14:14" x14ac:dyDescent="0.35">
      <c r="N9591" s="676"/>
    </row>
    <row r="9592" spans="14:14" x14ac:dyDescent="0.35">
      <c r="N9592" s="676"/>
    </row>
    <row r="9593" spans="14:14" x14ac:dyDescent="0.35">
      <c r="N9593" s="676"/>
    </row>
    <row r="9594" spans="14:14" x14ac:dyDescent="0.35">
      <c r="N9594" s="676"/>
    </row>
    <row r="9595" spans="14:14" x14ac:dyDescent="0.35">
      <c r="N9595" s="676"/>
    </row>
    <row r="9596" spans="14:14" x14ac:dyDescent="0.35">
      <c r="N9596" s="676"/>
    </row>
    <row r="9597" spans="14:14" x14ac:dyDescent="0.35">
      <c r="N9597" s="676"/>
    </row>
    <row r="9598" spans="14:14" x14ac:dyDescent="0.35">
      <c r="N9598" s="676"/>
    </row>
    <row r="9599" spans="14:14" x14ac:dyDescent="0.35">
      <c r="N9599" s="676"/>
    </row>
    <row r="9600" spans="14:14" x14ac:dyDescent="0.35">
      <c r="N9600" s="676"/>
    </row>
    <row r="9601" spans="14:14" x14ac:dyDescent="0.35">
      <c r="N9601" s="676"/>
    </row>
    <row r="9602" spans="14:14" x14ac:dyDescent="0.35">
      <c r="N9602" s="676"/>
    </row>
    <row r="9603" spans="14:14" x14ac:dyDescent="0.35">
      <c r="N9603" s="676"/>
    </row>
    <row r="9604" spans="14:14" x14ac:dyDescent="0.35">
      <c r="N9604" s="676"/>
    </row>
    <row r="9605" spans="14:14" x14ac:dyDescent="0.35">
      <c r="N9605" s="676"/>
    </row>
    <row r="9606" spans="14:14" x14ac:dyDescent="0.35">
      <c r="N9606" s="676"/>
    </row>
    <row r="9607" spans="14:14" x14ac:dyDescent="0.35">
      <c r="N9607" s="676"/>
    </row>
    <row r="9608" spans="14:14" x14ac:dyDescent="0.35">
      <c r="N9608" s="676"/>
    </row>
    <row r="9609" spans="14:14" x14ac:dyDescent="0.35">
      <c r="N9609" s="676"/>
    </row>
    <row r="9610" spans="14:14" x14ac:dyDescent="0.35">
      <c r="N9610" s="676"/>
    </row>
    <row r="9611" spans="14:14" x14ac:dyDescent="0.35">
      <c r="N9611" s="676"/>
    </row>
    <row r="9612" spans="14:14" x14ac:dyDescent="0.35">
      <c r="N9612" s="676"/>
    </row>
    <row r="9613" spans="14:14" x14ac:dyDescent="0.35">
      <c r="N9613" s="676"/>
    </row>
    <row r="9614" spans="14:14" x14ac:dyDescent="0.35">
      <c r="N9614" s="676"/>
    </row>
    <row r="9615" spans="14:14" x14ac:dyDescent="0.35">
      <c r="N9615" s="676"/>
    </row>
    <row r="9616" spans="14:14" x14ac:dyDescent="0.35">
      <c r="N9616" s="676"/>
    </row>
    <row r="9617" spans="14:14" x14ac:dyDescent="0.35">
      <c r="N9617" s="676"/>
    </row>
    <row r="9618" spans="14:14" x14ac:dyDescent="0.35">
      <c r="N9618" s="676"/>
    </row>
    <row r="9619" spans="14:14" x14ac:dyDescent="0.35">
      <c r="N9619" s="676"/>
    </row>
    <row r="9620" spans="14:14" x14ac:dyDescent="0.35">
      <c r="N9620" s="676"/>
    </row>
    <row r="9621" spans="14:14" x14ac:dyDescent="0.35">
      <c r="N9621" s="676"/>
    </row>
    <row r="9622" spans="14:14" x14ac:dyDescent="0.35">
      <c r="N9622" s="676"/>
    </row>
    <row r="9623" spans="14:14" x14ac:dyDescent="0.35">
      <c r="N9623" s="676"/>
    </row>
    <row r="9624" spans="14:14" x14ac:dyDescent="0.35">
      <c r="N9624" s="676"/>
    </row>
    <row r="9625" spans="14:14" x14ac:dyDescent="0.35">
      <c r="N9625" s="676"/>
    </row>
    <row r="9626" spans="14:14" x14ac:dyDescent="0.35">
      <c r="N9626" s="676"/>
    </row>
    <row r="9627" spans="14:14" x14ac:dyDescent="0.35">
      <c r="N9627" s="676"/>
    </row>
    <row r="9628" spans="14:14" x14ac:dyDescent="0.35">
      <c r="N9628" s="676"/>
    </row>
    <row r="9629" spans="14:14" x14ac:dyDescent="0.35">
      <c r="N9629" s="676"/>
    </row>
    <row r="9630" spans="14:14" x14ac:dyDescent="0.35">
      <c r="N9630" s="676"/>
    </row>
    <row r="9631" spans="14:14" x14ac:dyDescent="0.35">
      <c r="N9631" s="676"/>
    </row>
    <row r="9632" spans="14:14" x14ac:dyDescent="0.35">
      <c r="N9632" s="676"/>
    </row>
    <row r="9633" spans="14:14" x14ac:dyDescent="0.35">
      <c r="N9633" s="676"/>
    </row>
    <row r="9634" spans="14:14" x14ac:dyDescent="0.35">
      <c r="N9634" s="676"/>
    </row>
    <row r="9635" spans="14:14" x14ac:dyDescent="0.35">
      <c r="N9635" s="676"/>
    </row>
    <row r="9636" spans="14:14" x14ac:dyDescent="0.35">
      <c r="N9636" s="676"/>
    </row>
    <row r="9637" spans="14:14" x14ac:dyDescent="0.35">
      <c r="N9637" s="676"/>
    </row>
    <row r="9638" spans="14:14" x14ac:dyDescent="0.35">
      <c r="N9638" s="676"/>
    </row>
    <row r="9639" spans="14:14" x14ac:dyDescent="0.35">
      <c r="N9639" s="676"/>
    </row>
    <row r="9640" spans="14:14" x14ac:dyDescent="0.35">
      <c r="N9640" s="676"/>
    </row>
    <row r="9641" spans="14:14" x14ac:dyDescent="0.35">
      <c r="N9641" s="676"/>
    </row>
    <row r="9642" spans="14:14" x14ac:dyDescent="0.35">
      <c r="N9642" s="676"/>
    </row>
    <row r="9643" spans="14:14" x14ac:dyDescent="0.35">
      <c r="N9643" s="676"/>
    </row>
    <row r="9644" spans="14:14" x14ac:dyDescent="0.35">
      <c r="N9644" s="676"/>
    </row>
    <row r="9645" spans="14:14" x14ac:dyDescent="0.35">
      <c r="N9645" s="676"/>
    </row>
    <row r="9646" spans="14:14" x14ac:dyDescent="0.35">
      <c r="N9646" s="676"/>
    </row>
    <row r="9647" spans="14:14" x14ac:dyDescent="0.35">
      <c r="N9647" s="676"/>
    </row>
    <row r="9648" spans="14:14" x14ac:dyDescent="0.35">
      <c r="N9648" s="676"/>
    </row>
    <row r="9649" spans="14:14" x14ac:dyDescent="0.35">
      <c r="N9649" s="676"/>
    </row>
    <row r="9650" spans="14:14" x14ac:dyDescent="0.35">
      <c r="N9650" s="676"/>
    </row>
    <row r="9651" spans="14:14" x14ac:dyDescent="0.35">
      <c r="N9651" s="676"/>
    </row>
    <row r="9652" spans="14:14" x14ac:dyDescent="0.35">
      <c r="N9652" s="676"/>
    </row>
    <row r="9653" spans="14:14" x14ac:dyDescent="0.35">
      <c r="N9653" s="676"/>
    </row>
    <row r="9654" spans="14:14" x14ac:dyDescent="0.35">
      <c r="N9654" s="676"/>
    </row>
    <row r="9655" spans="14:14" x14ac:dyDescent="0.35">
      <c r="N9655" s="676"/>
    </row>
    <row r="9656" spans="14:14" x14ac:dyDescent="0.35">
      <c r="N9656" s="676"/>
    </row>
    <row r="9657" spans="14:14" x14ac:dyDescent="0.35">
      <c r="N9657" s="676"/>
    </row>
    <row r="9658" spans="14:14" x14ac:dyDescent="0.35">
      <c r="N9658" s="676"/>
    </row>
    <row r="9659" spans="14:14" x14ac:dyDescent="0.35">
      <c r="N9659" s="676"/>
    </row>
    <row r="9660" spans="14:14" x14ac:dyDescent="0.35">
      <c r="N9660" s="676"/>
    </row>
    <row r="9661" spans="14:14" x14ac:dyDescent="0.35">
      <c r="N9661" s="676"/>
    </row>
    <row r="9662" spans="14:14" x14ac:dyDescent="0.35">
      <c r="N9662" s="676"/>
    </row>
    <row r="9663" spans="14:14" x14ac:dyDescent="0.35">
      <c r="N9663" s="676"/>
    </row>
    <row r="9664" spans="14:14" x14ac:dyDescent="0.35">
      <c r="N9664" s="676"/>
    </row>
    <row r="9665" spans="14:14" x14ac:dyDescent="0.35">
      <c r="N9665" s="676"/>
    </row>
    <row r="9666" spans="14:14" x14ac:dyDescent="0.35">
      <c r="N9666" s="676"/>
    </row>
    <row r="9667" spans="14:14" x14ac:dyDescent="0.35">
      <c r="N9667" s="676"/>
    </row>
    <row r="9668" spans="14:14" x14ac:dyDescent="0.35">
      <c r="N9668" s="676"/>
    </row>
    <row r="9669" spans="14:14" x14ac:dyDescent="0.35">
      <c r="N9669" s="676"/>
    </row>
    <row r="9670" spans="14:14" x14ac:dyDescent="0.35">
      <c r="N9670" s="676"/>
    </row>
    <row r="9671" spans="14:14" x14ac:dyDescent="0.35">
      <c r="N9671" s="676"/>
    </row>
    <row r="9672" spans="14:14" x14ac:dyDescent="0.35">
      <c r="N9672" s="676"/>
    </row>
    <row r="9673" spans="14:14" x14ac:dyDescent="0.35">
      <c r="N9673" s="676"/>
    </row>
    <row r="9674" spans="14:14" x14ac:dyDescent="0.35">
      <c r="N9674" s="676"/>
    </row>
    <row r="9675" spans="14:14" x14ac:dyDescent="0.35">
      <c r="N9675" s="676"/>
    </row>
    <row r="9676" spans="14:14" x14ac:dyDescent="0.35">
      <c r="N9676" s="676"/>
    </row>
    <row r="9677" spans="14:14" x14ac:dyDescent="0.35">
      <c r="N9677" s="676"/>
    </row>
    <row r="9678" spans="14:14" x14ac:dyDescent="0.35">
      <c r="N9678" s="676"/>
    </row>
    <row r="9679" spans="14:14" x14ac:dyDescent="0.35">
      <c r="N9679" s="676"/>
    </row>
    <row r="9680" spans="14:14" x14ac:dyDescent="0.35">
      <c r="N9680" s="676"/>
    </row>
    <row r="9681" spans="14:14" x14ac:dyDescent="0.35">
      <c r="N9681" s="676"/>
    </row>
    <row r="9682" spans="14:14" x14ac:dyDescent="0.35">
      <c r="N9682" s="676"/>
    </row>
    <row r="9683" spans="14:14" x14ac:dyDescent="0.35">
      <c r="N9683" s="676"/>
    </row>
    <row r="9684" spans="14:14" x14ac:dyDescent="0.35">
      <c r="N9684" s="676"/>
    </row>
    <row r="9685" spans="14:14" x14ac:dyDescent="0.35">
      <c r="N9685" s="676"/>
    </row>
    <row r="9686" spans="14:14" x14ac:dyDescent="0.35">
      <c r="N9686" s="676"/>
    </row>
    <row r="9687" spans="14:14" x14ac:dyDescent="0.35">
      <c r="N9687" s="676"/>
    </row>
    <row r="9688" spans="14:14" x14ac:dyDescent="0.35">
      <c r="N9688" s="676"/>
    </row>
    <row r="9689" spans="14:14" x14ac:dyDescent="0.35">
      <c r="N9689" s="676"/>
    </row>
    <row r="9690" spans="14:14" x14ac:dyDescent="0.35">
      <c r="N9690" s="676"/>
    </row>
    <row r="9691" spans="14:14" x14ac:dyDescent="0.35">
      <c r="N9691" s="676"/>
    </row>
    <row r="9692" spans="14:14" x14ac:dyDescent="0.35">
      <c r="N9692" s="676"/>
    </row>
    <row r="9693" spans="14:14" x14ac:dyDescent="0.35">
      <c r="N9693" s="676"/>
    </row>
    <row r="9694" spans="14:14" x14ac:dyDescent="0.35">
      <c r="N9694" s="676"/>
    </row>
    <row r="9695" spans="14:14" x14ac:dyDescent="0.35">
      <c r="N9695" s="676"/>
    </row>
    <row r="9696" spans="14:14" x14ac:dyDescent="0.35">
      <c r="N9696" s="676"/>
    </row>
    <row r="9697" spans="14:14" x14ac:dyDescent="0.35">
      <c r="N9697" s="676"/>
    </row>
    <row r="9698" spans="14:14" x14ac:dyDescent="0.35">
      <c r="N9698" s="676"/>
    </row>
    <row r="9699" spans="14:14" x14ac:dyDescent="0.35">
      <c r="N9699" s="676"/>
    </row>
    <row r="9700" spans="14:14" x14ac:dyDescent="0.35">
      <c r="N9700" s="676"/>
    </row>
    <row r="9701" spans="14:14" x14ac:dyDescent="0.35">
      <c r="N9701" s="676"/>
    </row>
    <row r="9702" spans="14:14" x14ac:dyDescent="0.35">
      <c r="N9702" s="676"/>
    </row>
    <row r="9703" spans="14:14" x14ac:dyDescent="0.35">
      <c r="N9703" s="676"/>
    </row>
    <row r="9704" spans="14:14" x14ac:dyDescent="0.35">
      <c r="N9704" s="676"/>
    </row>
    <row r="9705" spans="14:14" x14ac:dyDescent="0.35">
      <c r="N9705" s="676"/>
    </row>
    <row r="9706" spans="14:14" x14ac:dyDescent="0.35">
      <c r="N9706" s="676"/>
    </row>
    <row r="9707" spans="14:14" x14ac:dyDescent="0.35">
      <c r="N9707" s="676"/>
    </row>
    <row r="9708" spans="14:14" x14ac:dyDescent="0.35">
      <c r="N9708" s="676"/>
    </row>
    <row r="9709" spans="14:14" x14ac:dyDescent="0.35">
      <c r="N9709" s="676"/>
    </row>
    <row r="9710" spans="14:14" x14ac:dyDescent="0.35">
      <c r="N9710" s="676"/>
    </row>
    <row r="9711" spans="14:14" x14ac:dyDescent="0.35">
      <c r="N9711" s="676"/>
    </row>
    <row r="9712" spans="14:14" x14ac:dyDescent="0.35">
      <c r="N9712" s="676"/>
    </row>
    <row r="9713" spans="14:14" x14ac:dyDescent="0.35">
      <c r="N9713" s="676"/>
    </row>
    <row r="9714" spans="14:14" x14ac:dyDescent="0.35">
      <c r="N9714" s="676"/>
    </row>
    <row r="9715" spans="14:14" x14ac:dyDescent="0.35">
      <c r="N9715" s="676"/>
    </row>
    <row r="9716" spans="14:14" x14ac:dyDescent="0.35">
      <c r="N9716" s="676"/>
    </row>
    <row r="9717" spans="14:14" x14ac:dyDescent="0.35">
      <c r="N9717" s="676"/>
    </row>
    <row r="9718" spans="14:14" x14ac:dyDescent="0.35">
      <c r="N9718" s="676"/>
    </row>
    <row r="9719" spans="14:14" x14ac:dyDescent="0.35">
      <c r="N9719" s="676"/>
    </row>
    <row r="9720" spans="14:14" x14ac:dyDescent="0.35">
      <c r="N9720" s="676"/>
    </row>
    <row r="9721" spans="14:14" x14ac:dyDescent="0.35">
      <c r="N9721" s="676"/>
    </row>
    <row r="9722" spans="14:14" x14ac:dyDescent="0.35">
      <c r="N9722" s="676"/>
    </row>
    <row r="9723" spans="14:14" x14ac:dyDescent="0.35">
      <c r="N9723" s="676"/>
    </row>
    <row r="9724" spans="14:14" x14ac:dyDescent="0.35">
      <c r="N9724" s="676"/>
    </row>
    <row r="9725" spans="14:14" x14ac:dyDescent="0.35">
      <c r="N9725" s="676"/>
    </row>
    <row r="9726" spans="14:14" x14ac:dyDescent="0.35">
      <c r="N9726" s="676"/>
    </row>
    <row r="9727" spans="14:14" x14ac:dyDescent="0.35">
      <c r="N9727" s="676"/>
    </row>
    <row r="9728" spans="14:14" x14ac:dyDescent="0.35">
      <c r="N9728" s="676"/>
    </row>
    <row r="9729" spans="14:14" x14ac:dyDescent="0.35">
      <c r="N9729" s="676"/>
    </row>
    <row r="9730" spans="14:14" x14ac:dyDescent="0.35">
      <c r="N9730" s="676"/>
    </row>
    <row r="9731" spans="14:14" x14ac:dyDescent="0.35">
      <c r="N9731" s="676"/>
    </row>
    <row r="9732" spans="14:14" x14ac:dyDescent="0.35">
      <c r="N9732" s="676"/>
    </row>
    <row r="9733" spans="14:14" x14ac:dyDescent="0.35">
      <c r="N9733" s="676"/>
    </row>
    <row r="9734" spans="14:14" x14ac:dyDescent="0.35">
      <c r="N9734" s="676"/>
    </row>
    <row r="9735" spans="14:14" x14ac:dyDescent="0.35">
      <c r="N9735" s="676"/>
    </row>
    <row r="9736" spans="14:14" x14ac:dyDescent="0.35">
      <c r="N9736" s="676"/>
    </row>
    <row r="9737" spans="14:14" x14ac:dyDescent="0.35">
      <c r="N9737" s="676"/>
    </row>
    <row r="9738" spans="14:14" x14ac:dyDescent="0.35">
      <c r="N9738" s="676"/>
    </row>
    <row r="9739" spans="14:14" x14ac:dyDescent="0.35">
      <c r="N9739" s="676"/>
    </row>
    <row r="9740" spans="14:14" x14ac:dyDescent="0.35">
      <c r="N9740" s="676"/>
    </row>
    <row r="9741" spans="14:14" x14ac:dyDescent="0.35">
      <c r="N9741" s="676"/>
    </row>
    <row r="9742" spans="14:14" x14ac:dyDescent="0.35">
      <c r="N9742" s="676"/>
    </row>
    <row r="9743" spans="14:14" x14ac:dyDescent="0.35">
      <c r="N9743" s="676"/>
    </row>
    <row r="9744" spans="14:14" x14ac:dyDescent="0.35">
      <c r="N9744" s="676"/>
    </row>
    <row r="9745" spans="14:14" x14ac:dyDescent="0.35">
      <c r="N9745" s="676"/>
    </row>
    <row r="9746" spans="14:14" x14ac:dyDescent="0.35">
      <c r="N9746" s="676"/>
    </row>
    <row r="9747" spans="14:14" x14ac:dyDescent="0.35">
      <c r="N9747" s="676"/>
    </row>
    <row r="9748" spans="14:14" x14ac:dyDescent="0.35">
      <c r="N9748" s="676"/>
    </row>
    <row r="9749" spans="14:14" x14ac:dyDescent="0.35">
      <c r="N9749" s="676"/>
    </row>
    <row r="9750" spans="14:14" x14ac:dyDescent="0.35">
      <c r="N9750" s="676"/>
    </row>
    <row r="9751" spans="14:14" x14ac:dyDescent="0.35">
      <c r="N9751" s="676"/>
    </row>
    <row r="9752" spans="14:14" x14ac:dyDescent="0.35">
      <c r="N9752" s="676"/>
    </row>
    <row r="9753" spans="14:14" x14ac:dyDescent="0.35">
      <c r="N9753" s="676"/>
    </row>
    <row r="9754" spans="14:14" x14ac:dyDescent="0.35">
      <c r="N9754" s="676"/>
    </row>
    <row r="9755" spans="14:14" x14ac:dyDescent="0.35">
      <c r="N9755" s="676"/>
    </row>
    <row r="9756" spans="14:14" x14ac:dyDescent="0.35">
      <c r="N9756" s="676"/>
    </row>
    <row r="9757" spans="14:14" x14ac:dyDescent="0.35">
      <c r="N9757" s="676"/>
    </row>
    <row r="9758" spans="14:14" x14ac:dyDescent="0.35">
      <c r="N9758" s="676"/>
    </row>
    <row r="9759" spans="14:14" x14ac:dyDescent="0.35">
      <c r="N9759" s="676"/>
    </row>
    <row r="9760" spans="14:14" x14ac:dyDescent="0.35">
      <c r="N9760" s="676"/>
    </row>
    <row r="9761" spans="14:14" x14ac:dyDescent="0.35">
      <c r="N9761" s="676"/>
    </row>
    <row r="9762" spans="14:14" x14ac:dyDescent="0.35">
      <c r="N9762" s="676"/>
    </row>
    <row r="9763" spans="14:14" x14ac:dyDescent="0.35">
      <c r="N9763" s="676"/>
    </row>
    <row r="9764" spans="14:14" x14ac:dyDescent="0.35">
      <c r="N9764" s="676"/>
    </row>
    <row r="9765" spans="14:14" x14ac:dyDescent="0.35">
      <c r="N9765" s="676"/>
    </row>
    <row r="9766" spans="14:14" x14ac:dyDescent="0.35">
      <c r="N9766" s="676"/>
    </row>
    <row r="9767" spans="14:14" x14ac:dyDescent="0.35">
      <c r="N9767" s="676"/>
    </row>
    <row r="9768" spans="14:14" x14ac:dyDescent="0.35">
      <c r="N9768" s="676"/>
    </row>
    <row r="9769" spans="14:14" x14ac:dyDescent="0.35">
      <c r="N9769" s="676"/>
    </row>
    <row r="9770" spans="14:14" x14ac:dyDescent="0.35">
      <c r="N9770" s="676"/>
    </row>
    <row r="9771" spans="14:14" x14ac:dyDescent="0.35">
      <c r="N9771" s="676"/>
    </row>
    <row r="9772" spans="14:14" x14ac:dyDescent="0.35">
      <c r="N9772" s="676"/>
    </row>
    <row r="9773" spans="14:14" x14ac:dyDescent="0.35">
      <c r="N9773" s="676"/>
    </row>
    <row r="9774" spans="14:14" x14ac:dyDescent="0.35">
      <c r="N9774" s="676"/>
    </row>
    <row r="9775" spans="14:14" x14ac:dyDescent="0.35">
      <c r="N9775" s="676"/>
    </row>
    <row r="9776" spans="14:14" x14ac:dyDescent="0.35">
      <c r="N9776" s="676"/>
    </row>
    <row r="9777" spans="14:14" x14ac:dyDescent="0.35">
      <c r="N9777" s="676"/>
    </row>
    <row r="9778" spans="14:14" x14ac:dyDescent="0.35">
      <c r="N9778" s="676"/>
    </row>
    <row r="9779" spans="14:14" x14ac:dyDescent="0.35">
      <c r="N9779" s="676"/>
    </row>
    <row r="9780" spans="14:14" x14ac:dyDescent="0.35">
      <c r="N9780" s="676"/>
    </row>
    <row r="9781" spans="14:14" x14ac:dyDescent="0.35">
      <c r="N9781" s="676"/>
    </row>
    <row r="9782" spans="14:14" x14ac:dyDescent="0.35">
      <c r="N9782" s="676"/>
    </row>
    <row r="9783" spans="14:14" x14ac:dyDescent="0.35">
      <c r="N9783" s="676"/>
    </row>
    <row r="9784" spans="14:14" x14ac:dyDescent="0.35">
      <c r="N9784" s="676"/>
    </row>
    <row r="9785" spans="14:14" x14ac:dyDescent="0.35">
      <c r="N9785" s="676"/>
    </row>
    <row r="9786" spans="14:14" x14ac:dyDescent="0.35">
      <c r="N9786" s="676"/>
    </row>
    <row r="9787" spans="14:14" x14ac:dyDescent="0.35">
      <c r="N9787" s="676"/>
    </row>
    <row r="9788" spans="14:14" x14ac:dyDescent="0.35">
      <c r="N9788" s="676"/>
    </row>
    <row r="9789" spans="14:14" x14ac:dyDescent="0.35">
      <c r="N9789" s="676"/>
    </row>
    <row r="9790" spans="14:14" x14ac:dyDescent="0.35">
      <c r="N9790" s="676"/>
    </row>
    <row r="9791" spans="14:14" x14ac:dyDescent="0.35">
      <c r="N9791" s="676"/>
    </row>
    <row r="9792" spans="14:14" x14ac:dyDescent="0.35">
      <c r="N9792" s="676"/>
    </row>
    <row r="9793" spans="14:14" x14ac:dyDescent="0.35">
      <c r="N9793" s="676"/>
    </row>
    <row r="9794" spans="14:14" x14ac:dyDescent="0.35">
      <c r="N9794" s="676"/>
    </row>
    <row r="9795" spans="14:14" x14ac:dyDescent="0.35">
      <c r="N9795" s="676"/>
    </row>
    <row r="9796" spans="14:14" x14ac:dyDescent="0.35">
      <c r="N9796" s="676"/>
    </row>
    <row r="9797" spans="14:14" x14ac:dyDescent="0.35">
      <c r="N9797" s="676"/>
    </row>
    <row r="9798" spans="14:14" x14ac:dyDescent="0.35">
      <c r="N9798" s="676"/>
    </row>
    <row r="9799" spans="14:14" x14ac:dyDescent="0.35">
      <c r="N9799" s="676"/>
    </row>
    <row r="9800" spans="14:14" x14ac:dyDescent="0.35">
      <c r="N9800" s="676"/>
    </row>
    <row r="9801" spans="14:14" x14ac:dyDescent="0.35">
      <c r="N9801" s="676"/>
    </row>
    <row r="9802" spans="14:14" x14ac:dyDescent="0.35">
      <c r="N9802" s="676"/>
    </row>
    <row r="9803" spans="14:14" x14ac:dyDescent="0.35">
      <c r="N9803" s="676"/>
    </row>
    <row r="9804" spans="14:14" x14ac:dyDescent="0.35">
      <c r="N9804" s="676"/>
    </row>
    <row r="9805" spans="14:14" x14ac:dyDescent="0.35">
      <c r="N9805" s="676"/>
    </row>
    <row r="9806" spans="14:14" x14ac:dyDescent="0.35">
      <c r="N9806" s="676"/>
    </row>
    <row r="9807" spans="14:14" x14ac:dyDescent="0.35">
      <c r="N9807" s="676"/>
    </row>
    <row r="9808" spans="14:14" x14ac:dyDescent="0.35">
      <c r="N9808" s="676"/>
    </row>
    <row r="9809" spans="14:14" x14ac:dyDescent="0.35">
      <c r="N9809" s="676"/>
    </row>
    <row r="9810" spans="14:14" x14ac:dyDescent="0.35">
      <c r="N9810" s="676"/>
    </row>
    <row r="9811" spans="14:14" x14ac:dyDescent="0.35">
      <c r="N9811" s="676"/>
    </row>
    <row r="9812" spans="14:14" x14ac:dyDescent="0.35">
      <c r="N9812" s="676"/>
    </row>
    <row r="9813" spans="14:14" x14ac:dyDescent="0.35">
      <c r="N9813" s="676"/>
    </row>
    <row r="9814" spans="14:14" x14ac:dyDescent="0.35">
      <c r="N9814" s="676"/>
    </row>
    <row r="9815" spans="14:14" x14ac:dyDescent="0.35">
      <c r="N9815" s="676"/>
    </row>
    <row r="9816" spans="14:14" x14ac:dyDescent="0.35">
      <c r="N9816" s="676"/>
    </row>
    <row r="9817" spans="14:14" x14ac:dyDescent="0.35">
      <c r="N9817" s="676"/>
    </row>
    <row r="9818" spans="14:14" x14ac:dyDescent="0.35">
      <c r="N9818" s="676"/>
    </row>
    <row r="9819" spans="14:14" x14ac:dyDescent="0.35">
      <c r="N9819" s="676"/>
    </row>
    <row r="9820" spans="14:14" x14ac:dyDescent="0.35">
      <c r="N9820" s="676"/>
    </row>
    <row r="9821" spans="14:14" x14ac:dyDescent="0.35">
      <c r="N9821" s="676"/>
    </row>
    <row r="9822" spans="14:14" x14ac:dyDescent="0.35">
      <c r="N9822" s="676"/>
    </row>
    <row r="9823" spans="14:14" x14ac:dyDescent="0.35">
      <c r="N9823" s="676"/>
    </row>
    <row r="9824" spans="14:14" x14ac:dyDescent="0.35">
      <c r="N9824" s="676"/>
    </row>
    <row r="9825" spans="14:14" x14ac:dyDescent="0.35">
      <c r="N9825" s="676"/>
    </row>
    <row r="9826" spans="14:14" x14ac:dyDescent="0.35">
      <c r="N9826" s="676"/>
    </row>
    <row r="9827" spans="14:14" x14ac:dyDescent="0.35">
      <c r="N9827" s="676"/>
    </row>
    <row r="9828" spans="14:14" x14ac:dyDescent="0.35">
      <c r="N9828" s="676"/>
    </row>
    <row r="9829" spans="14:14" x14ac:dyDescent="0.35">
      <c r="N9829" s="676"/>
    </row>
    <row r="9830" spans="14:14" x14ac:dyDescent="0.35">
      <c r="N9830" s="676"/>
    </row>
    <row r="9831" spans="14:14" x14ac:dyDescent="0.35">
      <c r="N9831" s="676"/>
    </row>
    <row r="9832" spans="14:14" x14ac:dyDescent="0.35">
      <c r="N9832" s="676"/>
    </row>
    <row r="9833" spans="14:14" x14ac:dyDescent="0.35">
      <c r="N9833" s="676"/>
    </row>
    <row r="9834" spans="14:14" x14ac:dyDescent="0.35">
      <c r="N9834" s="676"/>
    </row>
    <row r="9835" spans="14:14" x14ac:dyDescent="0.35">
      <c r="N9835" s="676"/>
    </row>
    <row r="9836" spans="14:14" x14ac:dyDescent="0.35">
      <c r="N9836" s="676"/>
    </row>
    <row r="9837" spans="14:14" x14ac:dyDescent="0.35">
      <c r="N9837" s="676"/>
    </row>
    <row r="9838" spans="14:14" x14ac:dyDescent="0.35">
      <c r="N9838" s="676"/>
    </row>
    <row r="9839" spans="14:14" x14ac:dyDescent="0.35">
      <c r="N9839" s="676"/>
    </row>
    <row r="9840" spans="14:14" x14ac:dyDescent="0.35">
      <c r="N9840" s="676"/>
    </row>
    <row r="9841" spans="14:14" x14ac:dyDescent="0.35">
      <c r="N9841" s="676"/>
    </row>
    <row r="9842" spans="14:14" x14ac:dyDescent="0.35">
      <c r="N9842" s="676"/>
    </row>
    <row r="9843" spans="14:14" x14ac:dyDescent="0.35">
      <c r="N9843" s="676"/>
    </row>
    <row r="9844" spans="14:14" x14ac:dyDescent="0.35">
      <c r="N9844" s="676"/>
    </row>
    <row r="9845" spans="14:14" x14ac:dyDescent="0.35">
      <c r="N9845" s="676"/>
    </row>
    <row r="9846" spans="14:14" x14ac:dyDescent="0.35">
      <c r="N9846" s="676"/>
    </row>
    <row r="9847" spans="14:14" x14ac:dyDescent="0.35">
      <c r="N9847" s="676"/>
    </row>
    <row r="9848" spans="14:14" x14ac:dyDescent="0.35">
      <c r="N9848" s="676"/>
    </row>
    <row r="9849" spans="14:14" x14ac:dyDescent="0.35">
      <c r="N9849" s="676"/>
    </row>
    <row r="9850" spans="14:14" x14ac:dyDescent="0.35">
      <c r="N9850" s="676"/>
    </row>
    <row r="9851" spans="14:14" x14ac:dyDescent="0.35">
      <c r="N9851" s="676"/>
    </row>
    <row r="9852" spans="14:14" x14ac:dyDescent="0.35">
      <c r="N9852" s="676"/>
    </row>
    <row r="9853" spans="14:14" x14ac:dyDescent="0.35">
      <c r="N9853" s="676"/>
    </row>
    <row r="9854" spans="14:14" x14ac:dyDescent="0.35">
      <c r="N9854" s="676"/>
    </row>
    <row r="9855" spans="14:14" x14ac:dyDescent="0.35">
      <c r="N9855" s="676"/>
    </row>
    <row r="9856" spans="14:14" x14ac:dyDescent="0.35">
      <c r="N9856" s="676"/>
    </row>
    <row r="9857" spans="14:14" x14ac:dyDescent="0.35">
      <c r="N9857" s="676"/>
    </row>
    <row r="9858" spans="14:14" x14ac:dyDescent="0.35">
      <c r="N9858" s="676"/>
    </row>
    <row r="9859" spans="14:14" x14ac:dyDescent="0.35">
      <c r="N9859" s="676"/>
    </row>
    <row r="9860" spans="14:14" x14ac:dyDescent="0.35">
      <c r="N9860" s="676"/>
    </row>
    <row r="9861" spans="14:14" x14ac:dyDescent="0.35">
      <c r="N9861" s="676"/>
    </row>
    <row r="9862" spans="14:14" x14ac:dyDescent="0.35">
      <c r="N9862" s="676"/>
    </row>
    <row r="9863" spans="14:14" x14ac:dyDescent="0.35">
      <c r="N9863" s="676"/>
    </row>
    <row r="9864" spans="14:14" x14ac:dyDescent="0.35">
      <c r="N9864" s="676"/>
    </row>
    <row r="9865" spans="14:14" x14ac:dyDescent="0.35">
      <c r="N9865" s="676"/>
    </row>
    <row r="9866" spans="14:14" x14ac:dyDescent="0.35">
      <c r="N9866" s="676"/>
    </row>
    <row r="9867" spans="14:14" x14ac:dyDescent="0.35">
      <c r="N9867" s="676"/>
    </row>
    <row r="9868" spans="14:14" x14ac:dyDescent="0.35">
      <c r="N9868" s="676"/>
    </row>
    <row r="9869" spans="14:14" x14ac:dyDescent="0.35">
      <c r="N9869" s="676"/>
    </row>
    <row r="9870" spans="14:14" x14ac:dyDescent="0.35">
      <c r="N9870" s="676"/>
    </row>
    <row r="9871" spans="14:14" x14ac:dyDescent="0.35">
      <c r="N9871" s="676"/>
    </row>
    <row r="9872" spans="14:14" x14ac:dyDescent="0.35">
      <c r="N9872" s="676"/>
    </row>
    <row r="9873" spans="14:14" x14ac:dyDescent="0.35">
      <c r="N9873" s="676"/>
    </row>
    <row r="9874" spans="14:14" x14ac:dyDescent="0.35">
      <c r="N9874" s="676"/>
    </row>
    <row r="9875" spans="14:14" x14ac:dyDescent="0.35">
      <c r="N9875" s="676"/>
    </row>
    <row r="9876" spans="14:14" x14ac:dyDescent="0.35">
      <c r="N9876" s="676"/>
    </row>
    <row r="9877" spans="14:14" x14ac:dyDescent="0.35">
      <c r="N9877" s="676"/>
    </row>
    <row r="9878" spans="14:14" x14ac:dyDescent="0.35">
      <c r="N9878" s="676"/>
    </row>
    <row r="9879" spans="14:14" x14ac:dyDescent="0.35">
      <c r="N9879" s="676"/>
    </row>
    <row r="9880" spans="14:14" x14ac:dyDescent="0.35">
      <c r="N9880" s="676"/>
    </row>
    <row r="9881" spans="14:14" x14ac:dyDescent="0.35">
      <c r="N9881" s="676"/>
    </row>
    <row r="9882" spans="14:14" x14ac:dyDescent="0.35">
      <c r="N9882" s="676"/>
    </row>
    <row r="9883" spans="14:14" x14ac:dyDescent="0.35">
      <c r="N9883" s="676"/>
    </row>
    <row r="9884" spans="14:14" x14ac:dyDescent="0.35">
      <c r="N9884" s="676"/>
    </row>
    <row r="9885" spans="14:14" x14ac:dyDescent="0.35">
      <c r="N9885" s="676"/>
    </row>
    <row r="9886" spans="14:14" x14ac:dyDescent="0.35">
      <c r="N9886" s="676"/>
    </row>
    <row r="9887" spans="14:14" x14ac:dyDescent="0.35">
      <c r="N9887" s="676"/>
    </row>
    <row r="9888" spans="14:14" x14ac:dyDescent="0.35">
      <c r="N9888" s="676"/>
    </row>
    <row r="9889" spans="14:14" x14ac:dyDescent="0.35">
      <c r="N9889" s="676"/>
    </row>
    <row r="9890" spans="14:14" x14ac:dyDescent="0.35">
      <c r="N9890" s="676"/>
    </row>
    <row r="9891" spans="14:14" x14ac:dyDescent="0.35">
      <c r="N9891" s="676"/>
    </row>
    <row r="9892" spans="14:14" x14ac:dyDescent="0.35">
      <c r="N9892" s="676"/>
    </row>
    <row r="9893" spans="14:14" x14ac:dyDescent="0.35">
      <c r="N9893" s="676"/>
    </row>
    <row r="9894" spans="14:14" x14ac:dyDescent="0.35">
      <c r="N9894" s="676"/>
    </row>
    <row r="9895" spans="14:14" x14ac:dyDescent="0.35">
      <c r="N9895" s="676"/>
    </row>
    <row r="9896" spans="14:14" x14ac:dyDescent="0.35">
      <c r="N9896" s="676"/>
    </row>
    <row r="9897" spans="14:14" x14ac:dyDescent="0.35">
      <c r="N9897" s="676"/>
    </row>
    <row r="9898" spans="14:14" x14ac:dyDescent="0.35">
      <c r="N9898" s="676"/>
    </row>
    <row r="9899" spans="14:14" x14ac:dyDescent="0.35">
      <c r="N9899" s="676"/>
    </row>
    <row r="9900" spans="14:14" x14ac:dyDescent="0.35">
      <c r="N9900" s="676"/>
    </row>
    <row r="9901" spans="14:14" x14ac:dyDescent="0.35">
      <c r="N9901" s="676"/>
    </row>
    <row r="9902" spans="14:14" x14ac:dyDescent="0.35">
      <c r="N9902" s="676"/>
    </row>
    <row r="9903" spans="14:14" x14ac:dyDescent="0.35">
      <c r="N9903" s="676"/>
    </row>
    <row r="9904" spans="14:14" x14ac:dyDescent="0.35">
      <c r="N9904" s="676"/>
    </row>
    <row r="9905" spans="14:14" x14ac:dyDescent="0.35">
      <c r="N9905" s="676"/>
    </row>
    <row r="9906" spans="14:14" x14ac:dyDescent="0.35">
      <c r="N9906" s="676"/>
    </row>
    <row r="9907" spans="14:14" x14ac:dyDescent="0.35">
      <c r="N9907" s="676"/>
    </row>
    <row r="9908" spans="14:14" x14ac:dyDescent="0.35">
      <c r="N9908" s="676"/>
    </row>
    <row r="9909" spans="14:14" x14ac:dyDescent="0.35">
      <c r="N9909" s="676"/>
    </row>
    <row r="9910" spans="14:14" x14ac:dyDescent="0.35">
      <c r="N9910" s="676"/>
    </row>
    <row r="9911" spans="14:14" x14ac:dyDescent="0.35">
      <c r="N9911" s="676"/>
    </row>
    <row r="9912" spans="14:14" x14ac:dyDescent="0.35">
      <c r="N9912" s="676"/>
    </row>
    <row r="9913" spans="14:14" x14ac:dyDescent="0.35">
      <c r="N9913" s="676"/>
    </row>
    <row r="9914" spans="14:14" x14ac:dyDescent="0.35">
      <c r="N9914" s="676"/>
    </row>
    <row r="9915" spans="14:14" x14ac:dyDescent="0.35">
      <c r="N9915" s="676"/>
    </row>
    <row r="9916" spans="14:14" x14ac:dyDescent="0.35">
      <c r="N9916" s="676"/>
    </row>
    <row r="9917" spans="14:14" x14ac:dyDescent="0.35">
      <c r="N9917" s="676"/>
    </row>
    <row r="9918" spans="14:14" x14ac:dyDescent="0.35">
      <c r="N9918" s="676"/>
    </row>
    <row r="9919" spans="14:14" x14ac:dyDescent="0.35">
      <c r="N9919" s="676"/>
    </row>
    <row r="9920" spans="14:14" x14ac:dyDescent="0.35">
      <c r="N9920" s="676"/>
    </row>
    <row r="9921" spans="14:14" x14ac:dyDescent="0.35">
      <c r="N9921" s="676"/>
    </row>
    <row r="9922" spans="14:14" x14ac:dyDescent="0.35">
      <c r="N9922" s="676"/>
    </row>
    <row r="9923" spans="14:14" x14ac:dyDescent="0.35">
      <c r="N9923" s="676"/>
    </row>
    <row r="9924" spans="14:14" x14ac:dyDescent="0.35">
      <c r="N9924" s="676"/>
    </row>
    <row r="9925" spans="14:14" x14ac:dyDescent="0.35">
      <c r="N9925" s="676"/>
    </row>
    <row r="9926" spans="14:14" x14ac:dyDescent="0.35">
      <c r="N9926" s="676"/>
    </row>
    <row r="9927" spans="14:14" x14ac:dyDescent="0.35">
      <c r="N9927" s="676"/>
    </row>
    <row r="9928" spans="14:14" x14ac:dyDescent="0.35">
      <c r="N9928" s="676"/>
    </row>
    <row r="9929" spans="14:14" x14ac:dyDescent="0.35">
      <c r="N9929" s="676"/>
    </row>
    <row r="9930" spans="14:14" x14ac:dyDescent="0.35">
      <c r="N9930" s="676"/>
    </row>
    <row r="9931" spans="14:14" x14ac:dyDescent="0.35">
      <c r="N9931" s="676"/>
    </row>
    <row r="9932" spans="14:14" x14ac:dyDescent="0.35">
      <c r="N9932" s="676"/>
    </row>
    <row r="9933" spans="14:14" x14ac:dyDescent="0.35">
      <c r="N9933" s="676"/>
    </row>
    <row r="9934" spans="14:14" x14ac:dyDescent="0.35">
      <c r="N9934" s="676"/>
    </row>
    <row r="9935" spans="14:14" x14ac:dyDescent="0.35">
      <c r="N9935" s="676"/>
    </row>
    <row r="9936" spans="14:14" x14ac:dyDescent="0.35">
      <c r="N9936" s="676"/>
    </row>
    <row r="9937" spans="14:14" x14ac:dyDescent="0.35">
      <c r="N9937" s="676"/>
    </row>
    <row r="9938" spans="14:14" x14ac:dyDescent="0.35">
      <c r="N9938" s="676"/>
    </row>
    <row r="9939" spans="14:14" x14ac:dyDescent="0.35">
      <c r="N9939" s="676"/>
    </row>
    <row r="9940" spans="14:14" x14ac:dyDescent="0.35">
      <c r="N9940" s="676"/>
    </row>
    <row r="9941" spans="14:14" x14ac:dyDescent="0.35">
      <c r="N9941" s="676"/>
    </row>
    <row r="9942" spans="14:14" x14ac:dyDescent="0.35">
      <c r="N9942" s="676"/>
    </row>
    <row r="9943" spans="14:14" x14ac:dyDescent="0.35">
      <c r="N9943" s="676"/>
    </row>
    <row r="9944" spans="14:14" x14ac:dyDescent="0.35">
      <c r="N9944" s="676"/>
    </row>
    <row r="9945" spans="14:14" x14ac:dyDescent="0.35">
      <c r="N9945" s="676"/>
    </row>
    <row r="9946" spans="14:14" x14ac:dyDescent="0.35">
      <c r="N9946" s="676"/>
    </row>
    <row r="9947" spans="14:14" x14ac:dyDescent="0.35">
      <c r="N9947" s="676"/>
    </row>
    <row r="9948" spans="14:14" x14ac:dyDescent="0.35">
      <c r="N9948" s="676"/>
    </row>
    <row r="9949" spans="14:14" x14ac:dyDescent="0.35">
      <c r="N9949" s="676"/>
    </row>
    <row r="9950" spans="14:14" x14ac:dyDescent="0.35">
      <c r="N9950" s="676"/>
    </row>
    <row r="9951" spans="14:14" x14ac:dyDescent="0.35">
      <c r="N9951" s="676"/>
    </row>
    <row r="9952" spans="14:14" x14ac:dyDescent="0.35">
      <c r="N9952" s="676"/>
    </row>
    <row r="9953" spans="14:14" x14ac:dyDescent="0.35">
      <c r="N9953" s="676"/>
    </row>
    <row r="9954" spans="14:14" x14ac:dyDescent="0.35">
      <c r="N9954" s="676"/>
    </row>
    <row r="9955" spans="14:14" x14ac:dyDescent="0.35">
      <c r="N9955" s="676"/>
    </row>
    <row r="9956" spans="14:14" x14ac:dyDescent="0.35">
      <c r="N9956" s="676"/>
    </row>
    <row r="9957" spans="14:14" x14ac:dyDescent="0.35">
      <c r="N9957" s="676"/>
    </row>
    <row r="9958" spans="14:14" x14ac:dyDescent="0.35">
      <c r="N9958" s="676"/>
    </row>
    <row r="9959" spans="14:14" x14ac:dyDescent="0.35">
      <c r="N9959" s="676"/>
    </row>
    <row r="9960" spans="14:14" x14ac:dyDescent="0.35">
      <c r="N9960" s="676"/>
    </row>
    <row r="9961" spans="14:14" x14ac:dyDescent="0.35">
      <c r="N9961" s="676"/>
    </row>
    <row r="9962" spans="14:14" x14ac:dyDescent="0.35">
      <c r="N9962" s="676"/>
    </row>
    <row r="9963" spans="14:14" x14ac:dyDescent="0.35">
      <c r="N9963" s="676"/>
    </row>
    <row r="9964" spans="14:14" x14ac:dyDescent="0.35">
      <c r="N9964" s="676"/>
    </row>
    <row r="9965" spans="14:14" x14ac:dyDescent="0.35">
      <c r="N9965" s="676"/>
    </row>
    <row r="9966" spans="14:14" x14ac:dyDescent="0.35">
      <c r="N9966" s="676"/>
    </row>
    <row r="9967" spans="14:14" x14ac:dyDescent="0.35">
      <c r="N9967" s="676"/>
    </row>
    <row r="9968" spans="14:14" x14ac:dyDescent="0.35">
      <c r="N9968" s="676"/>
    </row>
    <row r="9969" spans="14:14" x14ac:dyDescent="0.35">
      <c r="N9969" s="676"/>
    </row>
    <row r="9970" spans="14:14" x14ac:dyDescent="0.35">
      <c r="N9970" s="676"/>
    </row>
    <row r="9971" spans="14:14" x14ac:dyDescent="0.35">
      <c r="N9971" s="676"/>
    </row>
    <row r="9972" spans="14:14" x14ac:dyDescent="0.35">
      <c r="N9972" s="676"/>
    </row>
    <row r="9973" spans="14:14" x14ac:dyDescent="0.35">
      <c r="N9973" s="676"/>
    </row>
    <row r="9974" spans="14:14" x14ac:dyDescent="0.35">
      <c r="N9974" s="676"/>
    </row>
    <row r="9975" spans="14:14" x14ac:dyDescent="0.35">
      <c r="N9975" s="676"/>
    </row>
    <row r="9976" spans="14:14" x14ac:dyDescent="0.35">
      <c r="N9976" s="676"/>
    </row>
    <row r="9977" spans="14:14" x14ac:dyDescent="0.35">
      <c r="N9977" s="676"/>
    </row>
    <row r="9978" spans="14:14" x14ac:dyDescent="0.35">
      <c r="N9978" s="676"/>
    </row>
    <row r="9979" spans="14:14" x14ac:dyDescent="0.35">
      <c r="N9979" s="676"/>
    </row>
    <row r="9980" spans="14:14" x14ac:dyDescent="0.35">
      <c r="N9980" s="676"/>
    </row>
    <row r="9981" spans="14:14" x14ac:dyDescent="0.35">
      <c r="N9981" s="676"/>
    </row>
    <row r="9982" spans="14:14" x14ac:dyDescent="0.35">
      <c r="N9982" s="676"/>
    </row>
    <row r="9983" spans="14:14" x14ac:dyDescent="0.35">
      <c r="N9983" s="676"/>
    </row>
    <row r="9984" spans="14:14" x14ac:dyDescent="0.35">
      <c r="N9984" s="676"/>
    </row>
    <row r="9985" spans="14:14" x14ac:dyDescent="0.35">
      <c r="N9985" s="676"/>
    </row>
    <row r="9986" spans="14:14" x14ac:dyDescent="0.35">
      <c r="N9986" s="676"/>
    </row>
    <row r="9987" spans="14:14" x14ac:dyDescent="0.35">
      <c r="N9987" s="676"/>
    </row>
    <row r="9988" spans="14:14" x14ac:dyDescent="0.35">
      <c r="N9988" s="676"/>
    </row>
    <row r="9989" spans="14:14" x14ac:dyDescent="0.35">
      <c r="N9989" s="676"/>
    </row>
    <row r="9990" spans="14:14" x14ac:dyDescent="0.35">
      <c r="N9990" s="676"/>
    </row>
    <row r="9991" spans="14:14" x14ac:dyDescent="0.35">
      <c r="N9991" s="676"/>
    </row>
    <row r="9992" spans="14:14" x14ac:dyDescent="0.35">
      <c r="N9992" s="676"/>
    </row>
    <row r="9993" spans="14:14" x14ac:dyDescent="0.35">
      <c r="N9993" s="676"/>
    </row>
    <row r="9994" spans="14:14" x14ac:dyDescent="0.35">
      <c r="N9994" s="676"/>
    </row>
    <row r="9995" spans="14:14" x14ac:dyDescent="0.35">
      <c r="N9995" s="676"/>
    </row>
    <row r="9996" spans="14:14" x14ac:dyDescent="0.35">
      <c r="N9996" s="676"/>
    </row>
    <row r="9997" spans="14:14" x14ac:dyDescent="0.35">
      <c r="N9997" s="676"/>
    </row>
    <row r="9998" spans="14:14" x14ac:dyDescent="0.35">
      <c r="N9998" s="676"/>
    </row>
    <row r="9999" spans="14:14" x14ac:dyDescent="0.35">
      <c r="N9999" s="676"/>
    </row>
    <row r="10000" spans="14:14" x14ac:dyDescent="0.35">
      <c r="N10000" s="676"/>
    </row>
    <row r="10001" spans="14:14" x14ac:dyDescent="0.35">
      <c r="N10001" s="676"/>
    </row>
    <row r="10002" spans="14:14" x14ac:dyDescent="0.35">
      <c r="N10002" s="676"/>
    </row>
    <row r="10003" spans="14:14" x14ac:dyDescent="0.35">
      <c r="N10003" s="676"/>
    </row>
    <row r="10004" spans="14:14" x14ac:dyDescent="0.35">
      <c r="N10004" s="676"/>
    </row>
    <row r="10005" spans="14:14" x14ac:dyDescent="0.35">
      <c r="N10005" s="676"/>
    </row>
    <row r="10006" spans="14:14" x14ac:dyDescent="0.35">
      <c r="N10006" s="676"/>
    </row>
    <row r="10007" spans="14:14" x14ac:dyDescent="0.35">
      <c r="N10007" s="676"/>
    </row>
    <row r="10008" spans="14:14" x14ac:dyDescent="0.35">
      <c r="N10008" s="676"/>
    </row>
    <row r="10009" spans="14:14" x14ac:dyDescent="0.35">
      <c r="N10009" s="676"/>
    </row>
    <row r="10010" spans="14:14" x14ac:dyDescent="0.35">
      <c r="N10010" s="676"/>
    </row>
    <row r="10011" spans="14:14" x14ac:dyDescent="0.35">
      <c r="N10011" s="676"/>
    </row>
    <row r="10012" spans="14:14" x14ac:dyDescent="0.35">
      <c r="N10012" s="676"/>
    </row>
    <row r="10013" spans="14:14" x14ac:dyDescent="0.35">
      <c r="N10013" s="676"/>
    </row>
    <row r="10014" spans="14:14" x14ac:dyDescent="0.35">
      <c r="N10014" s="676"/>
    </row>
    <row r="10015" spans="14:14" x14ac:dyDescent="0.35">
      <c r="N10015" s="676"/>
    </row>
    <row r="10016" spans="14:14" x14ac:dyDescent="0.35">
      <c r="N10016" s="676"/>
    </row>
    <row r="10017" spans="14:14" x14ac:dyDescent="0.35">
      <c r="N10017" s="676"/>
    </row>
    <row r="10018" spans="14:14" x14ac:dyDescent="0.35">
      <c r="N10018" s="676"/>
    </row>
    <row r="10019" spans="14:14" x14ac:dyDescent="0.35">
      <c r="N10019" s="676"/>
    </row>
    <row r="10020" spans="14:14" x14ac:dyDescent="0.35">
      <c r="N10020" s="676"/>
    </row>
    <row r="10021" spans="14:14" x14ac:dyDescent="0.35">
      <c r="N10021" s="676"/>
    </row>
    <row r="10022" spans="14:14" x14ac:dyDescent="0.35">
      <c r="N10022" s="676"/>
    </row>
    <row r="10023" spans="14:14" x14ac:dyDescent="0.35">
      <c r="N10023" s="676"/>
    </row>
    <row r="10024" spans="14:14" x14ac:dyDescent="0.35">
      <c r="N10024" s="676"/>
    </row>
    <row r="10025" spans="14:14" x14ac:dyDescent="0.35">
      <c r="N10025" s="676"/>
    </row>
    <row r="10026" spans="14:14" x14ac:dyDescent="0.35">
      <c r="N10026" s="676"/>
    </row>
    <row r="10027" spans="14:14" x14ac:dyDescent="0.35">
      <c r="N10027" s="676"/>
    </row>
    <row r="10028" spans="14:14" x14ac:dyDescent="0.35">
      <c r="N10028" s="676"/>
    </row>
    <row r="10029" spans="14:14" x14ac:dyDescent="0.35">
      <c r="N10029" s="676"/>
    </row>
    <row r="10030" spans="14:14" x14ac:dyDescent="0.35">
      <c r="N10030" s="676"/>
    </row>
    <row r="10031" spans="14:14" x14ac:dyDescent="0.35">
      <c r="N10031" s="676"/>
    </row>
    <row r="10032" spans="14:14" x14ac:dyDescent="0.35">
      <c r="N10032" s="676"/>
    </row>
    <row r="10033" spans="14:14" x14ac:dyDescent="0.35">
      <c r="N10033" s="676"/>
    </row>
    <row r="10034" spans="14:14" x14ac:dyDescent="0.35">
      <c r="N10034" s="676"/>
    </row>
    <row r="10035" spans="14:14" x14ac:dyDescent="0.35">
      <c r="N10035" s="676"/>
    </row>
    <row r="10036" spans="14:14" x14ac:dyDescent="0.35">
      <c r="N10036" s="676"/>
    </row>
    <row r="10037" spans="14:14" x14ac:dyDescent="0.35">
      <c r="N10037" s="676"/>
    </row>
    <row r="10038" spans="14:14" x14ac:dyDescent="0.35">
      <c r="N10038" s="676"/>
    </row>
    <row r="10039" spans="14:14" x14ac:dyDescent="0.35">
      <c r="N10039" s="676"/>
    </row>
    <row r="10040" spans="14:14" x14ac:dyDescent="0.35">
      <c r="N10040" s="676"/>
    </row>
    <row r="10041" spans="14:14" x14ac:dyDescent="0.35">
      <c r="N10041" s="676"/>
    </row>
    <row r="10042" spans="14:14" x14ac:dyDescent="0.35">
      <c r="N10042" s="676"/>
    </row>
    <row r="10043" spans="14:14" x14ac:dyDescent="0.35">
      <c r="N10043" s="676"/>
    </row>
    <row r="10044" spans="14:14" x14ac:dyDescent="0.35">
      <c r="N10044" s="676"/>
    </row>
    <row r="10045" spans="14:14" x14ac:dyDescent="0.35">
      <c r="N10045" s="676"/>
    </row>
    <row r="10046" spans="14:14" x14ac:dyDescent="0.35">
      <c r="N10046" s="676"/>
    </row>
    <row r="10047" spans="14:14" x14ac:dyDescent="0.35">
      <c r="N10047" s="676"/>
    </row>
    <row r="10048" spans="14:14" x14ac:dyDescent="0.35">
      <c r="N10048" s="676"/>
    </row>
    <row r="10049" spans="14:14" x14ac:dyDescent="0.35">
      <c r="N10049" s="676"/>
    </row>
    <row r="10050" spans="14:14" x14ac:dyDescent="0.35">
      <c r="N10050" s="676"/>
    </row>
    <row r="10051" spans="14:14" x14ac:dyDescent="0.35">
      <c r="N10051" s="676"/>
    </row>
    <row r="10052" spans="14:14" x14ac:dyDescent="0.35">
      <c r="N10052" s="676"/>
    </row>
    <row r="10053" spans="14:14" x14ac:dyDescent="0.35">
      <c r="N10053" s="676"/>
    </row>
    <row r="10054" spans="14:14" x14ac:dyDescent="0.35">
      <c r="N10054" s="676"/>
    </row>
    <row r="10055" spans="14:14" x14ac:dyDescent="0.35">
      <c r="N10055" s="676"/>
    </row>
    <row r="10056" spans="14:14" x14ac:dyDescent="0.35">
      <c r="N10056" s="676"/>
    </row>
    <row r="10057" spans="14:14" x14ac:dyDescent="0.35">
      <c r="N10057" s="676"/>
    </row>
    <row r="10058" spans="14:14" x14ac:dyDescent="0.35">
      <c r="N10058" s="676"/>
    </row>
    <row r="10059" spans="14:14" x14ac:dyDescent="0.35">
      <c r="N10059" s="676"/>
    </row>
    <row r="10060" spans="14:14" x14ac:dyDescent="0.35">
      <c r="N10060" s="676"/>
    </row>
    <row r="10061" spans="14:14" x14ac:dyDescent="0.35">
      <c r="N10061" s="676"/>
    </row>
    <row r="10062" spans="14:14" x14ac:dyDescent="0.35">
      <c r="N10062" s="676"/>
    </row>
    <row r="10063" spans="14:14" x14ac:dyDescent="0.35">
      <c r="N10063" s="676"/>
    </row>
    <row r="10064" spans="14:14" x14ac:dyDescent="0.35">
      <c r="N10064" s="676"/>
    </row>
    <row r="10065" spans="14:14" x14ac:dyDescent="0.35">
      <c r="N10065" s="676"/>
    </row>
    <row r="10066" spans="14:14" x14ac:dyDescent="0.35">
      <c r="N10066" s="676"/>
    </row>
    <row r="10067" spans="14:14" x14ac:dyDescent="0.35">
      <c r="N10067" s="676"/>
    </row>
    <row r="10068" spans="14:14" x14ac:dyDescent="0.35">
      <c r="N10068" s="676"/>
    </row>
    <row r="10069" spans="14:14" x14ac:dyDescent="0.35">
      <c r="N10069" s="676"/>
    </row>
    <row r="10070" spans="14:14" x14ac:dyDescent="0.35">
      <c r="N10070" s="676"/>
    </row>
    <row r="10071" spans="14:14" x14ac:dyDescent="0.35">
      <c r="N10071" s="676"/>
    </row>
    <row r="10072" spans="14:14" x14ac:dyDescent="0.35">
      <c r="N10072" s="676"/>
    </row>
    <row r="10073" spans="14:14" x14ac:dyDescent="0.35">
      <c r="N10073" s="676"/>
    </row>
    <row r="10074" spans="14:14" x14ac:dyDescent="0.35">
      <c r="N10074" s="676"/>
    </row>
    <row r="10075" spans="14:14" x14ac:dyDescent="0.35">
      <c r="N10075" s="676"/>
    </row>
    <row r="10076" spans="14:14" x14ac:dyDescent="0.35">
      <c r="N10076" s="676"/>
    </row>
    <row r="10077" spans="14:14" x14ac:dyDescent="0.35">
      <c r="N10077" s="676"/>
    </row>
    <row r="10078" spans="14:14" x14ac:dyDescent="0.35">
      <c r="N10078" s="676"/>
    </row>
    <row r="10079" spans="14:14" x14ac:dyDescent="0.35">
      <c r="N10079" s="676"/>
    </row>
    <row r="10080" spans="14:14" x14ac:dyDescent="0.35">
      <c r="N10080" s="676"/>
    </row>
    <row r="10081" spans="14:14" x14ac:dyDescent="0.35">
      <c r="N10081" s="676"/>
    </row>
    <row r="10082" spans="14:14" x14ac:dyDescent="0.35">
      <c r="N10082" s="676"/>
    </row>
    <row r="10083" spans="14:14" x14ac:dyDescent="0.35">
      <c r="N10083" s="676"/>
    </row>
    <row r="10084" spans="14:14" x14ac:dyDescent="0.35">
      <c r="N10084" s="676"/>
    </row>
    <row r="10085" spans="14:14" x14ac:dyDescent="0.35">
      <c r="N10085" s="676"/>
    </row>
    <row r="10086" spans="14:14" x14ac:dyDescent="0.35">
      <c r="N10086" s="676"/>
    </row>
    <row r="10087" spans="14:14" x14ac:dyDescent="0.35">
      <c r="N10087" s="676"/>
    </row>
    <row r="10088" spans="14:14" x14ac:dyDescent="0.35">
      <c r="N10088" s="676"/>
    </row>
    <row r="10089" spans="14:14" x14ac:dyDescent="0.35">
      <c r="N10089" s="676"/>
    </row>
    <row r="10090" spans="14:14" x14ac:dyDescent="0.35">
      <c r="N10090" s="676"/>
    </row>
    <row r="10091" spans="14:14" x14ac:dyDescent="0.35">
      <c r="N10091" s="676"/>
    </row>
    <row r="10092" spans="14:14" x14ac:dyDescent="0.35">
      <c r="N10092" s="676"/>
    </row>
    <row r="10093" spans="14:14" x14ac:dyDescent="0.35">
      <c r="N10093" s="676"/>
    </row>
    <row r="10094" spans="14:14" x14ac:dyDescent="0.35">
      <c r="N10094" s="676"/>
    </row>
    <row r="10095" spans="14:14" x14ac:dyDescent="0.35">
      <c r="N10095" s="676"/>
    </row>
    <row r="10096" spans="14:14" x14ac:dyDescent="0.35">
      <c r="N10096" s="676"/>
    </row>
    <row r="10097" spans="14:14" x14ac:dyDescent="0.35">
      <c r="N10097" s="676"/>
    </row>
    <row r="10098" spans="14:14" x14ac:dyDescent="0.35">
      <c r="N10098" s="676"/>
    </row>
    <row r="10099" spans="14:14" x14ac:dyDescent="0.35">
      <c r="N10099" s="676"/>
    </row>
    <row r="10100" spans="14:14" x14ac:dyDescent="0.35">
      <c r="N10100" s="676"/>
    </row>
    <row r="10101" spans="14:14" x14ac:dyDescent="0.35">
      <c r="N10101" s="676"/>
    </row>
    <row r="10102" spans="14:14" x14ac:dyDescent="0.35">
      <c r="N10102" s="676"/>
    </row>
    <row r="10103" spans="14:14" x14ac:dyDescent="0.35">
      <c r="N10103" s="676"/>
    </row>
    <row r="10104" spans="14:14" x14ac:dyDescent="0.35">
      <c r="N10104" s="676"/>
    </row>
    <row r="10105" spans="14:14" x14ac:dyDescent="0.35">
      <c r="N10105" s="676"/>
    </row>
    <row r="10106" spans="14:14" x14ac:dyDescent="0.35">
      <c r="N10106" s="676"/>
    </row>
    <row r="10107" spans="14:14" x14ac:dyDescent="0.35">
      <c r="N10107" s="676"/>
    </row>
    <row r="10108" spans="14:14" x14ac:dyDescent="0.35">
      <c r="N10108" s="676"/>
    </row>
    <row r="10109" spans="14:14" x14ac:dyDescent="0.35">
      <c r="N10109" s="676"/>
    </row>
    <row r="10110" spans="14:14" x14ac:dyDescent="0.35">
      <c r="N10110" s="676"/>
    </row>
    <row r="10111" spans="14:14" x14ac:dyDescent="0.35">
      <c r="N10111" s="676"/>
    </row>
    <row r="10112" spans="14:14" x14ac:dyDescent="0.35">
      <c r="N10112" s="676"/>
    </row>
    <row r="10113" spans="14:14" x14ac:dyDescent="0.35">
      <c r="N10113" s="676"/>
    </row>
    <row r="10114" spans="14:14" x14ac:dyDescent="0.35">
      <c r="N10114" s="676"/>
    </row>
    <row r="10115" spans="14:14" x14ac:dyDescent="0.35">
      <c r="N10115" s="676"/>
    </row>
    <row r="10116" spans="14:14" x14ac:dyDescent="0.35">
      <c r="N10116" s="676"/>
    </row>
    <row r="10117" spans="14:14" x14ac:dyDescent="0.35">
      <c r="N10117" s="676"/>
    </row>
    <row r="10118" spans="14:14" x14ac:dyDescent="0.35">
      <c r="N10118" s="676"/>
    </row>
    <row r="10119" spans="14:14" x14ac:dyDescent="0.35">
      <c r="N10119" s="676"/>
    </row>
    <row r="10120" spans="14:14" x14ac:dyDescent="0.35">
      <c r="N10120" s="676"/>
    </row>
    <row r="10121" spans="14:14" x14ac:dyDescent="0.35">
      <c r="N10121" s="676"/>
    </row>
    <row r="10122" spans="14:14" x14ac:dyDescent="0.35">
      <c r="N10122" s="676"/>
    </row>
    <row r="10123" spans="14:14" x14ac:dyDescent="0.35">
      <c r="N10123" s="676"/>
    </row>
    <row r="10124" spans="14:14" x14ac:dyDescent="0.35">
      <c r="N10124" s="676"/>
    </row>
    <row r="10125" spans="14:14" x14ac:dyDescent="0.35">
      <c r="N10125" s="676"/>
    </row>
    <row r="10126" spans="14:14" x14ac:dyDescent="0.35">
      <c r="N10126" s="676"/>
    </row>
    <row r="10127" spans="14:14" x14ac:dyDescent="0.35">
      <c r="N10127" s="676"/>
    </row>
    <row r="10128" spans="14:14" x14ac:dyDescent="0.35">
      <c r="N10128" s="676"/>
    </row>
    <row r="10129" spans="14:14" x14ac:dyDescent="0.35">
      <c r="N10129" s="676"/>
    </row>
    <row r="10130" spans="14:14" x14ac:dyDescent="0.35">
      <c r="N10130" s="676"/>
    </row>
    <row r="10131" spans="14:14" x14ac:dyDescent="0.35">
      <c r="N10131" s="676"/>
    </row>
    <row r="10132" spans="14:14" x14ac:dyDescent="0.35">
      <c r="N10132" s="676"/>
    </row>
    <row r="10133" spans="14:14" x14ac:dyDescent="0.35">
      <c r="N10133" s="676"/>
    </row>
    <row r="10134" spans="14:14" x14ac:dyDescent="0.35">
      <c r="N10134" s="676"/>
    </row>
    <row r="10135" spans="14:14" x14ac:dyDescent="0.35">
      <c r="N10135" s="676"/>
    </row>
    <row r="10136" spans="14:14" x14ac:dyDescent="0.35">
      <c r="N10136" s="676"/>
    </row>
    <row r="10137" spans="14:14" x14ac:dyDescent="0.35">
      <c r="N10137" s="676"/>
    </row>
    <row r="10138" spans="14:14" x14ac:dyDescent="0.35">
      <c r="N10138" s="676"/>
    </row>
    <row r="10139" spans="14:14" x14ac:dyDescent="0.35">
      <c r="N10139" s="676"/>
    </row>
    <row r="10140" spans="14:14" x14ac:dyDescent="0.35">
      <c r="N10140" s="676"/>
    </row>
    <row r="10141" spans="14:14" x14ac:dyDescent="0.35">
      <c r="N10141" s="676"/>
    </row>
    <row r="10142" spans="14:14" x14ac:dyDescent="0.35">
      <c r="N10142" s="676"/>
    </row>
    <row r="10143" spans="14:14" x14ac:dyDescent="0.35">
      <c r="N10143" s="676"/>
    </row>
    <row r="10144" spans="14:14" x14ac:dyDescent="0.35">
      <c r="N10144" s="676"/>
    </row>
    <row r="10145" spans="14:14" x14ac:dyDescent="0.35">
      <c r="N10145" s="676"/>
    </row>
    <row r="10146" spans="14:14" x14ac:dyDescent="0.35">
      <c r="N10146" s="676"/>
    </row>
    <row r="10147" spans="14:14" x14ac:dyDescent="0.35">
      <c r="N10147" s="676"/>
    </row>
    <row r="10148" spans="14:14" x14ac:dyDescent="0.35">
      <c r="N10148" s="676"/>
    </row>
    <row r="10149" spans="14:14" x14ac:dyDescent="0.35">
      <c r="N10149" s="676"/>
    </row>
    <row r="10150" spans="14:14" x14ac:dyDescent="0.35">
      <c r="N10150" s="676"/>
    </row>
    <row r="10151" spans="14:14" x14ac:dyDescent="0.35">
      <c r="N10151" s="676"/>
    </row>
    <row r="10152" spans="14:14" x14ac:dyDescent="0.35">
      <c r="N10152" s="676"/>
    </row>
    <row r="10153" spans="14:14" x14ac:dyDescent="0.35">
      <c r="N10153" s="676"/>
    </row>
    <row r="10154" spans="14:14" x14ac:dyDescent="0.35">
      <c r="N10154" s="676"/>
    </row>
    <row r="10155" spans="14:14" x14ac:dyDescent="0.35">
      <c r="N10155" s="676"/>
    </row>
    <row r="10156" spans="14:14" x14ac:dyDescent="0.35">
      <c r="N10156" s="676"/>
    </row>
    <row r="10157" spans="14:14" x14ac:dyDescent="0.35">
      <c r="N10157" s="676"/>
    </row>
    <row r="10158" spans="14:14" x14ac:dyDescent="0.35">
      <c r="N10158" s="676"/>
    </row>
    <row r="10159" spans="14:14" x14ac:dyDescent="0.35">
      <c r="N10159" s="676"/>
    </row>
    <row r="10160" spans="14:14" x14ac:dyDescent="0.35">
      <c r="N10160" s="676"/>
    </row>
    <row r="10161" spans="14:14" x14ac:dyDescent="0.35">
      <c r="N10161" s="676"/>
    </row>
    <row r="10162" spans="14:14" x14ac:dyDescent="0.35">
      <c r="N10162" s="676"/>
    </row>
    <row r="10163" spans="14:14" x14ac:dyDescent="0.35">
      <c r="N10163" s="676"/>
    </row>
    <row r="10164" spans="14:14" x14ac:dyDescent="0.35">
      <c r="N10164" s="676"/>
    </row>
    <row r="10165" spans="14:14" x14ac:dyDescent="0.35">
      <c r="N10165" s="676"/>
    </row>
    <row r="10166" spans="14:14" x14ac:dyDescent="0.35">
      <c r="N10166" s="676"/>
    </row>
    <row r="10167" spans="14:14" x14ac:dyDescent="0.35">
      <c r="N10167" s="676"/>
    </row>
    <row r="10168" spans="14:14" x14ac:dyDescent="0.35">
      <c r="N10168" s="676"/>
    </row>
    <row r="10169" spans="14:14" x14ac:dyDescent="0.35">
      <c r="N10169" s="676"/>
    </row>
    <row r="10170" spans="14:14" x14ac:dyDescent="0.35">
      <c r="N10170" s="676"/>
    </row>
    <row r="10171" spans="14:14" x14ac:dyDescent="0.35">
      <c r="N10171" s="676"/>
    </row>
    <row r="10172" spans="14:14" x14ac:dyDescent="0.35">
      <c r="N10172" s="676"/>
    </row>
    <row r="10173" spans="14:14" x14ac:dyDescent="0.35">
      <c r="N10173" s="676"/>
    </row>
    <row r="10174" spans="14:14" x14ac:dyDescent="0.35">
      <c r="N10174" s="676"/>
    </row>
    <row r="10175" spans="14:14" x14ac:dyDescent="0.35">
      <c r="N10175" s="676"/>
    </row>
    <row r="10176" spans="14:14" x14ac:dyDescent="0.35">
      <c r="N10176" s="676"/>
    </row>
    <row r="10177" spans="14:14" x14ac:dyDescent="0.35">
      <c r="N10177" s="676"/>
    </row>
    <row r="10178" spans="14:14" x14ac:dyDescent="0.35">
      <c r="N10178" s="676"/>
    </row>
    <row r="10179" spans="14:14" x14ac:dyDescent="0.35">
      <c r="N10179" s="676"/>
    </row>
    <row r="10180" spans="14:14" x14ac:dyDescent="0.35">
      <c r="N10180" s="676"/>
    </row>
    <row r="10181" spans="14:14" x14ac:dyDescent="0.35">
      <c r="N10181" s="676"/>
    </row>
    <row r="10182" spans="14:14" x14ac:dyDescent="0.35">
      <c r="N10182" s="676"/>
    </row>
    <row r="10183" spans="14:14" x14ac:dyDescent="0.35">
      <c r="N10183" s="676"/>
    </row>
    <row r="10184" spans="14:14" x14ac:dyDescent="0.35">
      <c r="N10184" s="676"/>
    </row>
    <row r="10185" spans="14:14" x14ac:dyDescent="0.35">
      <c r="N10185" s="676"/>
    </row>
    <row r="10186" spans="14:14" x14ac:dyDescent="0.35">
      <c r="N10186" s="676"/>
    </row>
    <row r="10187" spans="14:14" x14ac:dyDescent="0.35">
      <c r="N10187" s="676"/>
    </row>
    <row r="10188" spans="14:14" x14ac:dyDescent="0.35">
      <c r="N10188" s="676"/>
    </row>
    <row r="10189" spans="14:14" x14ac:dyDescent="0.35">
      <c r="N10189" s="676"/>
    </row>
    <row r="10190" spans="14:14" x14ac:dyDescent="0.35">
      <c r="N10190" s="676"/>
    </row>
    <row r="10191" spans="14:14" x14ac:dyDescent="0.35">
      <c r="N10191" s="676"/>
    </row>
    <row r="10192" spans="14:14" x14ac:dyDescent="0.35">
      <c r="N10192" s="676"/>
    </row>
    <row r="10193" spans="14:14" x14ac:dyDescent="0.35">
      <c r="N10193" s="676"/>
    </row>
    <row r="10194" spans="14:14" x14ac:dyDescent="0.35">
      <c r="N10194" s="676"/>
    </row>
    <row r="10195" spans="14:14" x14ac:dyDescent="0.35">
      <c r="N10195" s="676"/>
    </row>
    <row r="10196" spans="14:14" x14ac:dyDescent="0.35">
      <c r="N10196" s="676"/>
    </row>
    <row r="10197" spans="14:14" x14ac:dyDescent="0.35">
      <c r="N10197" s="676"/>
    </row>
    <row r="10198" spans="14:14" x14ac:dyDescent="0.35">
      <c r="N10198" s="676"/>
    </row>
    <row r="10199" spans="14:14" x14ac:dyDescent="0.35">
      <c r="N10199" s="676"/>
    </row>
    <row r="10200" spans="14:14" x14ac:dyDescent="0.35">
      <c r="N10200" s="676"/>
    </row>
    <row r="10201" spans="14:14" x14ac:dyDescent="0.35">
      <c r="N10201" s="676"/>
    </row>
    <row r="10202" spans="14:14" x14ac:dyDescent="0.35">
      <c r="N10202" s="676"/>
    </row>
    <row r="10203" spans="14:14" x14ac:dyDescent="0.35">
      <c r="N10203" s="676"/>
    </row>
    <row r="10204" spans="14:14" x14ac:dyDescent="0.35">
      <c r="N10204" s="676"/>
    </row>
    <row r="10205" spans="14:14" x14ac:dyDescent="0.35">
      <c r="N10205" s="676"/>
    </row>
    <row r="10206" spans="14:14" x14ac:dyDescent="0.35">
      <c r="N10206" s="676"/>
    </row>
    <row r="10207" spans="14:14" x14ac:dyDescent="0.35">
      <c r="N10207" s="676"/>
    </row>
    <row r="10208" spans="14:14" x14ac:dyDescent="0.35">
      <c r="N10208" s="676"/>
    </row>
    <row r="10209" spans="14:14" x14ac:dyDescent="0.35">
      <c r="N10209" s="676"/>
    </row>
    <row r="10210" spans="14:14" x14ac:dyDescent="0.35">
      <c r="N10210" s="676"/>
    </row>
    <row r="10211" spans="14:14" x14ac:dyDescent="0.35">
      <c r="N10211" s="676"/>
    </row>
    <row r="10212" spans="14:14" x14ac:dyDescent="0.35">
      <c r="N10212" s="676"/>
    </row>
    <row r="10213" spans="14:14" x14ac:dyDescent="0.35">
      <c r="N10213" s="676"/>
    </row>
    <row r="10214" spans="14:14" x14ac:dyDescent="0.35">
      <c r="N10214" s="676"/>
    </row>
    <row r="10215" spans="14:14" x14ac:dyDescent="0.35">
      <c r="N10215" s="676"/>
    </row>
    <row r="10216" spans="14:14" x14ac:dyDescent="0.35">
      <c r="N10216" s="676"/>
    </row>
    <row r="10217" spans="14:14" x14ac:dyDescent="0.35">
      <c r="N10217" s="676"/>
    </row>
    <row r="10218" spans="14:14" x14ac:dyDescent="0.35">
      <c r="N10218" s="676"/>
    </row>
    <row r="10219" spans="14:14" x14ac:dyDescent="0.35">
      <c r="N10219" s="676"/>
    </row>
    <row r="10220" spans="14:14" x14ac:dyDescent="0.35">
      <c r="N10220" s="676"/>
    </row>
    <row r="10221" spans="14:14" x14ac:dyDescent="0.35">
      <c r="N10221" s="676"/>
    </row>
    <row r="10222" spans="14:14" x14ac:dyDescent="0.35">
      <c r="N10222" s="676"/>
    </row>
    <row r="10223" spans="14:14" x14ac:dyDescent="0.35">
      <c r="N10223" s="676"/>
    </row>
    <row r="10224" spans="14:14" x14ac:dyDescent="0.35">
      <c r="N10224" s="676"/>
    </row>
    <row r="10225" spans="14:14" x14ac:dyDescent="0.35">
      <c r="N10225" s="676"/>
    </row>
    <row r="10226" spans="14:14" x14ac:dyDescent="0.35">
      <c r="N10226" s="676"/>
    </row>
    <row r="10227" spans="14:14" x14ac:dyDescent="0.35">
      <c r="N10227" s="676"/>
    </row>
    <row r="10228" spans="14:14" x14ac:dyDescent="0.35">
      <c r="N10228" s="676"/>
    </row>
    <row r="10229" spans="14:14" x14ac:dyDescent="0.35">
      <c r="N10229" s="676"/>
    </row>
    <row r="10230" spans="14:14" x14ac:dyDescent="0.35">
      <c r="N10230" s="676"/>
    </row>
    <row r="10231" spans="14:14" x14ac:dyDescent="0.35">
      <c r="N10231" s="676"/>
    </row>
    <row r="10232" spans="14:14" x14ac:dyDescent="0.35">
      <c r="N10232" s="676"/>
    </row>
    <row r="10233" spans="14:14" x14ac:dyDescent="0.35">
      <c r="N10233" s="676"/>
    </row>
    <row r="10234" spans="14:14" x14ac:dyDescent="0.35">
      <c r="N10234" s="676"/>
    </row>
    <row r="10235" spans="14:14" x14ac:dyDescent="0.35">
      <c r="N10235" s="676"/>
    </row>
    <row r="10236" spans="14:14" x14ac:dyDescent="0.35">
      <c r="N10236" s="676"/>
    </row>
    <row r="10237" spans="14:14" x14ac:dyDescent="0.35">
      <c r="N10237" s="676"/>
    </row>
    <row r="10238" spans="14:14" x14ac:dyDescent="0.35">
      <c r="N10238" s="676"/>
    </row>
    <row r="10239" spans="14:14" x14ac:dyDescent="0.35">
      <c r="N10239" s="676"/>
    </row>
    <row r="10240" spans="14:14" x14ac:dyDescent="0.35">
      <c r="N10240" s="676"/>
    </row>
    <row r="10241" spans="14:14" x14ac:dyDescent="0.35">
      <c r="N10241" s="676"/>
    </row>
    <row r="10242" spans="14:14" x14ac:dyDescent="0.35">
      <c r="N10242" s="676"/>
    </row>
    <row r="10243" spans="14:14" x14ac:dyDescent="0.35">
      <c r="N10243" s="676"/>
    </row>
    <row r="10244" spans="14:14" x14ac:dyDescent="0.35">
      <c r="N10244" s="676"/>
    </row>
    <row r="10245" spans="14:14" x14ac:dyDescent="0.35">
      <c r="N10245" s="676"/>
    </row>
    <row r="10246" spans="14:14" x14ac:dyDescent="0.35">
      <c r="N10246" s="676"/>
    </row>
    <row r="10247" spans="14:14" x14ac:dyDescent="0.35">
      <c r="N10247" s="676"/>
    </row>
    <row r="10248" spans="14:14" x14ac:dyDescent="0.35">
      <c r="N10248" s="676"/>
    </row>
    <row r="10249" spans="14:14" x14ac:dyDescent="0.35">
      <c r="N10249" s="676"/>
    </row>
    <row r="10250" spans="14:14" x14ac:dyDescent="0.35">
      <c r="N10250" s="676"/>
    </row>
    <row r="10251" spans="14:14" x14ac:dyDescent="0.35">
      <c r="N10251" s="676"/>
    </row>
    <row r="10252" spans="14:14" x14ac:dyDescent="0.35">
      <c r="N10252" s="676"/>
    </row>
    <row r="10253" spans="14:14" x14ac:dyDescent="0.35">
      <c r="N10253" s="676"/>
    </row>
    <row r="10254" spans="14:14" x14ac:dyDescent="0.35">
      <c r="N10254" s="676"/>
    </row>
    <row r="10255" spans="14:14" x14ac:dyDescent="0.35">
      <c r="N10255" s="676"/>
    </row>
    <row r="10256" spans="14:14" x14ac:dyDescent="0.35">
      <c r="N10256" s="676"/>
    </row>
    <row r="10257" spans="14:14" x14ac:dyDescent="0.35">
      <c r="N10257" s="676"/>
    </row>
    <row r="10258" spans="14:14" x14ac:dyDescent="0.35">
      <c r="N10258" s="676"/>
    </row>
    <row r="10259" spans="14:14" x14ac:dyDescent="0.35">
      <c r="N10259" s="676"/>
    </row>
    <row r="10260" spans="14:14" x14ac:dyDescent="0.35">
      <c r="N10260" s="676"/>
    </row>
    <row r="10261" spans="14:14" x14ac:dyDescent="0.35">
      <c r="N10261" s="676"/>
    </row>
    <row r="10262" spans="14:14" x14ac:dyDescent="0.35">
      <c r="N10262" s="676"/>
    </row>
    <row r="10263" spans="14:14" x14ac:dyDescent="0.35">
      <c r="N10263" s="676"/>
    </row>
    <row r="10264" spans="14:14" x14ac:dyDescent="0.35">
      <c r="N10264" s="676"/>
    </row>
    <row r="10265" spans="14:14" x14ac:dyDescent="0.35">
      <c r="N10265" s="676"/>
    </row>
    <row r="10266" spans="14:14" x14ac:dyDescent="0.35">
      <c r="N10266" s="676"/>
    </row>
    <row r="10267" spans="14:14" x14ac:dyDescent="0.35">
      <c r="N10267" s="676"/>
    </row>
    <row r="10268" spans="14:14" x14ac:dyDescent="0.35">
      <c r="N10268" s="676"/>
    </row>
    <row r="10269" spans="14:14" x14ac:dyDescent="0.35">
      <c r="N10269" s="676"/>
    </row>
    <row r="10270" spans="14:14" x14ac:dyDescent="0.35">
      <c r="N10270" s="676"/>
    </row>
    <row r="10271" spans="14:14" x14ac:dyDescent="0.35">
      <c r="N10271" s="676"/>
    </row>
    <row r="10272" spans="14:14" x14ac:dyDescent="0.35">
      <c r="N10272" s="676"/>
    </row>
    <row r="10273" spans="14:14" x14ac:dyDescent="0.35">
      <c r="N10273" s="676"/>
    </row>
    <row r="10274" spans="14:14" x14ac:dyDescent="0.35">
      <c r="N10274" s="676"/>
    </row>
    <row r="10275" spans="14:14" x14ac:dyDescent="0.35">
      <c r="N10275" s="676"/>
    </row>
    <row r="10276" spans="14:14" x14ac:dyDescent="0.35">
      <c r="N10276" s="676"/>
    </row>
    <row r="10277" spans="14:14" x14ac:dyDescent="0.35">
      <c r="N10277" s="676"/>
    </row>
    <row r="10278" spans="14:14" x14ac:dyDescent="0.35">
      <c r="N10278" s="676"/>
    </row>
    <row r="10279" spans="14:14" x14ac:dyDescent="0.35">
      <c r="N10279" s="676"/>
    </row>
    <row r="10280" spans="14:14" x14ac:dyDescent="0.35">
      <c r="N10280" s="676"/>
    </row>
    <row r="10281" spans="14:14" x14ac:dyDescent="0.35">
      <c r="N10281" s="676"/>
    </row>
    <row r="10282" spans="14:14" x14ac:dyDescent="0.35">
      <c r="N10282" s="676"/>
    </row>
    <row r="10283" spans="14:14" x14ac:dyDescent="0.35">
      <c r="N10283" s="676"/>
    </row>
    <row r="10284" spans="14:14" x14ac:dyDescent="0.35">
      <c r="N10284" s="676"/>
    </row>
    <row r="10285" spans="14:14" x14ac:dyDescent="0.35">
      <c r="N10285" s="676"/>
    </row>
    <row r="10286" spans="14:14" x14ac:dyDescent="0.35">
      <c r="N10286" s="676"/>
    </row>
    <row r="10287" spans="14:14" x14ac:dyDescent="0.35">
      <c r="N10287" s="676"/>
    </row>
    <row r="10288" spans="14:14" x14ac:dyDescent="0.35">
      <c r="N10288" s="676"/>
    </row>
    <row r="10289" spans="14:14" x14ac:dyDescent="0.35">
      <c r="N10289" s="676"/>
    </row>
    <row r="10290" spans="14:14" x14ac:dyDescent="0.35">
      <c r="N10290" s="676"/>
    </row>
    <row r="10291" spans="14:14" x14ac:dyDescent="0.35">
      <c r="N10291" s="676"/>
    </row>
    <row r="10292" spans="14:14" x14ac:dyDescent="0.35">
      <c r="N10292" s="676"/>
    </row>
    <row r="10293" spans="14:14" x14ac:dyDescent="0.35">
      <c r="N10293" s="676"/>
    </row>
    <row r="10294" spans="14:14" x14ac:dyDescent="0.35">
      <c r="N10294" s="676"/>
    </row>
    <row r="10295" spans="14:14" x14ac:dyDescent="0.35">
      <c r="N10295" s="676"/>
    </row>
    <row r="10296" spans="14:14" x14ac:dyDescent="0.35">
      <c r="N10296" s="676"/>
    </row>
    <row r="10297" spans="14:14" x14ac:dyDescent="0.35">
      <c r="N10297" s="676"/>
    </row>
    <row r="10298" spans="14:14" x14ac:dyDescent="0.35">
      <c r="N10298" s="676"/>
    </row>
    <row r="10299" spans="14:14" x14ac:dyDescent="0.35">
      <c r="N10299" s="676"/>
    </row>
    <row r="10300" spans="14:14" x14ac:dyDescent="0.35">
      <c r="N10300" s="676"/>
    </row>
    <row r="10301" spans="14:14" x14ac:dyDescent="0.35">
      <c r="N10301" s="676"/>
    </row>
    <row r="10302" spans="14:14" x14ac:dyDescent="0.35">
      <c r="N10302" s="676"/>
    </row>
    <row r="10303" spans="14:14" x14ac:dyDescent="0.35">
      <c r="N10303" s="676"/>
    </row>
    <row r="10304" spans="14:14" x14ac:dyDescent="0.35">
      <c r="N10304" s="676"/>
    </row>
    <row r="10305" spans="14:14" x14ac:dyDescent="0.35">
      <c r="N10305" s="676"/>
    </row>
    <row r="10306" spans="14:14" x14ac:dyDescent="0.35">
      <c r="N10306" s="676"/>
    </row>
    <row r="10307" spans="14:14" x14ac:dyDescent="0.35">
      <c r="N10307" s="676"/>
    </row>
    <row r="10308" spans="14:14" x14ac:dyDescent="0.35">
      <c r="N10308" s="676"/>
    </row>
    <row r="10309" spans="14:14" x14ac:dyDescent="0.35">
      <c r="N10309" s="676"/>
    </row>
    <row r="10310" spans="14:14" x14ac:dyDescent="0.35">
      <c r="N10310" s="676"/>
    </row>
    <row r="10311" spans="14:14" x14ac:dyDescent="0.35">
      <c r="N10311" s="676"/>
    </row>
    <row r="10312" spans="14:14" x14ac:dyDescent="0.35">
      <c r="N10312" s="676"/>
    </row>
    <row r="10313" spans="14:14" x14ac:dyDescent="0.35">
      <c r="N10313" s="676"/>
    </row>
    <row r="10314" spans="14:14" x14ac:dyDescent="0.35">
      <c r="N10314" s="676"/>
    </row>
    <row r="10315" spans="14:14" x14ac:dyDescent="0.35">
      <c r="N10315" s="676"/>
    </row>
    <row r="10316" spans="14:14" x14ac:dyDescent="0.35">
      <c r="N10316" s="676"/>
    </row>
    <row r="10317" spans="14:14" x14ac:dyDescent="0.35">
      <c r="N10317" s="676"/>
    </row>
    <row r="10318" spans="14:14" x14ac:dyDescent="0.35">
      <c r="N10318" s="676"/>
    </row>
    <row r="10319" spans="14:14" x14ac:dyDescent="0.35">
      <c r="N10319" s="676"/>
    </row>
    <row r="10320" spans="14:14" x14ac:dyDescent="0.35">
      <c r="N10320" s="676"/>
    </row>
    <row r="10321" spans="14:14" x14ac:dyDescent="0.35">
      <c r="N10321" s="676"/>
    </row>
    <row r="10322" spans="14:14" x14ac:dyDescent="0.35">
      <c r="N10322" s="676"/>
    </row>
    <row r="10323" spans="14:14" x14ac:dyDescent="0.35">
      <c r="N10323" s="676"/>
    </row>
    <row r="10324" spans="14:14" x14ac:dyDescent="0.35">
      <c r="N10324" s="676"/>
    </row>
    <row r="10325" spans="14:14" x14ac:dyDescent="0.35">
      <c r="N10325" s="676"/>
    </row>
    <row r="10326" spans="14:14" x14ac:dyDescent="0.35">
      <c r="N10326" s="676"/>
    </row>
    <row r="10327" spans="14:14" x14ac:dyDescent="0.35">
      <c r="N10327" s="676"/>
    </row>
    <row r="10328" spans="14:14" x14ac:dyDescent="0.35">
      <c r="N10328" s="676"/>
    </row>
    <row r="10329" spans="14:14" x14ac:dyDescent="0.35">
      <c r="N10329" s="676"/>
    </row>
    <row r="10330" spans="14:14" x14ac:dyDescent="0.35">
      <c r="N10330" s="676"/>
    </row>
    <row r="10331" spans="14:14" x14ac:dyDescent="0.35">
      <c r="N10331" s="676"/>
    </row>
    <row r="10332" spans="14:14" x14ac:dyDescent="0.35">
      <c r="N10332" s="676"/>
    </row>
    <row r="10333" spans="14:14" x14ac:dyDescent="0.35">
      <c r="N10333" s="676"/>
    </row>
    <row r="10334" spans="14:14" x14ac:dyDescent="0.35">
      <c r="N10334" s="676"/>
    </row>
    <row r="10335" spans="14:14" x14ac:dyDescent="0.35">
      <c r="N10335" s="676"/>
    </row>
    <row r="10336" spans="14:14" x14ac:dyDescent="0.35">
      <c r="N10336" s="676"/>
    </row>
    <row r="10337" spans="14:14" x14ac:dyDescent="0.35">
      <c r="N10337" s="676"/>
    </row>
    <row r="10338" spans="14:14" x14ac:dyDescent="0.35">
      <c r="N10338" s="676"/>
    </row>
    <row r="10339" spans="14:14" x14ac:dyDescent="0.35">
      <c r="N10339" s="676"/>
    </row>
    <row r="10340" spans="14:14" x14ac:dyDescent="0.35">
      <c r="N10340" s="676"/>
    </row>
    <row r="10341" spans="14:14" x14ac:dyDescent="0.35">
      <c r="N10341" s="676"/>
    </row>
    <row r="10342" spans="14:14" x14ac:dyDescent="0.35">
      <c r="N10342" s="676"/>
    </row>
    <row r="10343" spans="14:14" x14ac:dyDescent="0.35">
      <c r="N10343" s="676"/>
    </row>
    <row r="10344" spans="14:14" x14ac:dyDescent="0.35">
      <c r="N10344" s="676"/>
    </row>
    <row r="10345" spans="14:14" x14ac:dyDescent="0.35">
      <c r="N10345" s="676"/>
    </row>
    <row r="10346" spans="14:14" x14ac:dyDescent="0.35">
      <c r="N10346" s="676"/>
    </row>
    <row r="10347" spans="14:14" x14ac:dyDescent="0.35">
      <c r="N10347" s="676"/>
    </row>
    <row r="10348" spans="14:14" x14ac:dyDescent="0.35">
      <c r="N10348" s="676"/>
    </row>
    <row r="10349" spans="14:14" x14ac:dyDescent="0.35">
      <c r="N10349" s="676"/>
    </row>
    <row r="10350" spans="14:14" x14ac:dyDescent="0.35">
      <c r="N10350" s="676"/>
    </row>
    <row r="10351" spans="14:14" x14ac:dyDescent="0.35">
      <c r="N10351" s="676"/>
    </row>
    <row r="10352" spans="14:14" x14ac:dyDescent="0.35">
      <c r="N10352" s="676"/>
    </row>
    <row r="10353" spans="14:14" x14ac:dyDescent="0.35">
      <c r="N10353" s="676"/>
    </row>
    <row r="10354" spans="14:14" x14ac:dyDescent="0.35">
      <c r="N10354" s="676"/>
    </row>
    <row r="10355" spans="14:14" x14ac:dyDescent="0.35">
      <c r="N10355" s="676"/>
    </row>
    <row r="10356" spans="14:14" x14ac:dyDescent="0.35">
      <c r="N10356" s="676"/>
    </row>
    <row r="10357" spans="14:14" x14ac:dyDescent="0.35">
      <c r="N10357" s="676"/>
    </row>
    <row r="10358" spans="14:14" x14ac:dyDescent="0.35">
      <c r="N10358" s="676"/>
    </row>
    <row r="10359" spans="14:14" x14ac:dyDescent="0.35">
      <c r="N10359" s="676"/>
    </row>
    <row r="10360" spans="14:14" x14ac:dyDescent="0.35">
      <c r="N10360" s="676"/>
    </row>
    <row r="10361" spans="14:14" x14ac:dyDescent="0.35">
      <c r="N10361" s="676"/>
    </row>
    <row r="10362" spans="14:14" x14ac:dyDescent="0.35">
      <c r="N10362" s="676"/>
    </row>
    <row r="10363" spans="14:14" x14ac:dyDescent="0.35">
      <c r="N10363" s="676"/>
    </row>
    <row r="10364" spans="14:14" x14ac:dyDescent="0.35">
      <c r="N10364" s="676"/>
    </row>
    <row r="10365" spans="14:14" x14ac:dyDescent="0.35">
      <c r="N10365" s="676"/>
    </row>
    <row r="10366" spans="14:14" x14ac:dyDescent="0.35">
      <c r="N10366" s="676"/>
    </row>
    <row r="10367" spans="14:14" x14ac:dyDescent="0.35">
      <c r="N10367" s="676"/>
    </row>
    <row r="10368" spans="14:14" x14ac:dyDescent="0.35">
      <c r="N10368" s="676"/>
    </row>
    <row r="10369" spans="14:14" x14ac:dyDescent="0.35">
      <c r="N10369" s="676"/>
    </row>
    <row r="10370" spans="14:14" x14ac:dyDescent="0.35">
      <c r="N10370" s="676"/>
    </row>
    <row r="10371" spans="14:14" x14ac:dyDescent="0.35">
      <c r="N10371" s="676"/>
    </row>
    <row r="10372" spans="14:14" x14ac:dyDescent="0.35">
      <c r="N10372" s="676"/>
    </row>
    <row r="10373" spans="14:14" x14ac:dyDescent="0.35">
      <c r="N10373" s="676"/>
    </row>
    <row r="10374" spans="14:14" x14ac:dyDescent="0.35">
      <c r="N10374" s="676"/>
    </row>
    <row r="10375" spans="14:14" x14ac:dyDescent="0.35">
      <c r="N10375" s="676"/>
    </row>
    <row r="10376" spans="14:14" x14ac:dyDescent="0.35">
      <c r="N10376" s="676"/>
    </row>
    <row r="10377" spans="14:14" x14ac:dyDescent="0.35">
      <c r="N10377" s="676"/>
    </row>
    <row r="10378" spans="14:14" x14ac:dyDescent="0.35">
      <c r="N10378" s="676"/>
    </row>
    <row r="10379" spans="14:14" x14ac:dyDescent="0.35">
      <c r="N10379" s="676"/>
    </row>
    <row r="10380" spans="14:14" x14ac:dyDescent="0.35">
      <c r="N10380" s="676"/>
    </row>
    <row r="10381" spans="14:14" x14ac:dyDescent="0.35">
      <c r="N10381" s="676"/>
    </row>
    <row r="10382" spans="14:14" x14ac:dyDescent="0.35">
      <c r="N10382" s="676"/>
    </row>
    <row r="10383" spans="14:14" x14ac:dyDescent="0.35">
      <c r="N10383" s="676"/>
    </row>
    <row r="10384" spans="14:14" x14ac:dyDescent="0.35">
      <c r="N10384" s="676"/>
    </row>
    <row r="10385" spans="14:14" x14ac:dyDescent="0.35">
      <c r="N10385" s="676"/>
    </row>
    <row r="10386" spans="14:14" x14ac:dyDescent="0.35">
      <c r="N10386" s="676"/>
    </row>
    <row r="10387" spans="14:14" x14ac:dyDescent="0.35">
      <c r="N10387" s="676"/>
    </row>
    <row r="10388" spans="14:14" x14ac:dyDescent="0.35">
      <c r="N10388" s="676"/>
    </row>
    <row r="10389" spans="14:14" x14ac:dyDescent="0.35">
      <c r="N10389" s="676"/>
    </row>
    <row r="10390" spans="14:14" x14ac:dyDescent="0.35">
      <c r="N10390" s="676"/>
    </row>
    <row r="10391" spans="14:14" x14ac:dyDescent="0.35">
      <c r="N10391" s="676"/>
    </row>
    <row r="10392" spans="14:14" x14ac:dyDescent="0.35">
      <c r="N10392" s="676"/>
    </row>
    <row r="10393" spans="14:14" x14ac:dyDescent="0.35">
      <c r="N10393" s="676"/>
    </row>
    <row r="10394" spans="14:14" x14ac:dyDescent="0.35">
      <c r="N10394" s="676"/>
    </row>
    <row r="10395" spans="14:14" x14ac:dyDescent="0.35">
      <c r="N10395" s="676"/>
    </row>
    <row r="10396" spans="14:14" x14ac:dyDescent="0.35">
      <c r="N10396" s="676"/>
    </row>
    <row r="10397" spans="14:14" x14ac:dyDescent="0.35">
      <c r="N10397" s="676"/>
    </row>
    <row r="10398" spans="14:14" x14ac:dyDescent="0.35">
      <c r="N10398" s="676"/>
    </row>
    <row r="10399" spans="14:14" x14ac:dyDescent="0.35">
      <c r="N10399" s="676"/>
    </row>
    <row r="10400" spans="14:14" x14ac:dyDescent="0.35">
      <c r="N10400" s="676"/>
    </row>
    <row r="10401" spans="14:14" x14ac:dyDescent="0.35">
      <c r="N10401" s="676"/>
    </row>
    <row r="10402" spans="14:14" x14ac:dyDescent="0.35">
      <c r="N10402" s="676"/>
    </row>
    <row r="10403" spans="14:14" x14ac:dyDescent="0.35">
      <c r="N10403" s="676"/>
    </row>
    <row r="10404" spans="14:14" x14ac:dyDescent="0.35">
      <c r="N10404" s="676"/>
    </row>
    <row r="10405" spans="14:14" x14ac:dyDescent="0.35">
      <c r="N10405" s="676"/>
    </row>
    <row r="10406" spans="14:14" x14ac:dyDescent="0.35">
      <c r="N10406" s="676"/>
    </row>
    <row r="10407" spans="14:14" x14ac:dyDescent="0.35">
      <c r="N10407" s="676"/>
    </row>
    <row r="10408" spans="14:14" x14ac:dyDescent="0.35">
      <c r="N10408" s="676"/>
    </row>
    <row r="10409" spans="14:14" x14ac:dyDescent="0.35">
      <c r="N10409" s="676"/>
    </row>
    <row r="10410" spans="14:14" x14ac:dyDescent="0.35">
      <c r="N10410" s="676"/>
    </row>
    <row r="10411" spans="14:14" x14ac:dyDescent="0.35">
      <c r="N10411" s="676"/>
    </row>
    <row r="10412" spans="14:14" x14ac:dyDescent="0.35">
      <c r="N10412" s="676"/>
    </row>
    <row r="10413" spans="14:14" x14ac:dyDescent="0.35">
      <c r="N10413" s="676"/>
    </row>
    <row r="10414" spans="14:14" x14ac:dyDescent="0.35">
      <c r="N10414" s="676"/>
    </row>
    <row r="10415" spans="14:14" x14ac:dyDescent="0.35">
      <c r="N10415" s="676"/>
    </row>
    <row r="10416" spans="14:14" x14ac:dyDescent="0.35">
      <c r="N10416" s="676"/>
    </row>
    <row r="10417" spans="14:14" x14ac:dyDescent="0.35">
      <c r="N10417" s="676"/>
    </row>
    <row r="10418" spans="14:14" x14ac:dyDescent="0.35">
      <c r="N10418" s="676"/>
    </row>
    <row r="10419" spans="14:14" x14ac:dyDescent="0.35">
      <c r="N10419" s="676"/>
    </row>
    <row r="10420" spans="14:14" x14ac:dyDescent="0.35">
      <c r="N10420" s="676"/>
    </row>
    <row r="10421" spans="14:14" x14ac:dyDescent="0.35">
      <c r="N10421" s="676"/>
    </row>
    <row r="10422" spans="14:14" x14ac:dyDescent="0.35">
      <c r="N10422" s="676"/>
    </row>
    <row r="10423" spans="14:14" x14ac:dyDescent="0.35">
      <c r="N10423" s="676"/>
    </row>
    <row r="10424" spans="14:14" x14ac:dyDescent="0.35">
      <c r="N10424" s="676"/>
    </row>
    <row r="10425" spans="14:14" x14ac:dyDescent="0.35">
      <c r="N10425" s="676"/>
    </row>
    <row r="10426" spans="14:14" x14ac:dyDescent="0.35">
      <c r="N10426" s="676"/>
    </row>
    <row r="10427" spans="14:14" x14ac:dyDescent="0.35">
      <c r="N10427" s="676"/>
    </row>
    <row r="10428" spans="14:14" x14ac:dyDescent="0.35">
      <c r="N10428" s="676"/>
    </row>
    <row r="10429" spans="14:14" x14ac:dyDescent="0.35">
      <c r="N10429" s="676"/>
    </row>
    <row r="10430" spans="14:14" x14ac:dyDescent="0.35">
      <c r="N10430" s="676"/>
    </row>
    <row r="10431" spans="14:14" x14ac:dyDescent="0.35">
      <c r="N10431" s="676"/>
    </row>
    <row r="10432" spans="14:14" x14ac:dyDescent="0.35">
      <c r="N10432" s="676"/>
    </row>
    <row r="10433" spans="14:14" x14ac:dyDescent="0.35">
      <c r="N10433" s="676"/>
    </row>
    <row r="10434" spans="14:14" x14ac:dyDescent="0.35">
      <c r="N10434" s="676"/>
    </row>
    <row r="10435" spans="14:14" x14ac:dyDescent="0.35">
      <c r="N10435" s="676"/>
    </row>
    <row r="10436" spans="14:14" x14ac:dyDescent="0.35">
      <c r="N10436" s="676"/>
    </row>
    <row r="10437" spans="14:14" x14ac:dyDescent="0.35">
      <c r="N10437" s="676"/>
    </row>
    <row r="10438" spans="14:14" x14ac:dyDescent="0.35">
      <c r="N10438" s="676"/>
    </row>
    <row r="10439" spans="14:14" x14ac:dyDescent="0.35">
      <c r="N10439" s="676"/>
    </row>
    <row r="10440" spans="14:14" x14ac:dyDescent="0.35">
      <c r="N10440" s="676"/>
    </row>
    <row r="10441" spans="14:14" x14ac:dyDescent="0.35">
      <c r="N10441" s="676"/>
    </row>
    <row r="10442" spans="14:14" x14ac:dyDescent="0.35">
      <c r="N10442" s="676"/>
    </row>
    <row r="10443" spans="14:14" x14ac:dyDescent="0.35">
      <c r="N10443" s="676"/>
    </row>
    <row r="10444" spans="14:14" x14ac:dyDescent="0.35">
      <c r="N10444" s="676"/>
    </row>
    <row r="10445" spans="14:14" x14ac:dyDescent="0.35">
      <c r="N10445" s="676"/>
    </row>
    <row r="10446" spans="14:14" x14ac:dyDescent="0.35">
      <c r="N10446" s="676"/>
    </row>
    <row r="10447" spans="14:14" x14ac:dyDescent="0.35">
      <c r="N10447" s="676"/>
    </row>
    <row r="10448" spans="14:14" x14ac:dyDescent="0.35">
      <c r="N10448" s="676"/>
    </row>
    <row r="10449" spans="14:14" x14ac:dyDescent="0.35">
      <c r="N10449" s="676"/>
    </row>
    <row r="10450" spans="14:14" x14ac:dyDescent="0.35">
      <c r="N10450" s="676"/>
    </row>
    <row r="10451" spans="14:14" x14ac:dyDescent="0.35">
      <c r="N10451" s="676"/>
    </row>
    <row r="10452" spans="14:14" x14ac:dyDescent="0.35">
      <c r="N10452" s="676"/>
    </row>
    <row r="10453" spans="14:14" x14ac:dyDescent="0.35">
      <c r="N10453" s="676"/>
    </row>
    <row r="10454" spans="14:14" x14ac:dyDescent="0.35">
      <c r="N10454" s="676"/>
    </row>
    <row r="10455" spans="14:14" x14ac:dyDescent="0.35">
      <c r="N10455" s="676"/>
    </row>
    <row r="10456" spans="14:14" x14ac:dyDescent="0.35">
      <c r="N10456" s="676"/>
    </row>
    <row r="10457" spans="14:14" x14ac:dyDescent="0.35">
      <c r="N10457" s="676"/>
    </row>
    <row r="10458" spans="14:14" x14ac:dyDescent="0.35">
      <c r="N10458" s="676"/>
    </row>
    <row r="10459" spans="14:14" x14ac:dyDescent="0.35">
      <c r="N10459" s="676"/>
    </row>
    <row r="10460" spans="14:14" x14ac:dyDescent="0.35">
      <c r="N10460" s="676"/>
    </row>
    <row r="10461" spans="14:14" x14ac:dyDescent="0.35">
      <c r="N10461" s="676"/>
    </row>
    <row r="10462" spans="14:14" x14ac:dyDescent="0.35">
      <c r="N10462" s="676"/>
    </row>
    <row r="10463" spans="14:14" x14ac:dyDescent="0.35">
      <c r="N10463" s="676"/>
    </row>
    <row r="10464" spans="14:14" x14ac:dyDescent="0.35">
      <c r="N10464" s="676"/>
    </row>
    <row r="10465" spans="14:14" x14ac:dyDescent="0.35">
      <c r="N10465" s="676"/>
    </row>
    <row r="10466" spans="14:14" x14ac:dyDescent="0.35">
      <c r="N10466" s="676"/>
    </row>
    <row r="10467" spans="14:14" x14ac:dyDescent="0.35">
      <c r="N10467" s="676"/>
    </row>
    <row r="10468" spans="14:14" x14ac:dyDescent="0.35">
      <c r="N10468" s="676"/>
    </row>
    <row r="10469" spans="14:14" x14ac:dyDescent="0.35">
      <c r="N10469" s="676"/>
    </row>
    <row r="10470" spans="14:14" x14ac:dyDescent="0.35">
      <c r="N10470" s="676"/>
    </row>
    <row r="10471" spans="14:14" x14ac:dyDescent="0.35">
      <c r="N10471" s="676"/>
    </row>
    <row r="10472" spans="14:14" x14ac:dyDescent="0.35">
      <c r="N10472" s="676"/>
    </row>
    <row r="10473" spans="14:14" x14ac:dyDescent="0.35">
      <c r="N10473" s="676"/>
    </row>
    <row r="10474" spans="14:14" x14ac:dyDescent="0.35">
      <c r="N10474" s="676"/>
    </row>
    <row r="10475" spans="14:14" x14ac:dyDescent="0.35">
      <c r="N10475" s="676"/>
    </row>
    <row r="10476" spans="14:14" x14ac:dyDescent="0.35">
      <c r="N10476" s="676"/>
    </row>
    <row r="10477" spans="14:14" x14ac:dyDescent="0.35">
      <c r="N10477" s="676"/>
    </row>
    <row r="10478" spans="14:14" x14ac:dyDescent="0.35">
      <c r="N10478" s="676"/>
    </row>
    <row r="10479" spans="14:14" x14ac:dyDescent="0.35">
      <c r="N10479" s="676"/>
    </row>
    <row r="10480" spans="14:14" x14ac:dyDescent="0.35">
      <c r="N10480" s="676"/>
    </row>
    <row r="10481" spans="14:14" x14ac:dyDescent="0.35">
      <c r="N10481" s="676"/>
    </row>
    <row r="10482" spans="14:14" x14ac:dyDescent="0.35">
      <c r="N10482" s="676"/>
    </row>
    <row r="10483" spans="14:14" x14ac:dyDescent="0.35">
      <c r="N10483" s="676"/>
    </row>
    <row r="10484" spans="14:14" x14ac:dyDescent="0.35">
      <c r="N10484" s="676"/>
    </row>
    <row r="10485" spans="14:14" x14ac:dyDescent="0.35">
      <c r="N10485" s="676"/>
    </row>
    <row r="10486" spans="14:14" x14ac:dyDescent="0.35">
      <c r="N10486" s="676"/>
    </row>
    <row r="10487" spans="14:14" x14ac:dyDescent="0.35">
      <c r="N10487" s="676"/>
    </row>
    <row r="10488" spans="14:14" x14ac:dyDescent="0.35">
      <c r="N10488" s="676"/>
    </row>
    <row r="10489" spans="14:14" x14ac:dyDescent="0.35">
      <c r="N10489" s="676"/>
    </row>
    <row r="10490" spans="14:14" x14ac:dyDescent="0.35">
      <c r="N10490" s="676"/>
    </row>
    <row r="10491" spans="14:14" x14ac:dyDescent="0.35">
      <c r="N10491" s="676"/>
    </row>
    <row r="10492" spans="14:14" x14ac:dyDescent="0.35">
      <c r="N10492" s="676"/>
    </row>
    <row r="10493" spans="14:14" x14ac:dyDescent="0.35">
      <c r="N10493" s="676"/>
    </row>
    <row r="10494" spans="14:14" x14ac:dyDescent="0.35">
      <c r="N10494" s="676"/>
    </row>
    <row r="10495" spans="14:14" x14ac:dyDescent="0.35">
      <c r="N10495" s="676"/>
    </row>
    <row r="10496" spans="14:14" x14ac:dyDescent="0.35">
      <c r="N10496" s="676"/>
    </row>
    <row r="10497" spans="14:14" x14ac:dyDescent="0.35">
      <c r="N10497" s="676"/>
    </row>
    <row r="10498" spans="14:14" x14ac:dyDescent="0.35">
      <c r="N10498" s="676"/>
    </row>
    <row r="10499" spans="14:14" x14ac:dyDescent="0.35">
      <c r="N10499" s="676"/>
    </row>
    <row r="10500" spans="14:14" x14ac:dyDescent="0.35">
      <c r="N10500" s="676"/>
    </row>
    <row r="10501" spans="14:14" x14ac:dyDescent="0.35">
      <c r="N10501" s="676"/>
    </row>
    <row r="10502" spans="14:14" x14ac:dyDescent="0.35">
      <c r="N10502" s="676"/>
    </row>
    <row r="10503" spans="14:14" x14ac:dyDescent="0.35">
      <c r="N10503" s="676"/>
    </row>
    <row r="10504" spans="14:14" x14ac:dyDescent="0.35">
      <c r="N10504" s="676"/>
    </row>
    <row r="10505" spans="14:14" x14ac:dyDescent="0.35">
      <c r="N10505" s="676"/>
    </row>
    <row r="10506" spans="14:14" x14ac:dyDescent="0.35">
      <c r="N10506" s="676"/>
    </row>
    <row r="10507" spans="14:14" x14ac:dyDescent="0.35">
      <c r="N10507" s="676"/>
    </row>
    <row r="10508" spans="14:14" x14ac:dyDescent="0.35">
      <c r="N10508" s="676"/>
    </row>
    <row r="10509" spans="14:14" x14ac:dyDescent="0.35">
      <c r="N10509" s="676"/>
    </row>
    <row r="10510" spans="14:14" x14ac:dyDescent="0.35">
      <c r="N10510" s="676"/>
    </row>
    <row r="10511" spans="14:14" x14ac:dyDescent="0.35">
      <c r="N10511" s="676"/>
    </row>
    <row r="10512" spans="14:14" x14ac:dyDescent="0.35">
      <c r="N10512" s="676"/>
    </row>
    <row r="10513" spans="14:14" x14ac:dyDescent="0.35">
      <c r="N10513" s="676"/>
    </row>
    <row r="10514" spans="14:14" x14ac:dyDescent="0.35">
      <c r="N10514" s="676"/>
    </row>
    <row r="10515" spans="14:14" x14ac:dyDescent="0.35">
      <c r="N10515" s="676"/>
    </row>
    <row r="10516" spans="14:14" x14ac:dyDescent="0.35">
      <c r="N10516" s="676"/>
    </row>
    <row r="10517" spans="14:14" x14ac:dyDescent="0.35">
      <c r="N10517" s="676"/>
    </row>
    <row r="10518" spans="14:14" x14ac:dyDescent="0.35">
      <c r="N10518" s="676"/>
    </row>
    <row r="10519" spans="14:14" x14ac:dyDescent="0.35">
      <c r="N10519" s="676"/>
    </row>
    <row r="10520" spans="14:14" x14ac:dyDescent="0.35">
      <c r="N10520" s="676"/>
    </row>
    <row r="10521" spans="14:14" x14ac:dyDescent="0.35">
      <c r="N10521" s="676"/>
    </row>
    <row r="10522" spans="14:14" x14ac:dyDescent="0.35">
      <c r="N10522" s="676"/>
    </row>
    <row r="10523" spans="14:14" x14ac:dyDescent="0.35">
      <c r="N10523" s="676"/>
    </row>
    <row r="10524" spans="14:14" x14ac:dyDescent="0.35">
      <c r="N10524" s="676"/>
    </row>
    <row r="10525" spans="14:14" x14ac:dyDescent="0.35">
      <c r="N10525" s="676"/>
    </row>
    <row r="10526" spans="14:14" x14ac:dyDescent="0.35">
      <c r="N10526" s="676"/>
    </row>
    <row r="10527" spans="14:14" x14ac:dyDescent="0.35">
      <c r="N10527" s="676"/>
    </row>
    <row r="10528" spans="14:14" x14ac:dyDescent="0.35">
      <c r="N10528" s="676"/>
    </row>
    <row r="10529" spans="14:14" x14ac:dyDescent="0.35">
      <c r="N10529" s="676"/>
    </row>
    <row r="10530" spans="14:14" x14ac:dyDescent="0.35">
      <c r="N10530" s="676"/>
    </row>
    <row r="10531" spans="14:14" x14ac:dyDescent="0.35">
      <c r="N10531" s="676"/>
    </row>
    <row r="10532" spans="14:14" x14ac:dyDescent="0.35">
      <c r="N10532" s="676"/>
    </row>
    <row r="10533" spans="14:14" x14ac:dyDescent="0.35">
      <c r="N10533" s="676"/>
    </row>
    <row r="10534" spans="14:14" x14ac:dyDescent="0.35">
      <c r="N10534" s="676"/>
    </row>
    <row r="10535" spans="14:14" x14ac:dyDescent="0.35">
      <c r="N10535" s="676"/>
    </row>
    <row r="10536" spans="14:14" x14ac:dyDescent="0.35">
      <c r="N10536" s="676"/>
    </row>
    <row r="10537" spans="14:14" x14ac:dyDescent="0.35">
      <c r="N10537" s="676"/>
    </row>
    <row r="10538" spans="14:14" x14ac:dyDescent="0.35">
      <c r="N10538" s="676"/>
    </row>
    <row r="10539" spans="14:14" x14ac:dyDescent="0.35">
      <c r="N10539" s="676"/>
    </row>
    <row r="10540" spans="14:14" x14ac:dyDescent="0.35">
      <c r="N10540" s="676"/>
    </row>
    <row r="10541" spans="14:14" x14ac:dyDescent="0.35">
      <c r="N10541" s="676"/>
    </row>
    <row r="10542" spans="14:14" x14ac:dyDescent="0.35">
      <c r="N10542" s="676"/>
    </row>
    <row r="10543" spans="14:14" x14ac:dyDescent="0.35">
      <c r="N10543" s="676"/>
    </row>
    <row r="10544" spans="14:14" x14ac:dyDescent="0.35">
      <c r="N10544" s="676"/>
    </row>
    <row r="10545" spans="14:14" x14ac:dyDescent="0.35">
      <c r="N10545" s="676"/>
    </row>
    <row r="10546" spans="14:14" x14ac:dyDescent="0.35">
      <c r="N10546" s="676"/>
    </row>
    <row r="10547" spans="14:14" x14ac:dyDescent="0.35">
      <c r="N10547" s="676"/>
    </row>
    <row r="10548" spans="14:14" x14ac:dyDescent="0.35">
      <c r="N10548" s="676"/>
    </row>
    <row r="10549" spans="14:14" x14ac:dyDescent="0.35">
      <c r="N10549" s="676"/>
    </row>
    <row r="10550" spans="14:14" x14ac:dyDescent="0.35">
      <c r="N10550" s="676"/>
    </row>
    <row r="10551" spans="14:14" x14ac:dyDescent="0.35">
      <c r="N10551" s="676"/>
    </row>
    <row r="10552" spans="14:14" x14ac:dyDescent="0.35">
      <c r="N10552" s="676"/>
    </row>
    <row r="10553" spans="14:14" x14ac:dyDescent="0.35">
      <c r="N10553" s="676"/>
    </row>
    <row r="10554" spans="14:14" x14ac:dyDescent="0.35">
      <c r="N10554" s="676"/>
    </row>
    <row r="10555" spans="14:14" x14ac:dyDescent="0.35">
      <c r="N10555" s="676"/>
    </row>
    <row r="10556" spans="14:14" x14ac:dyDescent="0.35">
      <c r="N10556" s="676"/>
    </row>
    <row r="10557" spans="14:14" x14ac:dyDescent="0.35">
      <c r="N10557" s="676"/>
    </row>
    <row r="10558" spans="14:14" x14ac:dyDescent="0.35">
      <c r="N10558" s="676"/>
    </row>
    <row r="10559" spans="14:14" x14ac:dyDescent="0.35">
      <c r="N10559" s="676"/>
    </row>
    <row r="10560" spans="14:14" x14ac:dyDescent="0.35">
      <c r="N10560" s="676"/>
    </row>
    <row r="10561" spans="14:14" x14ac:dyDescent="0.35">
      <c r="N10561" s="676"/>
    </row>
    <row r="10562" spans="14:14" x14ac:dyDescent="0.35">
      <c r="N10562" s="676"/>
    </row>
    <row r="10563" spans="14:14" x14ac:dyDescent="0.35">
      <c r="N10563" s="676"/>
    </row>
    <row r="10564" spans="14:14" x14ac:dyDescent="0.35">
      <c r="N10564" s="676"/>
    </row>
    <row r="10565" spans="14:14" x14ac:dyDescent="0.35">
      <c r="N10565" s="676"/>
    </row>
    <row r="10566" spans="14:14" x14ac:dyDescent="0.35">
      <c r="N10566" s="676"/>
    </row>
    <row r="10567" spans="14:14" x14ac:dyDescent="0.35">
      <c r="N10567" s="676"/>
    </row>
    <row r="10568" spans="14:14" x14ac:dyDescent="0.35">
      <c r="N10568" s="676"/>
    </row>
    <row r="10569" spans="14:14" x14ac:dyDescent="0.35">
      <c r="N10569" s="676"/>
    </row>
    <row r="10570" spans="14:14" x14ac:dyDescent="0.35">
      <c r="N10570" s="676"/>
    </row>
    <row r="10571" spans="14:14" x14ac:dyDescent="0.35">
      <c r="N10571" s="676"/>
    </row>
    <row r="10572" spans="14:14" x14ac:dyDescent="0.35">
      <c r="N10572" s="676"/>
    </row>
    <row r="10573" spans="14:14" x14ac:dyDescent="0.35">
      <c r="N10573" s="676"/>
    </row>
    <row r="10574" spans="14:14" x14ac:dyDescent="0.35">
      <c r="N10574" s="676"/>
    </row>
    <row r="10575" spans="14:14" x14ac:dyDescent="0.35">
      <c r="N10575" s="676"/>
    </row>
    <row r="10576" spans="14:14" x14ac:dyDescent="0.35">
      <c r="N10576" s="676"/>
    </row>
    <row r="10577" spans="14:14" x14ac:dyDescent="0.35">
      <c r="N10577" s="676"/>
    </row>
    <row r="10578" spans="14:14" x14ac:dyDescent="0.35">
      <c r="N10578" s="676"/>
    </row>
    <row r="10579" spans="14:14" x14ac:dyDescent="0.35">
      <c r="N10579" s="676"/>
    </row>
    <row r="10580" spans="14:14" x14ac:dyDescent="0.35">
      <c r="N10580" s="676"/>
    </row>
    <row r="10581" spans="14:14" x14ac:dyDescent="0.35">
      <c r="N10581" s="676"/>
    </row>
    <row r="10582" spans="14:14" x14ac:dyDescent="0.35">
      <c r="N10582" s="676"/>
    </row>
    <row r="10583" spans="14:14" x14ac:dyDescent="0.35">
      <c r="N10583" s="676"/>
    </row>
    <row r="10584" spans="14:14" x14ac:dyDescent="0.35">
      <c r="N10584" s="676"/>
    </row>
    <row r="10585" spans="14:14" x14ac:dyDescent="0.35">
      <c r="N10585" s="676"/>
    </row>
    <row r="10586" spans="14:14" x14ac:dyDescent="0.35">
      <c r="N10586" s="676"/>
    </row>
    <row r="10587" spans="14:14" x14ac:dyDescent="0.35">
      <c r="N10587" s="676"/>
    </row>
    <row r="10588" spans="14:14" x14ac:dyDescent="0.35">
      <c r="N10588" s="676"/>
    </row>
    <row r="10589" spans="14:14" x14ac:dyDescent="0.35">
      <c r="N10589" s="676"/>
    </row>
    <row r="10590" spans="14:14" x14ac:dyDescent="0.35">
      <c r="N10590" s="676"/>
    </row>
    <row r="10591" spans="14:14" x14ac:dyDescent="0.35">
      <c r="N10591" s="676"/>
    </row>
    <row r="10592" spans="14:14" x14ac:dyDescent="0.35">
      <c r="N10592" s="676"/>
    </row>
    <row r="10593" spans="14:14" x14ac:dyDescent="0.35">
      <c r="N10593" s="676"/>
    </row>
    <row r="10594" spans="14:14" x14ac:dyDescent="0.35">
      <c r="N10594" s="676"/>
    </row>
    <row r="10595" spans="14:14" x14ac:dyDescent="0.35">
      <c r="N10595" s="676"/>
    </row>
    <row r="10596" spans="14:14" x14ac:dyDescent="0.35">
      <c r="N10596" s="676"/>
    </row>
    <row r="10597" spans="14:14" x14ac:dyDescent="0.35">
      <c r="N10597" s="676"/>
    </row>
    <row r="10598" spans="14:14" x14ac:dyDescent="0.35">
      <c r="N10598" s="676"/>
    </row>
    <row r="10599" spans="14:14" x14ac:dyDescent="0.35">
      <c r="N10599" s="676"/>
    </row>
    <row r="10600" spans="14:14" x14ac:dyDescent="0.35">
      <c r="N10600" s="676"/>
    </row>
    <row r="10601" spans="14:14" x14ac:dyDescent="0.35">
      <c r="N10601" s="676"/>
    </row>
    <row r="10602" spans="14:14" x14ac:dyDescent="0.35">
      <c r="N10602" s="676"/>
    </row>
    <row r="10603" spans="14:14" x14ac:dyDescent="0.35">
      <c r="N10603" s="676"/>
    </row>
    <row r="10604" spans="14:14" x14ac:dyDescent="0.35">
      <c r="N10604" s="676"/>
    </row>
    <row r="10605" spans="14:14" x14ac:dyDescent="0.35">
      <c r="N10605" s="676"/>
    </row>
    <row r="10606" spans="14:14" x14ac:dyDescent="0.35">
      <c r="N10606" s="676"/>
    </row>
    <row r="10607" spans="14:14" x14ac:dyDescent="0.35">
      <c r="N10607" s="676"/>
    </row>
    <row r="10608" spans="14:14" x14ac:dyDescent="0.35">
      <c r="N10608" s="676"/>
    </row>
    <row r="10609" spans="14:14" x14ac:dyDescent="0.35">
      <c r="N10609" s="676"/>
    </row>
    <row r="10610" spans="14:14" x14ac:dyDescent="0.35">
      <c r="N10610" s="676"/>
    </row>
    <row r="10611" spans="14:14" x14ac:dyDescent="0.35">
      <c r="N10611" s="676"/>
    </row>
    <row r="10612" spans="14:14" x14ac:dyDescent="0.35">
      <c r="N10612" s="676"/>
    </row>
    <row r="10613" spans="14:14" x14ac:dyDescent="0.35">
      <c r="N10613" s="676"/>
    </row>
    <row r="10614" spans="14:14" x14ac:dyDescent="0.35">
      <c r="N10614" s="676"/>
    </row>
    <row r="10615" spans="14:14" x14ac:dyDescent="0.35">
      <c r="N10615" s="676"/>
    </row>
    <row r="10616" spans="14:14" x14ac:dyDescent="0.35">
      <c r="N10616" s="676"/>
    </row>
    <row r="10617" spans="14:14" x14ac:dyDescent="0.35">
      <c r="N10617" s="676"/>
    </row>
    <row r="10618" spans="14:14" x14ac:dyDescent="0.35">
      <c r="N10618" s="676"/>
    </row>
    <row r="10619" spans="14:14" x14ac:dyDescent="0.35">
      <c r="N10619" s="676"/>
    </row>
    <row r="10620" spans="14:14" x14ac:dyDescent="0.35">
      <c r="N10620" s="676"/>
    </row>
    <row r="10621" spans="14:14" x14ac:dyDescent="0.35">
      <c r="N10621" s="676"/>
    </row>
    <row r="10622" spans="14:14" x14ac:dyDescent="0.35">
      <c r="N10622" s="676"/>
    </row>
    <row r="10623" spans="14:14" x14ac:dyDescent="0.35">
      <c r="N10623" s="676"/>
    </row>
    <row r="10624" spans="14:14" x14ac:dyDescent="0.35">
      <c r="N10624" s="676"/>
    </row>
    <row r="10625" spans="14:14" x14ac:dyDescent="0.35">
      <c r="N10625" s="676"/>
    </row>
    <row r="10626" spans="14:14" x14ac:dyDescent="0.35">
      <c r="N10626" s="676"/>
    </row>
    <row r="10627" spans="14:14" x14ac:dyDescent="0.35">
      <c r="N10627" s="676"/>
    </row>
    <row r="10628" spans="14:14" x14ac:dyDescent="0.35">
      <c r="N10628" s="676"/>
    </row>
    <row r="10629" spans="14:14" x14ac:dyDescent="0.35">
      <c r="N10629" s="676"/>
    </row>
    <row r="10630" spans="14:14" x14ac:dyDescent="0.35">
      <c r="N10630" s="676"/>
    </row>
    <row r="10631" spans="14:14" x14ac:dyDescent="0.35">
      <c r="N10631" s="676"/>
    </row>
    <row r="10632" spans="14:14" x14ac:dyDescent="0.35">
      <c r="N10632" s="676"/>
    </row>
    <row r="10633" spans="14:14" x14ac:dyDescent="0.35">
      <c r="N10633" s="676"/>
    </row>
    <row r="10634" spans="14:14" x14ac:dyDescent="0.35">
      <c r="N10634" s="676"/>
    </row>
    <row r="10635" spans="14:14" x14ac:dyDescent="0.35">
      <c r="N10635" s="676"/>
    </row>
    <row r="10636" spans="14:14" x14ac:dyDescent="0.35">
      <c r="N10636" s="676"/>
    </row>
    <row r="10637" spans="14:14" x14ac:dyDescent="0.35">
      <c r="N10637" s="676"/>
    </row>
    <row r="10638" spans="14:14" x14ac:dyDescent="0.35">
      <c r="N10638" s="676"/>
    </row>
    <row r="10639" spans="14:14" x14ac:dyDescent="0.35">
      <c r="N10639" s="676"/>
    </row>
    <row r="10640" spans="14:14" x14ac:dyDescent="0.35">
      <c r="N10640" s="676"/>
    </row>
    <row r="10641" spans="14:14" x14ac:dyDescent="0.35">
      <c r="N10641" s="676"/>
    </row>
    <row r="10642" spans="14:14" x14ac:dyDescent="0.35">
      <c r="N10642" s="676"/>
    </row>
    <row r="10643" spans="14:14" x14ac:dyDescent="0.35">
      <c r="N10643" s="676"/>
    </row>
    <row r="10644" spans="14:14" x14ac:dyDescent="0.35">
      <c r="N10644" s="676"/>
    </row>
    <row r="10645" spans="14:14" x14ac:dyDescent="0.35">
      <c r="N10645" s="676"/>
    </row>
    <row r="10646" spans="14:14" x14ac:dyDescent="0.35">
      <c r="N10646" s="676"/>
    </row>
    <row r="10647" spans="14:14" x14ac:dyDescent="0.35">
      <c r="N10647" s="676"/>
    </row>
    <row r="10648" spans="14:14" x14ac:dyDescent="0.35">
      <c r="N10648" s="676"/>
    </row>
    <row r="10649" spans="14:14" x14ac:dyDescent="0.35">
      <c r="N10649" s="676"/>
    </row>
    <row r="10650" spans="14:14" x14ac:dyDescent="0.35">
      <c r="N10650" s="676"/>
    </row>
    <row r="10651" spans="14:14" x14ac:dyDescent="0.35">
      <c r="N10651" s="676"/>
    </row>
    <row r="10652" spans="14:14" x14ac:dyDescent="0.35">
      <c r="N10652" s="676"/>
    </row>
    <row r="10653" spans="14:14" x14ac:dyDescent="0.35">
      <c r="N10653" s="676"/>
    </row>
    <row r="10654" spans="14:14" x14ac:dyDescent="0.35">
      <c r="N10654" s="676"/>
    </row>
    <row r="10655" spans="14:14" x14ac:dyDescent="0.35">
      <c r="N10655" s="676"/>
    </row>
    <row r="10656" spans="14:14" x14ac:dyDescent="0.35">
      <c r="N10656" s="676"/>
    </row>
    <row r="10657" spans="14:14" x14ac:dyDescent="0.35">
      <c r="N10657" s="676"/>
    </row>
    <row r="10658" spans="14:14" x14ac:dyDescent="0.35">
      <c r="N10658" s="676"/>
    </row>
    <row r="10659" spans="14:14" x14ac:dyDescent="0.35">
      <c r="N10659" s="676"/>
    </row>
    <row r="10660" spans="14:14" x14ac:dyDescent="0.35">
      <c r="N10660" s="676"/>
    </row>
    <row r="10661" spans="14:14" x14ac:dyDescent="0.35">
      <c r="N10661" s="676"/>
    </row>
    <row r="10662" spans="14:14" x14ac:dyDescent="0.35">
      <c r="N10662" s="676"/>
    </row>
    <row r="10663" spans="14:14" x14ac:dyDescent="0.35">
      <c r="N10663" s="676"/>
    </row>
    <row r="10664" spans="14:14" x14ac:dyDescent="0.35">
      <c r="N10664" s="676"/>
    </row>
    <row r="10665" spans="14:14" x14ac:dyDescent="0.35">
      <c r="N10665" s="676"/>
    </row>
    <row r="10666" spans="14:14" x14ac:dyDescent="0.35">
      <c r="N10666" s="676"/>
    </row>
    <row r="10667" spans="14:14" x14ac:dyDescent="0.35">
      <c r="N10667" s="676"/>
    </row>
    <row r="10668" spans="14:14" x14ac:dyDescent="0.35">
      <c r="N10668" s="676"/>
    </row>
    <row r="10669" spans="14:14" x14ac:dyDescent="0.35">
      <c r="N10669" s="676"/>
    </row>
    <row r="10670" spans="14:14" x14ac:dyDescent="0.35">
      <c r="N10670" s="676"/>
    </row>
    <row r="10671" spans="14:14" x14ac:dyDescent="0.35">
      <c r="N10671" s="676"/>
    </row>
    <row r="10672" spans="14:14" x14ac:dyDescent="0.35">
      <c r="N10672" s="676"/>
    </row>
    <row r="10673" spans="14:14" x14ac:dyDescent="0.35">
      <c r="N10673" s="676"/>
    </row>
    <row r="10674" spans="14:14" x14ac:dyDescent="0.35">
      <c r="N10674" s="676"/>
    </row>
    <row r="10675" spans="14:14" x14ac:dyDescent="0.35">
      <c r="N10675" s="676"/>
    </row>
    <row r="10676" spans="14:14" x14ac:dyDescent="0.35">
      <c r="N10676" s="676"/>
    </row>
    <row r="10677" spans="14:14" x14ac:dyDescent="0.35">
      <c r="N10677" s="676"/>
    </row>
    <row r="10678" spans="14:14" x14ac:dyDescent="0.35">
      <c r="N10678" s="676"/>
    </row>
    <row r="10679" spans="14:14" x14ac:dyDescent="0.35">
      <c r="N10679" s="676"/>
    </row>
    <row r="10680" spans="14:14" x14ac:dyDescent="0.35">
      <c r="N10680" s="676"/>
    </row>
    <row r="10681" spans="14:14" x14ac:dyDescent="0.35">
      <c r="N10681" s="676"/>
    </row>
    <row r="10682" spans="14:14" x14ac:dyDescent="0.35">
      <c r="N10682" s="676"/>
    </row>
    <row r="10683" spans="14:14" x14ac:dyDescent="0.35">
      <c r="N10683" s="676"/>
    </row>
    <row r="10684" spans="14:14" x14ac:dyDescent="0.35">
      <c r="N10684" s="676"/>
    </row>
    <row r="10685" spans="14:14" x14ac:dyDescent="0.35">
      <c r="N10685" s="676"/>
    </row>
    <row r="10686" spans="14:14" x14ac:dyDescent="0.35">
      <c r="N10686" s="676"/>
    </row>
    <row r="10687" spans="14:14" x14ac:dyDescent="0.35">
      <c r="N10687" s="676"/>
    </row>
    <row r="10688" spans="14:14" x14ac:dyDescent="0.35">
      <c r="N10688" s="676"/>
    </row>
    <row r="10689" spans="14:14" x14ac:dyDescent="0.35">
      <c r="N10689" s="676"/>
    </row>
    <row r="10690" spans="14:14" x14ac:dyDescent="0.35">
      <c r="N10690" s="676"/>
    </row>
    <row r="10691" spans="14:14" x14ac:dyDescent="0.35">
      <c r="N10691" s="676"/>
    </row>
    <row r="10692" spans="14:14" x14ac:dyDescent="0.35">
      <c r="N10692" s="676"/>
    </row>
    <row r="10693" spans="14:14" x14ac:dyDescent="0.35">
      <c r="N10693" s="676"/>
    </row>
    <row r="10694" spans="14:14" x14ac:dyDescent="0.35">
      <c r="N10694" s="676"/>
    </row>
    <row r="10695" spans="14:14" x14ac:dyDescent="0.35">
      <c r="N10695" s="676"/>
    </row>
    <row r="10696" spans="14:14" x14ac:dyDescent="0.35">
      <c r="N10696" s="676"/>
    </row>
    <row r="10697" spans="14:14" x14ac:dyDescent="0.35">
      <c r="N10697" s="676"/>
    </row>
    <row r="10698" spans="14:14" x14ac:dyDescent="0.35">
      <c r="N10698" s="676"/>
    </row>
    <row r="10699" spans="14:14" x14ac:dyDescent="0.35">
      <c r="N10699" s="676"/>
    </row>
    <row r="10700" spans="14:14" x14ac:dyDescent="0.35">
      <c r="N10700" s="676"/>
    </row>
    <row r="10701" spans="14:14" x14ac:dyDescent="0.35">
      <c r="N10701" s="676"/>
    </row>
    <row r="10702" spans="14:14" x14ac:dyDescent="0.35">
      <c r="N10702" s="676"/>
    </row>
    <row r="10703" spans="14:14" x14ac:dyDescent="0.35">
      <c r="N10703" s="676"/>
    </row>
    <row r="10704" spans="14:14" x14ac:dyDescent="0.35">
      <c r="N10704" s="676"/>
    </row>
    <row r="10705" spans="14:14" x14ac:dyDescent="0.35">
      <c r="N10705" s="676"/>
    </row>
    <row r="10706" spans="14:14" x14ac:dyDescent="0.35">
      <c r="N10706" s="676"/>
    </row>
    <row r="10707" spans="14:14" x14ac:dyDescent="0.35">
      <c r="N10707" s="676"/>
    </row>
    <row r="10708" spans="14:14" x14ac:dyDescent="0.35">
      <c r="N10708" s="676"/>
    </row>
    <row r="10709" spans="14:14" x14ac:dyDescent="0.35">
      <c r="N10709" s="676"/>
    </row>
    <row r="10710" spans="14:14" x14ac:dyDescent="0.35">
      <c r="N10710" s="676"/>
    </row>
    <row r="10711" spans="14:14" x14ac:dyDescent="0.35">
      <c r="N10711" s="676"/>
    </row>
    <row r="10712" spans="14:14" x14ac:dyDescent="0.35">
      <c r="N10712" s="676"/>
    </row>
    <row r="10713" spans="14:14" x14ac:dyDescent="0.35">
      <c r="N10713" s="676"/>
    </row>
    <row r="10714" spans="14:14" x14ac:dyDescent="0.35">
      <c r="N10714" s="676"/>
    </row>
    <row r="10715" spans="14:14" x14ac:dyDescent="0.35">
      <c r="N10715" s="676"/>
    </row>
    <row r="10716" spans="14:14" x14ac:dyDescent="0.35">
      <c r="N10716" s="676"/>
    </row>
    <row r="10717" spans="14:14" x14ac:dyDescent="0.35">
      <c r="N10717" s="676"/>
    </row>
    <row r="10718" spans="14:14" x14ac:dyDescent="0.35">
      <c r="N10718" s="676"/>
    </row>
    <row r="10719" spans="14:14" x14ac:dyDescent="0.35">
      <c r="N10719" s="676"/>
    </row>
    <row r="10720" spans="14:14" x14ac:dyDescent="0.35">
      <c r="N10720" s="676"/>
    </row>
    <row r="10721" spans="14:14" x14ac:dyDescent="0.35">
      <c r="N10721" s="676"/>
    </row>
    <row r="10722" spans="14:14" x14ac:dyDescent="0.35">
      <c r="N10722" s="676"/>
    </row>
    <row r="10723" spans="14:14" x14ac:dyDescent="0.35">
      <c r="N10723" s="676"/>
    </row>
    <row r="10724" spans="14:14" x14ac:dyDescent="0.35">
      <c r="N10724" s="676"/>
    </row>
    <row r="10725" spans="14:14" x14ac:dyDescent="0.35">
      <c r="N10725" s="676"/>
    </row>
    <row r="10726" spans="14:14" x14ac:dyDescent="0.35">
      <c r="N10726" s="676"/>
    </row>
    <row r="10727" spans="14:14" x14ac:dyDescent="0.35">
      <c r="N10727" s="676"/>
    </row>
    <row r="10728" spans="14:14" x14ac:dyDescent="0.35">
      <c r="N10728" s="676"/>
    </row>
    <row r="10729" spans="14:14" x14ac:dyDescent="0.35">
      <c r="N10729" s="676"/>
    </row>
    <row r="10730" spans="14:14" x14ac:dyDescent="0.35">
      <c r="N10730" s="676"/>
    </row>
    <row r="10731" spans="14:14" x14ac:dyDescent="0.35">
      <c r="N10731" s="676"/>
    </row>
    <row r="10732" spans="14:14" x14ac:dyDescent="0.35">
      <c r="N10732" s="676"/>
    </row>
    <row r="10733" spans="14:14" x14ac:dyDescent="0.35">
      <c r="N10733" s="676"/>
    </row>
    <row r="10734" spans="14:14" x14ac:dyDescent="0.35">
      <c r="N10734" s="676"/>
    </row>
    <row r="10735" spans="14:14" x14ac:dyDescent="0.35">
      <c r="N10735" s="676"/>
    </row>
    <row r="10736" spans="14:14" x14ac:dyDescent="0.35">
      <c r="N10736" s="676"/>
    </row>
    <row r="10737" spans="14:14" x14ac:dyDescent="0.35">
      <c r="N10737" s="676"/>
    </row>
    <row r="10738" spans="14:14" x14ac:dyDescent="0.35">
      <c r="N10738" s="676"/>
    </row>
    <row r="10739" spans="14:14" x14ac:dyDescent="0.35">
      <c r="N10739" s="676"/>
    </row>
    <row r="10740" spans="14:14" x14ac:dyDescent="0.35">
      <c r="N10740" s="676"/>
    </row>
    <row r="10741" spans="14:14" x14ac:dyDescent="0.35">
      <c r="N10741" s="676"/>
    </row>
    <row r="10742" spans="14:14" x14ac:dyDescent="0.35">
      <c r="N10742" s="676"/>
    </row>
    <row r="10743" spans="14:14" x14ac:dyDescent="0.35">
      <c r="N10743" s="676"/>
    </row>
    <row r="10744" spans="14:14" x14ac:dyDescent="0.35">
      <c r="N10744" s="676"/>
    </row>
    <row r="10745" spans="14:14" x14ac:dyDescent="0.35">
      <c r="N10745" s="676"/>
    </row>
    <row r="10746" spans="14:14" x14ac:dyDescent="0.35">
      <c r="N10746" s="676"/>
    </row>
    <row r="10747" spans="14:14" x14ac:dyDescent="0.35">
      <c r="N10747" s="676"/>
    </row>
    <row r="10748" spans="14:14" x14ac:dyDescent="0.35">
      <c r="N10748" s="676"/>
    </row>
    <row r="10749" spans="14:14" x14ac:dyDescent="0.35">
      <c r="N10749" s="676"/>
    </row>
    <row r="10750" spans="14:14" x14ac:dyDescent="0.35">
      <c r="N10750" s="676"/>
    </row>
    <row r="10751" spans="14:14" x14ac:dyDescent="0.35">
      <c r="N10751" s="676"/>
    </row>
    <row r="10752" spans="14:14" x14ac:dyDescent="0.35">
      <c r="N10752" s="676"/>
    </row>
    <row r="10753" spans="14:14" x14ac:dyDescent="0.35">
      <c r="N10753" s="676"/>
    </row>
    <row r="10754" spans="14:14" x14ac:dyDescent="0.35">
      <c r="N10754" s="676"/>
    </row>
    <row r="10755" spans="14:14" x14ac:dyDescent="0.35">
      <c r="N10755" s="676"/>
    </row>
    <row r="10756" spans="14:14" x14ac:dyDescent="0.35">
      <c r="N10756" s="676"/>
    </row>
    <row r="10757" spans="14:14" x14ac:dyDescent="0.35">
      <c r="N10757" s="676"/>
    </row>
    <row r="10758" spans="14:14" x14ac:dyDescent="0.35">
      <c r="N10758" s="676"/>
    </row>
    <row r="10759" spans="14:14" x14ac:dyDescent="0.35">
      <c r="N10759" s="676"/>
    </row>
    <row r="10760" spans="14:14" x14ac:dyDescent="0.35">
      <c r="N10760" s="676"/>
    </row>
    <row r="10761" spans="14:14" x14ac:dyDescent="0.35">
      <c r="N10761" s="676"/>
    </row>
    <row r="10762" spans="14:14" x14ac:dyDescent="0.35">
      <c r="N10762" s="676"/>
    </row>
    <row r="10763" spans="14:14" x14ac:dyDescent="0.35">
      <c r="N10763" s="676"/>
    </row>
    <row r="10764" spans="14:14" x14ac:dyDescent="0.35">
      <c r="N10764" s="676"/>
    </row>
    <row r="10765" spans="14:14" x14ac:dyDescent="0.35">
      <c r="N10765" s="676"/>
    </row>
    <row r="10766" spans="14:14" x14ac:dyDescent="0.35">
      <c r="N10766" s="676"/>
    </row>
    <row r="10767" spans="14:14" x14ac:dyDescent="0.35">
      <c r="N10767" s="676"/>
    </row>
    <row r="10768" spans="14:14" x14ac:dyDescent="0.35">
      <c r="N10768" s="676"/>
    </row>
    <row r="10769" spans="14:14" x14ac:dyDescent="0.35">
      <c r="N10769" s="676"/>
    </row>
    <row r="10770" spans="14:14" x14ac:dyDescent="0.35">
      <c r="N10770" s="676"/>
    </row>
    <row r="10771" spans="14:14" x14ac:dyDescent="0.35">
      <c r="N10771" s="676"/>
    </row>
    <row r="10772" spans="14:14" x14ac:dyDescent="0.35">
      <c r="N10772" s="676"/>
    </row>
    <row r="10773" spans="14:14" x14ac:dyDescent="0.35">
      <c r="N10773" s="676"/>
    </row>
    <row r="10774" spans="14:14" x14ac:dyDescent="0.35">
      <c r="N10774" s="676"/>
    </row>
    <row r="10775" spans="14:14" x14ac:dyDescent="0.35">
      <c r="N10775" s="676"/>
    </row>
    <row r="10776" spans="14:14" x14ac:dyDescent="0.35">
      <c r="N10776" s="676"/>
    </row>
    <row r="10777" spans="14:14" x14ac:dyDescent="0.35">
      <c r="N10777" s="676"/>
    </row>
    <row r="10778" spans="14:14" x14ac:dyDescent="0.35">
      <c r="N10778" s="676"/>
    </row>
    <row r="10779" spans="14:14" x14ac:dyDescent="0.35">
      <c r="N10779" s="676"/>
    </row>
    <row r="10780" spans="14:14" x14ac:dyDescent="0.35">
      <c r="N10780" s="676"/>
    </row>
    <row r="10781" spans="14:14" x14ac:dyDescent="0.35">
      <c r="N10781" s="676"/>
    </row>
    <row r="10782" spans="14:14" x14ac:dyDescent="0.35">
      <c r="N10782" s="676"/>
    </row>
    <row r="10783" spans="14:14" x14ac:dyDescent="0.35">
      <c r="N10783" s="676"/>
    </row>
    <row r="10784" spans="14:14" x14ac:dyDescent="0.35">
      <c r="N10784" s="676"/>
    </row>
    <row r="10785" spans="14:14" x14ac:dyDescent="0.35">
      <c r="N10785" s="676"/>
    </row>
    <row r="10786" spans="14:14" x14ac:dyDescent="0.35">
      <c r="N10786" s="676"/>
    </row>
    <row r="10787" spans="14:14" x14ac:dyDescent="0.35">
      <c r="N10787" s="676"/>
    </row>
    <row r="10788" spans="14:14" x14ac:dyDescent="0.35">
      <c r="N10788" s="676"/>
    </row>
    <row r="10789" spans="14:14" x14ac:dyDescent="0.35">
      <c r="N10789" s="676"/>
    </row>
    <row r="10790" spans="14:14" x14ac:dyDescent="0.35">
      <c r="N10790" s="676"/>
    </row>
    <row r="10791" spans="14:14" x14ac:dyDescent="0.35">
      <c r="N10791" s="676"/>
    </row>
    <row r="10792" spans="14:14" x14ac:dyDescent="0.35">
      <c r="N10792" s="676"/>
    </row>
    <row r="10793" spans="14:14" x14ac:dyDescent="0.35">
      <c r="N10793" s="676"/>
    </row>
    <row r="10794" spans="14:14" x14ac:dyDescent="0.35">
      <c r="N10794" s="676"/>
    </row>
    <row r="10795" spans="14:14" x14ac:dyDescent="0.35">
      <c r="N10795" s="676"/>
    </row>
    <row r="10796" spans="14:14" x14ac:dyDescent="0.35">
      <c r="N10796" s="676"/>
    </row>
    <row r="10797" spans="14:14" x14ac:dyDescent="0.35">
      <c r="N10797" s="676"/>
    </row>
    <row r="10798" spans="14:14" x14ac:dyDescent="0.35">
      <c r="N10798" s="676"/>
    </row>
    <row r="10799" spans="14:14" x14ac:dyDescent="0.35">
      <c r="N10799" s="676"/>
    </row>
    <row r="10800" spans="14:14" x14ac:dyDescent="0.35">
      <c r="N10800" s="676"/>
    </row>
    <row r="10801" spans="14:14" x14ac:dyDescent="0.35">
      <c r="N10801" s="676"/>
    </row>
    <row r="10802" spans="14:14" x14ac:dyDescent="0.35">
      <c r="N10802" s="676"/>
    </row>
    <row r="10803" spans="14:14" x14ac:dyDescent="0.35">
      <c r="N10803" s="676"/>
    </row>
    <row r="10804" spans="14:14" x14ac:dyDescent="0.35">
      <c r="N10804" s="676"/>
    </row>
    <row r="10805" spans="14:14" x14ac:dyDescent="0.35">
      <c r="N10805" s="676"/>
    </row>
    <row r="10806" spans="14:14" x14ac:dyDescent="0.35">
      <c r="N10806" s="676"/>
    </row>
    <row r="10807" spans="14:14" x14ac:dyDescent="0.35">
      <c r="N10807" s="676"/>
    </row>
    <row r="10808" spans="14:14" x14ac:dyDescent="0.35">
      <c r="N10808" s="676"/>
    </row>
    <row r="10809" spans="14:14" x14ac:dyDescent="0.35">
      <c r="N10809" s="676"/>
    </row>
    <row r="10810" spans="14:14" x14ac:dyDescent="0.35">
      <c r="N10810" s="676"/>
    </row>
    <row r="10811" spans="14:14" x14ac:dyDescent="0.35">
      <c r="N10811" s="676"/>
    </row>
    <row r="10812" spans="14:14" x14ac:dyDescent="0.35">
      <c r="N10812" s="676"/>
    </row>
    <row r="10813" spans="14:14" x14ac:dyDescent="0.35">
      <c r="N10813" s="676"/>
    </row>
    <row r="10814" spans="14:14" x14ac:dyDescent="0.35">
      <c r="N10814" s="676"/>
    </row>
    <row r="10815" spans="14:14" x14ac:dyDescent="0.35">
      <c r="N10815" s="676"/>
    </row>
    <row r="10816" spans="14:14" x14ac:dyDescent="0.35">
      <c r="N10816" s="676"/>
    </row>
    <row r="10817" spans="14:14" x14ac:dyDescent="0.35">
      <c r="N10817" s="676"/>
    </row>
    <row r="10818" spans="14:14" x14ac:dyDescent="0.35">
      <c r="N10818" s="676"/>
    </row>
    <row r="10819" spans="14:14" x14ac:dyDescent="0.35">
      <c r="N10819" s="676"/>
    </row>
    <row r="10820" spans="14:14" x14ac:dyDescent="0.35">
      <c r="N10820" s="676"/>
    </row>
    <row r="10821" spans="14:14" x14ac:dyDescent="0.35">
      <c r="N10821" s="676"/>
    </row>
    <row r="10822" spans="14:14" x14ac:dyDescent="0.35">
      <c r="N10822" s="676"/>
    </row>
    <row r="10823" spans="14:14" x14ac:dyDescent="0.35">
      <c r="N10823" s="676"/>
    </row>
    <row r="10824" spans="14:14" x14ac:dyDescent="0.35">
      <c r="N10824" s="676"/>
    </row>
    <row r="10825" spans="14:14" x14ac:dyDescent="0.35">
      <c r="N10825" s="676"/>
    </row>
    <row r="10826" spans="14:14" x14ac:dyDescent="0.35">
      <c r="N10826" s="676"/>
    </row>
    <row r="10827" spans="14:14" x14ac:dyDescent="0.35">
      <c r="N10827" s="676"/>
    </row>
    <row r="10828" spans="14:14" x14ac:dyDescent="0.35">
      <c r="N10828" s="676"/>
    </row>
    <row r="10829" spans="14:14" x14ac:dyDescent="0.35">
      <c r="N10829" s="676"/>
    </row>
    <row r="10830" spans="14:14" x14ac:dyDescent="0.35">
      <c r="N10830" s="676"/>
    </row>
    <row r="10831" spans="14:14" x14ac:dyDescent="0.35">
      <c r="N10831" s="676"/>
    </row>
    <row r="10832" spans="14:14" x14ac:dyDescent="0.35">
      <c r="N10832" s="676"/>
    </row>
    <row r="10833" spans="14:14" x14ac:dyDescent="0.35">
      <c r="N10833" s="676"/>
    </row>
    <row r="10834" spans="14:14" x14ac:dyDescent="0.35">
      <c r="N10834" s="676"/>
    </row>
    <row r="10835" spans="14:14" x14ac:dyDescent="0.35">
      <c r="N10835" s="676"/>
    </row>
    <row r="10836" spans="14:14" x14ac:dyDescent="0.35">
      <c r="N10836" s="676"/>
    </row>
    <row r="10837" spans="14:14" x14ac:dyDescent="0.35">
      <c r="N10837" s="676"/>
    </row>
    <row r="10838" spans="14:14" x14ac:dyDescent="0.35">
      <c r="N10838" s="676"/>
    </row>
    <row r="10839" spans="14:14" x14ac:dyDescent="0.35">
      <c r="N10839" s="676"/>
    </row>
    <row r="10840" spans="14:14" x14ac:dyDescent="0.35">
      <c r="N10840" s="676"/>
    </row>
    <row r="10841" spans="14:14" x14ac:dyDescent="0.35">
      <c r="N10841" s="676"/>
    </row>
    <row r="10842" spans="14:14" x14ac:dyDescent="0.35">
      <c r="N10842" s="676"/>
    </row>
    <row r="10843" spans="14:14" x14ac:dyDescent="0.35">
      <c r="N10843" s="676"/>
    </row>
    <row r="10844" spans="14:14" x14ac:dyDescent="0.35">
      <c r="N10844" s="676"/>
    </row>
    <row r="10845" spans="14:14" x14ac:dyDescent="0.35">
      <c r="N10845" s="676"/>
    </row>
    <row r="10846" spans="14:14" x14ac:dyDescent="0.35">
      <c r="N10846" s="676"/>
    </row>
    <row r="10847" spans="14:14" x14ac:dyDescent="0.35">
      <c r="N10847" s="676"/>
    </row>
    <row r="10848" spans="14:14" x14ac:dyDescent="0.35">
      <c r="N10848" s="676"/>
    </row>
    <row r="10849" spans="14:14" x14ac:dyDescent="0.35">
      <c r="N10849" s="676"/>
    </row>
    <row r="10850" spans="14:14" x14ac:dyDescent="0.35">
      <c r="N10850" s="676"/>
    </row>
    <row r="10851" spans="14:14" x14ac:dyDescent="0.35">
      <c r="N10851" s="676"/>
    </row>
    <row r="10852" spans="14:14" x14ac:dyDescent="0.35">
      <c r="N10852" s="676"/>
    </row>
    <row r="10853" spans="14:14" x14ac:dyDescent="0.35">
      <c r="N10853" s="676"/>
    </row>
    <row r="10854" spans="14:14" x14ac:dyDescent="0.35">
      <c r="N10854" s="676"/>
    </row>
    <row r="10855" spans="14:14" x14ac:dyDescent="0.35">
      <c r="N10855" s="676"/>
    </row>
    <row r="10856" spans="14:14" x14ac:dyDescent="0.35">
      <c r="N10856" s="676"/>
    </row>
    <row r="10857" spans="14:14" x14ac:dyDescent="0.35">
      <c r="N10857" s="676"/>
    </row>
    <row r="10858" spans="14:14" x14ac:dyDescent="0.35">
      <c r="N10858" s="676"/>
    </row>
    <row r="10859" spans="14:14" x14ac:dyDescent="0.35">
      <c r="N10859" s="676"/>
    </row>
    <row r="10860" spans="14:14" x14ac:dyDescent="0.35">
      <c r="N10860" s="676"/>
    </row>
    <row r="10861" spans="14:14" x14ac:dyDescent="0.35">
      <c r="N10861" s="676"/>
    </row>
    <row r="10862" spans="14:14" x14ac:dyDescent="0.35">
      <c r="N10862" s="676"/>
    </row>
    <row r="10863" spans="14:14" x14ac:dyDescent="0.35">
      <c r="N10863" s="676"/>
    </row>
    <row r="10864" spans="14:14" x14ac:dyDescent="0.35">
      <c r="N10864" s="676"/>
    </row>
    <row r="10865" spans="14:14" x14ac:dyDescent="0.35">
      <c r="N10865" s="676"/>
    </row>
    <row r="10866" spans="14:14" x14ac:dyDescent="0.35">
      <c r="N10866" s="676"/>
    </row>
    <row r="10867" spans="14:14" x14ac:dyDescent="0.35">
      <c r="N10867" s="676"/>
    </row>
    <row r="10868" spans="14:14" x14ac:dyDescent="0.35">
      <c r="N10868" s="676"/>
    </row>
    <row r="10869" spans="14:14" x14ac:dyDescent="0.35">
      <c r="N10869" s="676"/>
    </row>
    <row r="10870" spans="14:14" x14ac:dyDescent="0.35">
      <c r="N10870" s="676"/>
    </row>
    <row r="10871" spans="14:14" x14ac:dyDescent="0.35">
      <c r="N10871" s="676"/>
    </row>
    <row r="10872" spans="14:14" x14ac:dyDescent="0.35">
      <c r="N10872" s="676"/>
    </row>
    <row r="10873" spans="14:14" x14ac:dyDescent="0.35">
      <c r="N10873" s="676"/>
    </row>
    <row r="10874" spans="14:14" x14ac:dyDescent="0.35">
      <c r="N10874" s="676"/>
    </row>
    <row r="10875" spans="14:14" x14ac:dyDescent="0.35">
      <c r="N10875" s="676"/>
    </row>
    <row r="10876" spans="14:14" x14ac:dyDescent="0.35">
      <c r="N10876" s="676"/>
    </row>
    <row r="10877" spans="14:14" x14ac:dyDescent="0.35">
      <c r="N10877" s="676"/>
    </row>
    <row r="10878" spans="14:14" x14ac:dyDescent="0.35">
      <c r="N10878" s="676"/>
    </row>
    <row r="10879" spans="14:14" x14ac:dyDescent="0.35">
      <c r="N10879" s="676"/>
    </row>
    <row r="10880" spans="14:14" x14ac:dyDescent="0.35">
      <c r="N10880" s="676"/>
    </row>
    <row r="10881" spans="14:14" x14ac:dyDescent="0.35">
      <c r="N10881" s="676"/>
    </row>
    <row r="10882" spans="14:14" x14ac:dyDescent="0.35">
      <c r="N10882" s="676"/>
    </row>
    <row r="10883" spans="14:14" x14ac:dyDescent="0.35">
      <c r="N10883" s="676"/>
    </row>
    <row r="10884" spans="14:14" x14ac:dyDescent="0.35">
      <c r="N10884" s="676"/>
    </row>
    <row r="10885" spans="14:14" x14ac:dyDescent="0.35">
      <c r="N10885" s="676"/>
    </row>
    <row r="10886" spans="14:14" x14ac:dyDescent="0.35">
      <c r="N10886" s="676"/>
    </row>
    <row r="10887" spans="14:14" x14ac:dyDescent="0.35">
      <c r="N10887" s="676"/>
    </row>
    <row r="10888" spans="14:14" x14ac:dyDescent="0.35">
      <c r="N10888" s="676"/>
    </row>
    <row r="10889" spans="14:14" x14ac:dyDescent="0.35">
      <c r="N10889" s="676"/>
    </row>
    <row r="10890" spans="14:14" x14ac:dyDescent="0.35">
      <c r="N10890" s="676"/>
    </row>
    <row r="10891" spans="14:14" x14ac:dyDescent="0.35">
      <c r="N10891" s="676"/>
    </row>
    <row r="10892" spans="14:14" x14ac:dyDescent="0.35">
      <c r="N10892" s="676"/>
    </row>
    <row r="10893" spans="14:14" x14ac:dyDescent="0.35">
      <c r="N10893" s="676"/>
    </row>
    <row r="10894" spans="14:14" x14ac:dyDescent="0.35">
      <c r="N10894" s="676"/>
    </row>
    <row r="10895" spans="14:14" x14ac:dyDescent="0.35">
      <c r="N10895" s="676"/>
    </row>
    <row r="10896" spans="14:14" x14ac:dyDescent="0.35">
      <c r="N10896" s="676"/>
    </row>
    <row r="10897" spans="14:14" x14ac:dyDescent="0.35">
      <c r="N10897" s="676"/>
    </row>
    <row r="10898" spans="14:14" x14ac:dyDescent="0.35">
      <c r="N10898" s="676"/>
    </row>
    <row r="10899" spans="14:14" x14ac:dyDescent="0.35">
      <c r="N10899" s="676"/>
    </row>
    <row r="10900" spans="14:14" x14ac:dyDescent="0.35">
      <c r="N10900" s="676"/>
    </row>
    <row r="10901" spans="14:14" x14ac:dyDescent="0.35">
      <c r="N10901" s="676"/>
    </row>
    <row r="10902" spans="14:14" x14ac:dyDescent="0.35">
      <c r="N10902" s="676"/>
    </row>
    <row r="10903" spans="14:14" x14ac:dyDescent="0.35">
      <c r="N10903" s="676"/>
    </row>
    <row r="10904" spans="14:14" x14ac:dyDescent="0.35">
      <c r="N10904" s="676"/>
    </row>
    <row r="10905" spans="14:14" x14ac:dyDescent="0.35">
      <c r="N10905" s="676"/>
    </row>
    <row r="10906" spans="14:14" x14ac:dyDescent="0.35">
      <c r="N10906" s="676"/>
    </row>
    <row r="10907" spans="14:14" x14ac:dyDescent="0.35">
      <c r="N10907" s="676"/>
    </row>
    <row r="10908" spans="14:14" x14ac:dyDescent="0.35">
      <c r="N10908" s="676"/>
    </row>
    <row r="10909" spans="14:14" x14ac:dyDescent="0.35">
      <c r="N10909" s="676"/>
    </row>
    <row r="10910" spans="14:14" x14ac:dyDescent="0.35">
      <c r="N10910" s="676"/>
    </row>
    <row r="10911" spans="14:14" x14ac:dyDescent="0.35">
      <c r="N10911" s="676"/>
    </row>
    <row r="10912" spans="14:14" x14ac:dyDescent="0.35">
      <c r="N10912" s="676"/>
    </row>
    <row r="10913" spans="14:14" x14ac:dyDescent="0.35">
      <c r="N10913" s="676"/>
    </row>
    <row r="10914" spans="14:14" x14ac:dyDescent="0.35">
      <c r="N10914" s="676"/>
    </row>
    <row r="10915" spans="14:14" x14ac:dyDescent="0.35">
      <c r="N10915" s="676"/>
    </row>
    <row r="10916" spans="14:14" x14ac:dyDescent="0.35">
      <c r="N10916" s="676"/>
    </row>
    <row r="10917" spans="14:14" x14ac:dyDescent="0.35">
      <c r="N10917" s="676"/>
    </row>
    <row r="10918" spans="14:14" x14ac:dyDescent="0.35">
      <c r="N10918" s="676"/>
    </row>
    <row r="10919" spans="14:14" x14ac:dyDescent="0.35">
      <c r="N10919" s="676"/>
    </row>
    <row r="10920" spans="14:14" x14ac:dyDescent="0.35">
      <c r="N10920" s="676"/>
    </row>
    <row r="10921" spans="14:14" x14ac:dyDescent="0.35">
      <c r="N10921" s="676"/>
    </row>
    <row r="10922" spans="14:14" x14ac:dyDescent="0.35">
      <c r="N10922" s="676"/>
    </row>
    <row r="10923" spans="14:14" x14ac:dyDescent="0.35">
      <c r="N10923" s="676"/>
    </row>
    <row r="10924" spans="14:14" x14ac:dyDescent="0.35">
      <c r="N10924" s="676"/>
    </row>
    <row r="10925" spans="14:14" x14ac:dyDescent="0.35">
      <c r="N10925" s="676"/>
    </row>
    <row r="10926" spans="14:14" x14ac:dyDescent="0.35">
      <c r="N10926" s="676"/>
    </row>
    <row r="10927" spans="14:14" x14ac:dyDescent="0.35">
      <c r="N10927" s="676"/>
    </row>
    <row r="10928" spans="14:14" x14ac:dyDescent="0.35">
      <c r="N10928" s="676"/>
    </row>
    <row r="10929" spans="14:14" x14ac:dyDescent="0.35">
      <c r="N10929" s="676"/>
    </row>
    <row r="10930" spans="14:14" x14ac:dyDescent="0.35">
      <c r="N10930" s="676"/>
    </row>
    <row r="10931" spans="14:14" x14ac:dyDescent="0.35">
      <c r="N10931" s="676"/>
    </row>
    <row r="10932" spans="14:14" x14ac:dyDescent="0.35">
      <c r="N10932" s="676"/>
    </row>
    <row r="10933" spans="14:14" x14ac:dyDescent="0.35">
      <c r="N10933" s="676"/>
    </row>
    <row r="10934" spans="14:14" x14ac:dyDescent="0.35">
      <c r="N10934" s="676"/>
    </row>
    <row r="10935" spans="14:14" x14ac:dyDescent="0.35">
      <c r="N10935" s="676"/>
    </row>
    <row r="10936" spans="14:14" x14ac:dyDescent="0.35">
      <c r="N10936" s="676"/>
    </row>
    <row r="10937" spans="14:14" x14ac:dyDescent="0.35">
      <c r="N10937" s="676"/>
    </row>
    <row r="10938" spans="14:14" x14ac:dyDescent="0.35">
      <c r="N10938" s="676"/>
    </row>
    <row r="10939" spans="14:14" x14ac:dyDescent="0.35">
      <c r="N10939" s="676"/>
    </row>
    <row r="10940" spans="14:14" x14ac:dyDescent="0.35">
      <c r="N10940" s="676"/>
    </row>
    <row r="10941" spans="14:14" x14ac:dyDescent="0.35">
      <c r="N10941" s="676"/>
    </row>
    <row r="10942" spans="14:14" x14ac:dyDescent="0.35">
      <c r="N10942" s="676"/>
    </row>
    <row r="10943" spans="14:14" x14ac:dyDescent="0.35">
      <c r="N10943" s="676"/>
    </row>
    <row r="10944" spans="14:14" x14ac:dyDescent="0.35">
      <c r="N10944" s="676"/>
    </row>
    <row r="10945" spans="14:14" x14ac:dyDescent="0.35">
      <c r="N10945" s="676"/>
    </row>
    <row r="10946" spans="14:14" x14ac:dyDescent="0.35">
      <c r="N10946" s="676"/>
    </row>
    <row r="10947" spans="14:14" x14ac:dyDescent="0.35">
      <c r="N10947" s="676"/>
    </row>
    <row r="10948" spans="14:14" x14ac:dyDescent="0.35">
      <c r="N10948" s="676"/>
    </row>
    <row r="10949" spans="14:14" x14ac:dyDescent="0.35">
      <c r="N10949" s="676"/>
    </row>
    <row r="10950" spans="14:14" x14ac:dyDescent="0.35">
      <c r="N10950" s="676"/>
    </row>
    <row r="10951" spans="14:14" x14ac:dyDescent="0.35">
      <c r="N10951" s="676"/>
    </row>
    <row r="10952" spans="14:14" x14ac:dyDescent="0.35">
      <c r="N10952" s="676"/>
    </row>
    <row r="10953" spans="14:14" x14ac:dyDescent="0.35">
      <c r="N10953" s="676"/>
    </row>
    <row r="10954" spans="14:14" x14ac:dyDescent="0.35">
      <c r="N10954" s="676"/>
    </row>
    <row r="10955" spans="14:14" x14ac:dyDescent="0.35">
      <c r="N10955" s="676"/>
    </row>
    <row r="10956" spans="14:14" x14ac:dyDescent="0.35">
      <c r="N10956" s="676"/>
    </row>
    <row r="10957" spans="14:14" x14ac:dyDescent="0.35">
      <c r="N10957" s="676"/>
    </row>
    <row r="10958" spans="14:14" x14ac:dyDescent="0.35">
      <c r="N10958" s="676"/>
    </row>
    <row r="10959" spans="14:14" x14ac:dyDescent="0.35">
      <c r="N10959" s="676"/>
    </row>
    <row r="10960" spans="14:14" x14ac:dyDescent="0.35">
      <c r="N10960" s="676"/>
    </row>
    <row r="10961" spans="14:14" x14ac:dyDescent="0.35">
      <c r="N10961" s="676"/>
    </row>
    <row r="10962" spans="14:14" x14ac:dyDescent="0.35">
      <c r="N10962" s="676"/>
    </row>
    <row r="10963" spans="14:14" x14ac:dyDescent="0.35">
      <c r="N10963" s="676"/>
    </row>
    <row r="10964" spans="14:14" x14ac:dyDescent="0.35">
      <c r="N10964" s="676"/>
    </row>
    <row r="10965" spans="14:14" x14ac:dyDescent="0.35">
      <c r="N10965" s="676"/>
    </row>
    <row r="10966" spans="14:14" x14ac:dyDescent="0.35">
      <c r="N10966" s="676"/>
    </row>
    <row r="10967" spans="14:14" x14ac:dyDescent="0.35">
      <c r="N10967" s="676"/>
    </row>
    <row r="10968" spans="14:14" x14ac:dyDescent="0.35">
      <c r="N10968" s="676"/>
    </row>
    <row r="10969" spans="14:14" x14ac:dyDescent="0.35">
      <c r="N10969" s="676"/>
    </row>
    <row r="10970" spans="14:14" x14ac:dyDescent="0.35">
      <c r="N10970" s="676"/>
    </row>
    <row r="10971" spans="14:14" x14ac:dyDescent="0.35">
      <c r="N10971" s="676"/>
    </row>
    <row r="10972" spans="14:14" x14ac:dyDescent="0.35">
      <c r="N10972" s="676"/>
    </row>
    <row r="10973" spans="14:14" x14ac:dyDescent="0.35">
      <c r="N10973" s="676"/>
    </row>
    <row r="10974" spans="14:14" x14ac:dyDescent="0.35">
      <c r="N10974" s="676"/>
    </row>
    <row r="10975" spans="14:14" x14ac:dyDescent="0.35">
      <c r="N10975" s="676"/>
    </row>
    <row r="10976" spans="14:14" x14ac:dyDescent="0.35">
      <c r="N10976" s="676"/>
    </row>
    <row r="10977" spans="14:14" x14ac:dyDescent="0.35">
      <c r="N10977" s="676"/>
    </row>
    <row r="10978" spans="14:14" x14ac:dyDescent="0.35">
      <c r="N10978" s="676"/>
    </row>
    <row r="10979" spans="14:14" x14ac:dyDescent="0.35">
      <c r="N10979" s="676"/>
    </row>
    <row r="10980" spans="14:14" x14ac:dyDescent="0.35">
      <c r="N10980" s="676"/>
    </row>
    <row r="10981" spans="14:14" x14ac:dyDescent="0.35">
      <c r="N10981" s="676"/>
    </row>
    <row r="10982" spans="14:14" x14ac:dyDescent="0.35">
      <c r="N10982" s="676"/>
    </row>
    <row r="10983" spans="14:14" x14ac:dyDescent="0.35">
      <c r="N10983" s="676"/>
    </row>
    <row r="10984" spans="14:14" x14ac:dyDescent="0.35">
      <c r="N10984" s="676"/>
    </row>
    <row r="10985" spans="14:14" x14ac:dyDescent="0.35">
      <c r="N10985" s="676"/>
    </row>
    <row r="10986" spans="14:14" x14ac:dyDescent="0.35">
      <c r="N10986" s="676"/>
    </row>
    <row r="10987" spans="14:14" x14ac:dyDescent="0.35">
      <c r="N10987" s="676"/>
    </row>
    <row r="10988" spans="14:14" x14ac:dyDescent="0.35">
      <c r="N10988" s="676"/>
    </row>
    <row r="10989" spans="14:14" x14ac:dyDescent="0.35">
      <c r="N10989" s="676"/>
    </row>
    <row r="10990" spans="14:14" x14ac:dyDescent="0.35">
      <c r="N10990" s="676"/>
    </row>
    <row r="10991" spans="14:14" x14ac:dyDescent="0.35">
      <c r="N10991" s="676"/>
    </row>
    <row r="10992" spans="14:14" x14ac:dyDescent="0.35">
      <c r="N10992" s="676"/>
    </row>
    <row r="10993" spans="14:14" x14ac:dyDescent="0.35">
      <c r="N10993" s="676"/>
    </row>
    <row r="10994" spans="14:14" x14ac:dyDescent="0.35">
      <c r="N10994" s="676"/>
    </row>
    <row r="10995" spans="14:14" x14ac:dyDescent="0.35">
      <c r="N10995" s="676"/>
    </row>
    <row r="10996" spans="14:14" x14ac:dyDescent="0.35">
      <c r="N10996" s="676"/>
    </row>
    <row r="10997" spans="14:14" x14ac:dyDescent="0.35">
      <c r="N10997" s="676"/>
    </row>
    <row r="10998" spans="14:14" x14ac:dyDescent="0.35">
      <c r="N10998" s="676"/>
    </row>
    <row r="10999" spans="14:14" x14ac:dyDescent="0.35">
      <c r="N10999" s="676"/>
    </row>
    <row r="11000" spans="14:14" x14ac:dyDescent="0.35">
      <c r="N11000" s="676"/>
    </row>
    <row r="11001" spans="14:14" x14ac:dyDescent="0.35">
      <c r="N11001" s="676"/>
    </row>
    <row r="11002" spans="14:14" x14ac:dyDescent="0.35">
      <c r="N11002" s="676"/>
    </row>
    <row r="11003" spans="14:14" x14ac:dyDescent="0.35">
      <c r="N11003" s="676"/>
    </row>
    <row r="11004" spans="14:14" x14ac:dyDescent="0.35">
      <c r="N11004" s="676"/>
    </row>
    <row r="11005" spans="14:14" x14ac:dyDescent="0.35">
      <c r="N11005" s="676"/>
    </row>
    <row r="11006" spans="14:14" x14ac:dyDescent="0.35">
      <c r="N11006" s="676"/>
    </row>
    <row r="11007" spans="14:14" x14ac:dyDescent="0.35">
      <c r="N11007" s="676"/>
    </row>
    <row r="11008" spans="14:14" x14ac:dyDescent="0.35">
      <c r="N11008" s="676"/>
    </row>
    <row r="11009" spans="14:14" x14ac:dyDescent="0.35">
      <c r="N11009" s="676"/>
    </row>
    <row r="11010" spans="14:14" x14ac:dyDescent="0.35">
      <c r="N11010" s="676"/>
    </row>
    <row r="11011" spans="14:14" x14ac:dyDescent="0.35">
      <c r="N11011" s="676"/>
    </row>
    <row r="11012" spans="14:14" x14ac:dyDescent="0.35">
      <c r="N11012" s="676"/>
    </row>
    <row r="11013" spans="14:14" x14ac:dyDescent="0.35">
      <c r="N11013" s="676"/>
    </row>
    <row r="11014" spans="14:14" x14ac:dyDescent="0.35">
      <c r="N11014" s="676"/>
    </row>
    <row r="11015" spans="14:14" x14ac:dyDescent="0.35">
      <c r="N11015" s="676"/>
    </row>
    <row r="11016" spans="14:14" x14ac:dyDescent="0.35">
      <c r="N11016" s="676"/>
    </row>
    <row r="11017" spans="14:14" x14ac:dyDescent="0.35">
      <c r="N11017" s="676"/>
    </row>
    <row r="11018" spans="14:14" x14ac:dyDescent="0.35">
      <c r="N11018" s="676"/>
    </row>
    <row r="11019" spans="14:14" x14ac:dyDescent="0.35">
      <c r="N11019" s="676"/>
    </row>
    <row r="11020" spans="14:14" x14ac:dyDescent="0.35">
      <c r="N11020" s="676"/>
    </row>
    <row r="11021" spans="14:14" x14ac:dyDescent="0.35">
      <c r="N11021" s="676"/>
    </row>
    <row r="11022" spans="14:14" x14ac:dyDescent="0.35">
      <c r="N11022" s="676"/>
    </row>
    <row r="11023" spans="14:14" x14ac:dyDescent="0.35">
      <c r="N11023" s="676"/>
    </row>
    <row r="11024" spans="14:14" x14ac:dyDescent="0.35">
      <c r="N11024" s="676"/>
    </row>
    <row r="11025" spans="14:14" x14ac:dyDescent="0.35">
      <c r="N11025" s="676"/>
    </row>
    <row r="11026" spans="14:14" x14ac:dyDescent="0.35">
      <c r="N11026" s="676"/>
    </row>
    <row r="11027" spans="14:14" x14ac:dyDescent="0.35">
      <c r="N11027" s="676"/>
    </row>
    <row r="11028" spans="14:14" x14ac:dyDescent="0.35">
      <c r="N11028" s="676"/>
    </row>
    <row r="11029" spans="14:14" x14ac:dyDescent="0.35">
      <c r="N11029" s="676"/>
    </row>
    <row r="11030" spans="14:14" x14ac:dyDescent="0.35">
      <c r="N11030" s="676"/>
    </row>
    <row r="11031" spans="14:14" x14ac:dyDescent="0.35">
      <c r="N11031" s="676"/>
    </row>
    <row r="11032" spans="14:14" x14ac:dyDescent="0.35">
      <c r="N11032" s="676"/>
    </row>
    <row r="11033" spans="14:14" x14ac:dyDescent="0.35">
      <c r="N11033" s="676"/>
    </row>
    <row r="11034" spans="14:14" x14ac:dyDescent="0.35">
      <c r="N11034" s="676"/>
    </row>
    <row r="11035" spans="14:14" x14ac:dyDescent="0.35">
      <c r="N11035" s="676"/>
    </row>
    <row r="11036" spans="14:14" x14ac:dyDescent="0.35">
      <c r="N11036" s="676"/>
    </row>
    <row r="11037" spans="14:14" x14ac:dyDescent="0.35">
      <c r="N11037" s="676"/>
    </row>
    <row r="11038" spans="14:14" x14ac:dyDescent="0.35">
      <c r="N11038" s="676"/>
    </row>
    <row r="11039" spans="14:14" x14ac:dyDescent="0.35">
      <c r="N11039" s="676"/>
    </row>
    <row r="11040" spans="14:14" x14ac:dyDescent="0.35">
      <c r="N11040" s="676"/>
    </row>
    <row r="11041" spans="14:14" x14ac:dyDescent="0.35">
      <c r="N11041" s="676"/>
    </row>
    <row r="11042" spans="14:14" x14ac:dyDescent="0.35">
      <c r="N11042" s="676"/>
    </row>
    <row r="11043" spans="14:14" x14ac:dyDescent="0.35">
      <c r="N11043" s="676"/>
    </row>
    <row r="11044" spans="14:14" x14ac:dyDescent="0.35">
      <c r="N11044" s="676"/>
    </row>
    <row r="11045" spans="14:14" x14ac:dyDescent="0.35">
      <c r="N11045" s="676"/>
    </row>
    <row r="11046" spans="14:14" x14ac:dyDescent="0.35">
      <c r="N11046" s="676"/>
    </row>
    <row r="11047" spans="14:14" x14ac:dyDescent="0.35">
      <c r="N11047" s="676"/>
    </row>
    <row r="11048" spans="14:14" x14ac:dyDescent="0.35">
      <c r="N11048" s="676"/>
    </row>
    <row r="11049" spans="14:14" x14ac:dyDescent="0.35">
      <c r="N11049" s="676"/>
    </row>
    <row r="11050" spans="14:14" x14ac:dyDescent="0.35">
      <c r="N11050" s="676"/>
    </row>
    <row r="11051" spans="14:14" x14ac:dyDescent="0.35">
      <c r="N11051" s="676"/>
    </row>
    <row r="11052" spans="14:14" x14ac:dyDescent="0.35">
      <c r="N11052" s="676"/>
    </row>
    <row r="11053" spans="14:14" x14ac:dyDescent="0.35">
      <c r="N11053" s="676"/>
    </row>
    <row r="11054" spans="14:14" x14ac:dyDescent="0.35">
      <c r="N11054" s="676"/>
    </row>
    <row r="11055" spans="14:14" x14ac:dyDescent="0.35">
      <c r="N11055" s="676"/>
    </row>
    <row r="11056" spans="14:14" x14ac:dyDescent="0.35">
      <c r="N11056" s="676"/>
    </row>
    <row r="11057" spans="14:14" x14ac:dyDescent="0.35">
      <c r="N11057" s="676"/>
    </row>
    <row r="11058" spans="14:14" x14ac:dyDescent="0.35">
      <c r="N11058" s="676"/>
    </row>
    <row r="11059" spans="14:14" x14ac:dyDescent="0.35">
      <c r="N11059" s="676"/>
    </row>
    <row r="11060" spans="14:14" x14ac:dyDescent="0.35">
      <c r="N11060" s="676"/>
    </row>
    <row r="11061" spans="14:14" x14ac:dyDescent="0.35">
      <c r="N11061" s="676"/>
    </row>
    <row r="11062" spans="14:14" x14ac:dyDescent="0.35">
      <c r="N11062" s="676"/>
    </row>
    <row r="11063" spans="14:14" x14ac:dyDescent="0.35">
      <c r="N11063" s="676"/>
    </row>
    <row r="11064" spans="14:14" x14ac:dyDescent="0.35">
      <c r="N11064" s="676"/>
    </row>
    <row r="11065" spans="14:14" x14ac:dyDescent="0.35">
      <c r="N11065" s="676"/>
    </row>
    <row r="11066" spans="14:14" x14ac:dyDescent="0.35">
      <c r="N11066" s="676"/>
    </row>
    <row r="11067" spans="14:14" x14ac:dyDescent="0.35">
      <c r="N11067" s="676"/>
    </row>
    <row r="11068" spans="14:14" x14ac:dyDescent="0.35">
      <c r="N11068" s="676"/>
    </row>
    <row r="11069" spans="14:14" x14ac:dyDescent="0.35">
      <c r="N11069" s="676"/>
    </row>
    <row r="11070" spans="14:14" x14ac:dyDescent="0.35">
      <c r="N11070" s="676"/>
    </row>
    <row r="11071" spans="14:14" x14ac:dyDescent="0.35">
      <c r="N11071" s="676"/>
    </row>
    <row r="11072" spans="14:14" x14ac:dyDescent="0.35">
      <c r="N11072" s="676"/>
    </row>
    <row r="11073" spans="14:14" x14ac:dyDescent="0.35">
      <c r="N11073" s="676"/>
    </row>
    <row r="11074" spans="14:14" x14ac:dyDescent="0.35">
      <c r="N11074" s="676"/>
    </row>
    <row r="11075" spans="14:14" x14ac:dyDescent="0.35">
      <c r="N11075" s="676"/>
    </row>
    <row r="11076" spans="14:14" x14ac:dyDescent="0.35">
      <c r="N11076" s="676"/>
    </row>
    <row r="11077" spans="14:14" x14ac:dyDescent="0.35">
      <c r="N11077" s="676"/>
    </row>
    <row r="11078" spans="14:14" x14ac:dyDescent="0.35">
      <c r="N11078" s="676"/>
    </row>
    <row r="11079" spans="14:14" x14ac:dyDescent="0.35">
      <c r="N11079" s="676"/>
    </row>
    <row r="11080" spans="14:14" x14ac:dyDescent="0.35">
      <c r="N11080" s="676"/>
    </row>
    <row r="11081" spans="14:14" x14ac:dyDescent="0.35">
      <c r="N11081" s="676"/>
    </row>
    <row r="11082" spans="14:14" x14ac:dyDescent="0.35">
      <c r="N11082" s="676"/>
    </row>
    <row r="11083" spans="14:14" x14ac:dyDescent="0.35">
      <c r="N11083" s="676"/>
    </row>
    <row r="11084" spans="14:14" x14ac:dyDescent="0.35">
      <c r="N11084" s="676"/>
    </row>
    <row r="11085" spans="14:14" x14ac:dyDescent="0.35">
      <c r="N11085" s="676"/>
    </row>
    <row r="11086" spans="14:14" x14ac:dyDescent="0.35">
      <c r="N11086" s="676"/>
    </row>
    <row r="11087" spans="14:14" x14ac:dyDescent="0.35">
      <c r="N11087" s="676"/>
    </row>
    <row r="11088" spans="14:14" x14ac:dyDescent="0.35">
      <c r="N11088" s="676"/>
    </row>
    <row r="11089" spans="14:14" x14ac:dyDescent="0.35">
      <c r="N11089" s="676"/>
    </row>
    <row r="11090" spans="14:14" x14ac:dyDescent="0.35">
      <c r="N11090" s="676"/>
    </row>
    <row r="11091" spans="14:14" x14ac:dyDescent="0.35">
      <c r="N11091" s="676"/>
    </row>
    <row r="11092" spans="14:14" x14ac:dyDescent="0.35">
      <c r="N11092" s="676"/>
    </row>
    <row r="11093" spans="14:14" x14ac:dyDescent="0.35">
      <c r="N11093" s="676"/>
    </row>
    <row r="11094" spans="14:14" x14ac:dyDescent="0.35">
      <c r="N11094" s="676"/>
    </row>
    <row r="11095" spans="14:14" x14ac:dyDescent="0.35">
      <c r="N11095" s="676"/>
    </row>
    <row r="11096" spans="14:14" x14ac:dyDescent="0.35">
      <c r="N11096" s="676"/>
    </row>
    <row r="11097" spans="14:14" x14ac:dyDescent="0.35">
      <c r="N11097" s="676"/>
    </row>
    <row r="11098" spans="14:14" x14ac:dyDescent="0.35">
      <c r="N11098" s="676"/>
    </row>
    <row r="11099" spans="14:14" x14ac:dyDescent="0.35">
      <c r="N11099" s="676"/>
    </row>
    <row r="11100" spans="14:14" x14ac:dyDescent="0.35">
      <c r="N11100" s="676"/>
    </row>
    <row r="11101" spans="14:14" x14ac:dyDescent="0.35">
      <c r="N11101" s="676"/>
    </row>
    <row r="11102" spans="14:14" x14ac:dyDescent="0.35">
      <c r="N11102" s="676"/>
    </row>
    <row r="11103" spans="14:14" x14ac:dyDescent="0.35">
      <c r="N11103" s="676"/>
    </row>
    <row r="11104" spans="14:14" x14ac:dyDescent="0.35">
      <c r="N11104" s="676"/>
    </row>
    <row r="11105" spans="14:14" x14ac:dyDescent="0.35">
      <c r="N11105" s="676"/>
    </row>
    <row r="11106" spans="14:14" x14ac:dyDescent="0.35">
      <c r="N11106" s="676"/>
    </row>
    <row r="11107" spans="14:14" x14ac:dyDescent="0.35">
      <c r="N11107" s="676"/>
    </row>
    <row r="11108" spans="14:14" x14ac:dyDescent="0.35">
      <c r="N11108" s="676"/>
    </row>
    <row r="11109" spans="14:14" x14ac:dyDescent="0.35">
      <c r="N11109" s="676"/>
    </row>
    <row r="11110" spans="14:14" x14ac:dyDescent="0.35">
      <c r="N11110" s="676"/>
    </row>
    <row r="11111" spans="14:14" x14ac:dyDescent="0.35">
      <c r="N11111" s="676"/>
    </row>
    <row r="11112" spans="14:14" x14ac:dyDescent="0.35">
      <c r="N11112" s="676"/>
    </row>
    <row r="11113" spans="14:14" x14ac:dyDescent="0.35">
      <c r="N11113" s="676"/>
    </row>
    <row r="11114" spans="14:14" x14ac:dyDescent="0.35">
      <c r="N11114" s="676"/>
    </row>
    <row r="11115" spans="14:14" x14ac:dyDescent="0.35">
      <c r="N11115" s="676"/>
    </row>
    <row r="11116" spans="14:14" x14ac:dyDescent="0.35">
      <c r="N11116" s="676"/>
    </row>
    <row r="11117" spans="14:14" x14ac:dyDescent="0.35">
      <c r="N11117" s="676"/>
    </row>
    <row r="11118" spans="14:14" x14ac:dyDescent="0.35">
      <c r="N11118" s="676"/>
    </row>
    <row r="11119" spans="14:14" x14ac:dyDescent="0.35">
      <c r="N11119" s="676"/>
    </row>
    <row r="11120" spans="14:14" x14ac:dyDescent="0.35">
      <c r="N11120" s="676"/>
    </row>
    <row r="11121" spans="14:14" x14ac:dyDescent="0.35">
      <c r="N11121" s="676"/>
    </row>
    <row r="11122" spans="14:14" x14ac:dyDescent="0.35">
      <c r="N11122" s="676"/>
    </row>
    <row r="11123" spans="14:14" x14ac:dyDescent="0.35">
      <c r="N11123" s="676"/>
    </row>
    <row r="11124" spans="14:14" x14ac:dyDescent="0.35">
      <c r="N11124" s="676"/>
    </row>
    <row r="11125" spans="14:14" x14ac:dyDescent="0.35">
      <c r="N11125" s="676"/>
    </row>
    <row r="11126" spans="14:14" x14ac:dyDescent="0.35">
      <c r="N11126" s="676"/>
    </row>
    <row r="11127" spans="14:14" x14ac:dyDescent="0.35">
      <c r="N11127" s="676"/>
    </row>
    <row r="11128" spans="14:14" x14ac:dyDescent="0.35">
      <c r="N11128" s="676"/>
    </row>
    <row r="11129" spans="14:14" x14ac:dyDescent="0.35">
      <c r="N11129" s="676"/>
    </row>
    <row r="11130" spans="14:14" x14ac:dyDescent="0.35">
      <c r="N11130" s="676"/>
    </row>
    <row r="11131" spans="14:14" x14ac:dyDescent="0.35">
      <c r="N11131" s="676"/>
    </row>
    <row r="11132" spans="14:14" x14ac:dyDescent="0.35">
      <c r="N11132" s="676"/>
    </row>
    <row r="11133" spans="14:14" x14ac:dyDescent="0.35">
      <c r="N11133" s="676"/>
    </row>
    <row r="11134" spans="14:14" x14ac:dyDescent="0.35">
      <c r="N11134" s="676"/>
    </row>
    <row r="11135" spans="14:14" x14ac:dyDescent="0.35">
      <c r="N11135" s="676"/>
    </row>
    <row r="11136" spans="14:14" x14ac:dyDescent="0.35">
      <c r="N11136" s="676"/>
    </row>
    <row r="11137" spans="14:14" x14ac:dyDescent="0.35">
      <c r="N11137" s="676"/>
    </row>
    <row r="11138" spans="14:14" x14ac:dyDescent="0.35">
      <c r="N11138" s="676"/>
    </row>
    <row r="11139" spans="14:14" x14ac:dyDescent="0.35">
      <c r="N11139" s="676"/>
    </row>
    <row r="11140" spans="14:14" x14ac:dyDescent="0.35">
      <c r="N11140" s="676"/>
    </row>
    <row r="11141" spans="14:14" x14ac:dyDescent="0.35">
      <c r="N11141" s="676"/>
    </row>
    <row r="11142" spans="14:14" x14ac:dyDescent="0.35">
      <c r="N11142" s="676"/>
    </row>
    <row r="11143" spans="14:14" x14ac:dyDescent="0.35">
      <c r="N11143" s="676"/>
    </row>
    <row r="11144" spans="14:14" x14ac:dyDescent="0.35">
      <c r="N11144" s="676"/>
    </row>
    <row r="11145" spans="14:14" x14ac:dyDescent="0.35">
      <c r="N11145" s="676"/>
    </row>
    <row r="11146" spans="14:14" x14ac:dyDescent="0.35">
      <c r="N11146" s="676"/>
    </row>
    <row r="11147" spans="14:14" x14ac:dyDescent="0.35">
      <c r="N11147" s="676"/>
    </row>
    <row r="11148" spans="14:14" x14ac:dyDescent="0.35">
      <c r="N11148" s="676"/>
    </row>
    <row r="11149" spans="14:14" x14ac:dyDescent="0.35">
      <c r="N11149" s="676"/>
    </row>
    <row r="11150" spans="14:14" x14ac:dyDescent="0.35">
      <c r="N11150" s="676"/>
    </row>
    <row r="11151" spans="14:14" x14ac:dyDescent="0.35">
      <c r="N11151" s="676"/>
    </row>
    <row r="11152" spans="14:14" x14ac:dyDescent="0.35">
      <c r="N11152" s="676"/>
    </row>
    <row r="11153" spans="14:14" x14ac:dyDescent="0.35">
      <c r="N11153" s="676"/>
    </row>
    <row r="11154" spans="14:14" x14ac:dyDescent="0.35">
      <c r="N11154" s="676"/>
    </row>
    <row r="11155" spans="14:14" x14ac:dyDescent="0.35">
      <c r="N11155" s="676"/>
    </row>
    <row r="11156" spans="14:14" x14ac:dyDescent="0.35">
      <c r="N11156" s="676"/>
    </row>
    <row r="11157" spans="14:14" x14ac:dyDescent="0.35">
      <c r="N11157" s="676"/>
    </row>
    <row r="11158" spans="14:14" x14ac:dyDescent="0.35">
      <c r="N11158" s="676"/>
    </row>
    <row r="11159" spans="14:14" x14ac:dyDescent="0.35">
      <c r="N11159" s="676"/>
    </row>
    <row r="11160" spans="14:14" x14ac:dyDescent="0.35">
      <c r="N11160" s="676"/>
    </row>
    <row r="11161" spans="14:14" x14ac:dyDescent="0.35">
      <c r="N11161" s="676"/>
    </row>
    <row r="11162" spans="14:14" x14ac:dyDescent="0.35">
      <c r="N11162" s="676"/>
    </row>
    <row r="11163" spans="14:14" x14ac:dyDescent="0.35">
      <c r="N11163" s="676"/>
    </row>
    <row r="11164" spans="14:14" x14ac:dyDescent="0.35">
      <c r="N11164" s="676"/>
    </row>
    <row r="11165" spans="14:14" x14ac:dyDescent="0.35">
      <c r="N11165" s="676"/>
    </row>
    <row r="11166" spans="14:14" x14ac:dyDescent="0.35">
      <c r="N11166" s="676"/>
    </row>
    <row r="11167" spans="14:14" x14ac:dyDescent="0.35">
      <c r="N11167" s="676"/>
    </row>
    <row r="11168" spans="14:14" x14ac:dyDescent="0.35">
      <c r="N11168" s="676"/>
    </row>
    <row r="11169" spans="14:14" x14ac:dyDescent="0.35">
      <c r="N11169" s="676"/>
    </row>
    <row r="11170" spans="14:14" x14ac:dyDescent="0.35">
      <c r="N11170" s="676"/>
    </row>
    <row r="11171" spans="14:14" x14ac:dyDescent="0.35">
      <c r="N11171" s="676"/>
    </row>
    <row r="11172" spans="14:14" x14ac:dyDescent="0.35">
      <c r="N11172" s="676"/>
    </row>
    <row r="11173" spans="14:14" x14ac:dyDescent="0.35">
      <c r="N11173" s="676"/>
    </row>
    <row r="11174" spans="14:14" x14ac:dyDescent="0.35">
      <c r="N11174" s="676"/>
    </row>
    <row r="11175" spans="14:14" x14ac:dyDescent="0.35">
      <c r="N11175" s="676"/>
    </row>
    <row r="11176" spans="14:14" x14ac:dyDescent="0.35">
      <c r="N11176" s="676"/>
    </row>
    <row r="11177" spans="14:14" x14ac:dyDescent="0.35">
      <c r="N11177" s="676"/>
    </row>
    <row r="11178" spans="14:14" x14ac:dyDescent="0.35">
      <c r="N11178" s="676"/>
    </row>
    <row r="11179" spans="14:14" x14ac:dyDescent="0.35">
      <c r="N11179" s="676"/>
    </row>
    <row r="11180" spans="14:14" x14ac:dyDescent="0.35">
      <c r="N11180" s="676"/>
    </row>
    <row r="11181" spans="14:14" x14ac:dyDescent="0.35">
      <c r="N11181" s="676"/>
    </row>
    <row r="11182" spans="14:14" x14ac:dyDescent="0.35">
      <c r="N11182" s="676"/>
    </row>
    <row r="11183" spans="14:14" x14ac:dyDescent="0.35">
      <c r="N11183" s="676"/>
    </row>
    <row r="11184" spans="14:14" x14ac:dyDescent="0.35">
      <c r="N11184" s="676"/>
    </row>
    <row r="11185" spans="14:14" x14ac:dyDescent="0.35">
      <c r="N11185" s="676"/>
    </row>
    <row r="11186" spans="14:14" x14ac:dyDescent="0.35">
      <c r="N11186" s="676"/>
    </row>
    <row r="11187" spans="14:14" x14ac:dyDescent="0.35">
      <c r="N11187" s="676"/>
    </row>
    <row r="11188" spans="14:14" x14ac:dyDescent="0.35">
      <c r="N11188" s="676"/>
    </row>
    <row r="11189" spans="14:14" x14ac:dyDescent="0.35">
      <c r="N11189" s="676"/>
    </row>
    <row r="11190" spans="14:14" x14ac:dyDescent="0.35">
      <c r="N11190" s="676"/>
    </row>
    <row r="11191" spans="14:14" x14ac:dyDescent="0.35">
      <c r="N11191" s="676"/>
    </row>
    <row r="11192" spans="14:14" x14ac:dyDescent="0.35">
      <c r="N11192" s="676"/>
    </row>
    <row r="11193" spans="14:14" x14ac:dyDescent="0.35">
      <c r="N11193" s="676"/>
    </row>
    <row r="11194" spans="14:14" x14ac:dyDescent="0.35">
      <c r="N11194" s="676"/>
    </row>
    <row r="11195" spans="14:14" x14ac:dyDescent="0.35">
      <c r="N11195" s="676"/>
    </row>
    <row r="11196" spans="14:14" x14ac:dyDescent="0.35">
      <c r="N11196" s="676"/>
    </row>
    <row r="11197" spans="14:14" x14ac:dyDescent="0.35">
      <c r="N11197" s="676"/>
    </row>
    <row r="11198" spans="14:14" x14ac:dyDescent="0.35">
      <c r="N11198" s="676"/>
    </row>
    <row r="11199" spans="14:14" x14ac:dyDescent="0.35">
      <c r="N11199" s="676"/>
    </row>
    <row r="11200" spans="14:14" x14ac:dyDescent="0.35">
      <c r="N11200" s="676"/>
    </row>
    <row r="11201" spans="14:14" x14ac:dyDescent="0.35">
      <c r="N11201" s="676"/>
    </row>
    <row r="11202" spans="14:14" x14ac:dyDescent="0.35">
      <c r="N11202" s="676"/>
    </row>
    <row r="11203" spans="14:14" x14ac:dyDescent="0.35">
      <c r="N11203" s="676"/>
    </row>
    <row r="11204" spans="14:14" x14ac:dyDescent="0.35">
      <c r="N11204" s="676"/>
    </row>
    <row r="11205" spans="14:14" x14ac:dyDescent="0.35">
      <c r="N11205" s="676"/>
    </row>
    <row r="11206" spans="14:14" x14ac:dyDescent="0.35">
      <c r="N11206" s="676"/>
    </row>
    <row r="11207" spans="14:14" x14ac:dyDescent="0.35">
      <c r="N11207" s="676"/>
    </row>
    <row r="11208" spans="14:14" x14ac:dyDescent="0.35">
      <c r="N11208" s="676"/>
    </row>
    <row r="11209" spans="14:14" x14ac:dyDescent="0.35">
      <c r="N11209" s="676"/>
    </row>
    <row r="11210" spans="14:14" x14ac:dyDescent="0.35">
      <c r="N11210" s="676"/>
    </row>
    <row r="11211" spans="14:14" x14ac:dyDescent="0.35">
      <c r="N11211" s="676"/>
    </row>
    <row r="11212" spans="14:14" x14ac:dyDescent="0.35">
      <c r="N11212" s="676"/>
    </row>
    <row r="11213" spans="14:14" x14ac:dyDescent="0.35">
      <c r="N11213" s="676"/>
    </row>
    <row r="11214" spans="14:14" x14ac:dyDescent="0.35">
      <c r="N11214" s="676"/>
    </row>
    <row r="11215" spans="14:14" x14ac:dyDescent="0.35">
      <c r="N11215" s="676"/>
    </row>
    <row r="11216" spans="14:14" x14ac:dyDescent="0.35">
      <c r="N11216" s="676"/>
    </row>
    <row r="11217" spans="14:14" x14ac:dyDescent="0.35">
      <c r="N11217" s="676"/>
    </row>
    <row r="11218" spans="14:14" x14ac:dyDescent="0.35">
      <c r="N11218" s="676"/>
    </row>
    <row r="11219" spans="14:14" x14ac:dyDescent="0.35">
      <c r="N11219" s="676"/>
    </row>
    <row r="11220" spans="14:14" x14ac:dyDescent="0.35">
      <c r="N11220" s="676"/>
    </row>
    <row r="11221" spans="14:14" x14ac:dyDescent="0.35">
      <c r="N11221" s="676"/>
    </row>
    <row r="11222" spans="14:14" x14ac:dyDescent="0.35">
      <c r="N11222" s="676"/>
    </row>
    <row r="11223" spans="14:14" x14ac:dyDescent="0.35">
      <c r="N11223" s="676"/>
    </row>
    <row r="11224" spans="14:14" x14ac:dyDescent="0.35">
      <c r="N11224" s="676"/>
    </row>
    <row r="11225" spans="14:14" x14ac:dyDescent="0.35">
      <c r="N11225" s="676"/>
    </row>
    <row r="11226" spans="14:14" x14ac:dyDescent="0.35">
      <c r="N11226" s="676"/>
    </row>
    <row r="11227" spans="14:14" x14ac:dyDescent="0.35">
      <c r="N11227" s="676"/>
    </row>
    <row r="11228" spans="14:14" x14ac:dyDescent="0.35">
      <c r="N11228" s="676"/>
    </row>
    <row r="11229" spans="14:14" x14ac:dyDescent="0.35">
      <c r="N11229" s="676"/>
    </row>
    <row r="11230" spans="14:14" x14ac:dyDescent="0.35">
      <c r="N11230" s="676"/>
    </row>
    <row r="11231" spans="14:14" x14ac:dyDescent="0.35">
      <c r="N11231" s="676"/>
    </row>
    <row r="11232" spans="14:14" x14ac:dyDescent="0.35">
      <c r="N11232" s="676"/>
    </row>
    <row r="11233" spans="14:14" x14ac:dyDescent="0.35">
      <c r="N11233" s="676"/>
    </row>
    <row r="11234" spans="14:14" x14ac:dyDescent="0.35">
      <c r="N11234" s="676"/>
    </row>
    <row r="11235" spans="14:14" x14ac:dyDescent="0.35">
      <c r="N11235" s="676"/>
    </row>
    <row r="11236" spans="14:14" x14ac:dyDescent="0.35">
      <c r="N11236" s="676"/>
    </row>
    <row r="11237" spans="14:14" x14ac:dyDescent="0.35">
      <c r="N11237" s="676"/>
    </row>
    <row r="11238" spans="14:14" x14ac:dyDescent="0.35">
      <c r="N11238" s="676"/>
    </row>
    <row r="11239" spans="14:14" x14ac:dyDescent="0.35">
      <c r="N11239" s="676"/>
    </row>
    <row r="11240" spans="14:14" x14ac:dyDescent="0.35">
      <c r="N11240" s="676"/>
    </row>
    <row r="11241" spans="14:14" x14ac:dyDescent="0.35">
      <c r="N11241" s="676"/>
    </row>
    <row r="11242" spans="14:14" x14ac:dyDescent="0.35">
      <c r="N11242" s="676"/>
    </row>
    <row r="11243" spans="14:14" x14ac:dyDescent="0.35">
      <c r="N11243" s="676"/>
    </row>
    <row r="11244" spans="14:14" x14ac:dyDescent="0.35">
      <c r="N11244" s="676"/>
    </row>
    <row r="11245" spans="14:14" x14ac:dyDescent="0.35">
      <c r="N11245" s="676"/>
    </row>
    <row r="11246" spans="14:14" x14ac:dyDescent="0.35">
      <c r="N11246" s="676"/>
    </row>
    <row r="11247" spans="14:14" x14ac:dyDescent="0.35">
      <c r="N11247" s="676"/>
    </row>
    <row r="11248" spans="14:14" x14ac:dyDescent="0.35">
      <c r="N11248" s="676"/>
    </row>
    <row r="11249" spans="14:14" x14ac:dyDescent="0.35">
      <c r="N11249" s="676"/>
    </row>
    <row r="11250" spans="14:14" x14ac:dyDescent="0.35">
      <c r="N11250" s="676"/>
    </row>
    <row r="11251" spans="14:14" x14ac:dyDescent="0.35">
      <c r="N11251" s="676"/>
    </row>
    <row r="11252" spans="14:14" x14ac:dyDescent="0.35">
      <c r="N11252" s="676"/>
    </row>
    <row r="11253" spans="14:14" x14ac:dyDescent="0.35">
      <c r="N11253" s="676"/>
    </row>
    <row r="11254" spans="14:14" x14ac:dyDescent="0.35">
      <c r="N11254" s="676"/>
    </row>
    <row r="11255" spans="14:14" x14ac:dyDescent="0.35">
      <c r="N11255" s="676"/>
    </row>
    <row r="11256" spans="14:14" x14ac:dyDescent="0.35">
      <c r="N11256" s="676"/>
    </row>
    <row r="11257" spans="14:14" x14ac:dyDescent="0.35">
      <c r="N11257" s="676"/>
    </row>
    <row r="11258" spans="14:14" x14ac:dyDescent="0.35">
      <c r="N11258" s="676"/>
    </row>
    <row r="11259" spans="14:14" x14ac:dyDescent="0.35">
      <c r="N11259" s="676"/>
    </row>
    <row r="11260" spans="14:14" x14ac:dyDescent="0.35">
      <c r="N11260" s="676"/>
    </row>
    <row r="11261" spans="14:14" x14ac:dyDescent="0.35">
      <c r="N11261" s="676"/>
    </row>
    <row r="11262" spans="14:14" x14ac:dyDescent="0.35">
      <c r="N11262" s="676"/>
    </row>
    <row r="11263" spans="14:14" x14ac:dyDescent="0.35">
      <c r="N11263" s="676"/>
    </row>
    <row r="11264" spans="14:14" x14ac:dyDescent="0.35">
      <c r="N11264" s="676"/>
    </row>
    <row r="11265" spans="14:14" x14ac:dyDescent="0.35">
      <c r="N11265" s="676"/>
    </row>
    <row r="11266" spans="14:14" x14ac:dyDescent="0.35">
      <c r="N11266" s="676"/>
    </row>
    <row r="11267" spans="14:14" x14ac:dyDescent="0.35">
      <c r="N11267" s="676"/>
    </row>
    <row r="11268" spans="14:14" x14ac:dyDescent="0.35">
      <c r="N11268" s="676"/>
    </row>
    <row r="11269" spans="14:14" x14ac:dyDescent="0.35">
      <c r="N11269" s="676"/>
    </row>
    <row r="11270" spans="14:14" x14ac:dyDescent="0.35">
      <c r="N11270" s="676"/>
    </row>
    <row r="11271" spans="14:14" x14ac:dyDescent="0.35">
      <c r="N11271" s="676"/>
    </row>
    <row r="11272" spans="14:14" x14ac:dyDescent="0.35">
      <c r="N11272" s="676"/>
    </row>
    <row r="11273" spans="14:14" x14ac:dyDescent="0.35">
      <c r="N11273" s="676"/>
    </row>
    <row r="11274" spans="14:14" x14ac:dyDescent="0.35">
      <c r="N11274" s="676"/>
    </row>
    <row r="11275" spans="14:14" x14ac:dyDescent="0.35">
      <c r="N11275" s="676"/>
    </row>
    <row r="11276" spans="14:14" x14ac:dyDescent="0.35">
      <c r="N11276" s="676"/>
    </row>
    <row r="11277" spans="14:14" x14ac:dyDescent="0.35">
      <c r="N11277" s="676"/>
    </row>
    <row r="11278" spans="14:14" x14ac:dyDescent="0.35">
      <c r="N11278" s="676"/>
    </row>
    <row r="11279" spans="14:14" x14ac:dyDescent="0.35">
      <c r="N11279" s="676"/>
    </row>
    <row r="11280" spans="14:14" x14ac:dyDescent="0.35">
      <c r="N11280" s="676"/>
    </row>
    <row r="11281" spans="14:14" x14ac:dyDescent="0.35">
      <c r="N11281" s="676"/>
    </row>
    <row r="11282" spans="14:14" x14ac:dyDescent="0.35">
      <c r="N11282" s="676"/>
    </row>
    <row r="11283" spans="14:14" x14ac:dyDescent="0.35">
      <c r="N11283" s="676"/>
    </row>
    <row r="11284" spans="14:14" x14ac:dyDescent="0.35">
      <c r="N11284" s="676"/>
    </row>
    <row r="11285" spans="14:14" x14ac:dyDescent="0.35">
      <c r="N11285" s="676"/>
    </row>
    <row r="11286" spans="14:14" x14ac:dyDescent="0.35">
      <c r="N11286" s="676"/>
    </row>
    <row r="11287" spans="14:14" x14ac:dyDescent="0.35">
      <c r="N11287" s="676"/>
    </row>
    <row r="11288" spans="14:14" x14ac:dyDescent="0.35">
      <c r="N11288" s="676"/>
    </row>
    <row r="11289" spans="14:14" x14ac:dyDescent="0.35">
      <c r="N11289" s="676"/>
    </row>
    <row r="11290" spans="14:14" x14ac:dyDescent="0.35">
      <c r="N11290" s="676"/>
    </row>
    <row r="11291" spans="14:14" x14ac:dyDescent="0.35">
      <c r="N11291" s="676"/>
    </row>
    <row r="11292" spans="14:14" x14ac:dyDescent="0.35">
      <c r="N11292" s="676"/>
    </row>
    <row r="11293" spans="14:14" x14ac:dyDescent="0.35">
      <c r="N11293" s="676"/>
    </row>
    <row r="11294" spans="14:14" x14ac:dyDescent="0.35">
      <c r="N11294" s="676"/>
    </row>
    <row r="11295" spans="14:14" x14ac:dyDescent="0.35">
      <c r="N11295" s="676"/>
    </row>
    <row r="11296" spans="14:14" x14ac:dyDescent="0.35">
      <c r="N11296" s="676"/>
    </row>
    <row r="11297" spans="14:14" x14ac:dyDescent="0.35">
      <c r="N11297" s="676"/>
    </row>
    <row r="11298" spans="14:14" x14ac:dyDescent="0.35">
      <c r="N11298" s="676"/>
    </row>
    <row r="11299" spans="14:14" x14ac:dyDescent="0.35">
      <c r="N11299" s="676"/>
    </row>
    <row r="11300" spans="14:14" x14ac:dyDescent="0.35">
      <c r="N11300" s="676"/>
    </row>
    <row r="11301" spans="14:14" x14ac:dyDescent="0.35">
      <c r="N11301" s="676"/>
    </row>
    <row r="11302" spans="14:14" x14ac:dyDescent="0.35">
      <c r="N11302" s="676"/>
    </row>
    <row r="11303" spans="14:14" x14ac:dyDescent="0.35">
      <c r="N11303" s="676"/>
    </row>
    <row r="11304" spans="14:14" x14ac:dyDescent="0.35">
      <c r="N11304" s="676"/>
    </row>
    <row r="11305" spans="14:14" x14ac:dyDescent="0.35">
      <c r="N11305" s="676"/>
    </row>
    <row r="11306" spans="14:14" x14ac:dyDescent="0.35">
      <c r="N11306" s="676"/>
    </row>
    <row r="11307" spans="14:14" x14ac:dyDescent="0.35">
      <c r="N11307" s="676"/>
    </row>
    <row r="11308" spans="14:14" x14ac:dyDescent="0.35">
      <c r="N11308" s="676"/>
    </row>
    <row r="11309" spans="14:14" x14ac:dyDescent="0.35">
      <c r="N11309" s="676"/>
    </row>
    <row r="11310" spans="14:14" x14ac:dyDescent="0.35">
      <c r="N11310" s="676"/>
    </row>
    <row r="11311" spans="14:14" x14ac:dyDescent="0.35">
      <c r="N11311" s="676"/>
    </row>
    <row r="11312" spans="14:14" x14ac:dyDescent="0.35">
      <c r="N11312" s="676"/>
    </row>
    <row r="11313" spans="14:14" x14ac:dyDescent="0.35">
      <c r="N11313" s="676"/>
    </row>
    <row r="11314" spans="14:14" x14ac:dyDescent="0.35">
      <c r="N11314" s="676"/>
    </row>
    <row r="11315" spans="14:14" x14ac:dyDescent="0.35">
      <c r="N11315" s="676"/>
    </row>
    <row r="11316" spans="14:14" x14ac:dyDescent="0.35">
      <c r="N11316" s="676"/>
    </row>
    <row r="11317" spans="14:14" x14ac:dyDescent="0.35">
      <c r="N11317" s="676"/>
    </row>
    <row r="11318" spans="14:14" x14ac:dyDescent="0.35">
      <c r="N11318" s="676"/>
    </row>
    <row r="11319" spans="14:14" x14ac:dyDescent="0.35">
      <c r="N11319" s="676"/>
    </row>
    <row r="11320" spans="14:14" x14ac:dyDescent="0.35">
      <c r="N11320" s="676"/>
    </row>
    <row r="11321" spans="14:14" x14ac:dyDescent="0.35">
      <c r="N11321" s="676"/>
    </row>
    <row r="11322" spans="14:14" x14ac:dyDescent="0.35">
      <c r="N11322" s="676"/>
    </row>
    <row r="11323" spans="14:14" x14ac:dyDescent="0.35">
      <c r="N11323" s="676"/>
    </row>
    <row r="11324" spans="14:14" x14ac:dyDescent="0.35">
      <c r="N11324" s="676"/>
    </row>
    <row r="11325" spans="14:14" x14ac:dyDescent="0.35">
      <c r="N11325" s="676"/>
    </row>
    <row r="11326" spans="14:14" x14ac:dyDescent="0.35">
      <c r="N11326" s="676"/>
    </row>
    <row r="11327" spans="14:14" x14ac:dyDescent="0.35">
      <c r="N11327" s="676"/>
    </row>
    <row r="11328" spans="14:14" x14ac:dyDescent="0.35">
      <c r="N11328" s="676"/>
    </row>
    <row r="11329" spans="14:14" x14ac:dyDescent="0.35">
      <c r="N11329" s="676"/>
    </row>
    <row r="11330" spans="14:14" x14ac:dyDescent="0.35">
      <c r="N11330" s="676"/>
    </row>
    <row r="11331" spans="14:14" x14ac:dyDescent="0.35">
      <c r="N11331" s="676"/>
    </row>
    <row r="11332" spans="14:14" x14ac:dyDescent="0.35">
      <c r="N11332" s="676"/>
    </row>
    <row r="11333" spans="14:14" x14ac:dyDescent="0.35">
      <c r="N11333" s="676"/>
    </row>
    <row r="11334" spans="14:14" x14ac:dyDescent="0.35">
      <c r="N11334" s="676"/>
    </row>
    <row r="11335" spans="14:14" x14ac:dyDescent="0.35">
      <c r="N11335" s="676"/>
    </row>
    <row r="11336" spans="14:14" x14ac:dyDescent="0.35">
      <c r="N11336" s="676"/>
    </row>
    <row r="11337" spans="14:14" x14ac:dyDescent="0.35">
      <c r="N11337" s="676"/>
    </row>
    <row r="11338" spans="14:14" x14ac:dyDescent="0.35">
      <c r="N11338" s="676"/>
    </row>
    <row r="11339" spans="14:14" x14ac:dyDescent="0.35">
      <c r="N11339" s="676"/>
    </row>
    <row r="11340" spans="14:14" x14ac:dyDescent="0.35">
      <c r="N11340" s="676"/>
    </row>
    <row r="11341" spans="14:14" x14ac:dyDescent="0.35">
      <c r="N11341" s="676"/>
    </row>
    <row r="11342" spans="14:14" x14ac:dyDescent="0.35">
      <c r="N11342" s="676"/>
    </row>
    <row r="11343" spans="14:14" x14ac:dyDescent="0.35">
      <c r="N11343" s="676"/>
    </row>
    <row r="11344" spans="14:14" x14ac:dyDescent="0.35">
      <c r="N11344" s="676"/>
    </row>
    <row r="11345" spans="14:14" x14ac:dyDescent="0.35">
      <c r="N11345" s="676"/>
    </row>
    <row r="11346" spans="14:14" x14ac:dyDescent="0.35">
      <c r="N11346" s="676"/>
    </row>
    <row r="11347" spans="14:14" x14ac:dyDescent="0.35">
      <c r="N11347" s="676"/>
    </row>
    <row r="11348" spans="14:14" x14ac:dyDescent="0.35">
      <c r="N11348" s="676"/>
    </row>
    <row r="11349" spans="14:14" x14ac:dyDescent="0.35">
      <c r="N11349" s="676"/>
    </row>
    <row r="11350" spans="14:14" x14ac:dyDescent="0.35">
      <c r="N11350" s="676"/>
    </row>
    <row r="11351" spans="14:14" x14ac:dyDescent="0.35">
      <c r="N11351" s="676"/>
    </row>
    <row r="11352" spans="14:14" x14ac:dyDescent="0.35">
      <c r="N11352" s="676"/>
    </row>
    <row r="11353" spans="14:14" x14ac:dyDescent="0.35">
      <c r="N11353" s="676"/>
    </row>
    <row r="11354" spans="14:14" x14ac:dyDescent="0.35">
      <c r="N11354" s="676"/>
    </row>
    <row r="11355" spans="14:14" x14ac:dyDescent="0.35">
      <c r="N11355" s="676"/>
    </row>
    <row r="11356" spans="14:14" x14ac:dyDescent="0.35">
      <c r="N11356" s="676"/>
    </row>
    <row r="11357" spans="14:14" x14ac:dyDescent="0.35">
      <c r="N11357" s="676"/>
    </row>
    <row r="11358" spans="14:14" x14ac:dyDescent="0.35">
      <c r="N11358" s="676"/>
    </row>
    <row r="11359" spans="14:14" x14ac:dyDescent="0.35">
      <c r="N11359" s="676"/>
    </row>
    <row r="11360" spans="14:14" x14ac:dyDescent="0.35">
      <c r="N11360" s="676"/>
    </row>
    <row r="11361" spans="14:14" x14ac:dyDescent="0.35">
      <c r="N11361" s="676"/>
    </row>
    <row r="11362" spans="14:14" x14ac:dyDescent="0.35">
      <c r="N11362" s="676"/>
    </row>
    <row r="11363" spans="14:14" x14ac:dyDescent="0.35">
      <c r="N11363" s="676"/>
    </row>
    <row r="11364" spans="14:14" x14ac:dyDescent="0.35">
      <c r="N11364" s="676"/>
    </row>
    <row r="11365" spans="14:14" x14ac:dyDescent="0.35">
      <c r="N11365" s="676"/>
    </row>
    <row r="11366" spans="14:14" x14ac:dyDescent="0.35">
      <c r="N11366" s="676"/>
    </row>
    <row r="11367" spans="14:14" x14ac:dyDescent="0.35">
      <c r="N11367" s="676"/>
    </row>
    <row r="11368" spans="14:14" x14ac:dyDescent="0.35">
      <c r="N11368" s="676"/>
    </row>
    <row r="11369" spans="14:14" x14ac:dyDescent="0.35">
      <c r="N11369" s="676"/>
    </row>
    <row r="11370" spans="14:14" x14ac:dyDescent="0.35">
      <c r="N11370" s="676"/>
    </row>
    <row r="11371" spans="14:14" x14ac:dyDescent="0.35">
      <c r="N11371" s="676"/>
    </row>
    <row r="11372" spans="14:14" x14ac:dyDescent="0.35">
      <c r="N11372" s="676"/>
    </row>
    <row r="11373" spans="14:14" x14ac:dyDescent="0.35">
      <c r="N11373" s="676"/>
    </row>
    <row r="11374" spans="14:14" x14ac:dyDescent="0.35">
      <c r="N11374" s="676"/>
    </row>
    <row r="11375" spans="14:14" x14ac:dyDescent="0.35">
      <c r="N11375" s="676"/>
    </row>
    <row r="11376" spans="14:14" x14ac:dyDescent="0.35">
      <c r="N11376" s="676"/>
    </row>
    <row r="11377" spans="14:14" x14ac:dyDescent="0.35">
      <c r="N11377" s="676"/>
    </row>
    <row r="11378" spans="14:14" x14ac:dyDescent="0.35">
      <c r="N11378" s="676"/>
    </row>
    <row r="11379" spans="14:14" x14ac:dyDescent="0.35">
      <c r="N11379" s="676"/>
    </row>
    <row r="11380" spans="14:14" x14ac:dyDescent="0.35">
      <c r="N11380" s="676"/>
    </row>
    <row r="11381" spans="14:14" x14ac:dyDescent="0.35">
      <c r="N11381" s="676"/>
    </row>
    <row r="11382" spans="14:14" x14ac:dyDescent="0.35">
      <c r="N11382" s="676"/>
    </row>
    <row r="11383" spans="14:14" x14ac:dyDescent="0.35">
      <c r="N11383" s="676"/>
    </row>
    <row r="11384" spans="14:14" x14ac:dyDescent="0.35">
      <c r="N11384" s="676"/>
    </row>
    <row r="11385" spans="14:14" x14ac:dyDescent="0.35">
      <c r="N11385" s="676"/>
    </row>
    <row r="11386" spans="14:14" x14ac:dyDescent="0.35">
      <c r="N11386" s="676"/>
    </row>
    <row r="11387" spans="14:14" x14ac:dyDescent="0.35">
      <c r="N11387" s="676"/>
    </row>
    <row r="11388" spans="14:14" x14ac:dyDescent="0.35">
      <c r="N11388" s="676"/>
    </row>
    <row r="11389" spans="14:14" x14ac:dyDescent="0.35">
      <c r="N11389" s="676"/>
    </row>
    <row r="11390" spans="14:14" x14ac:dyDescent="0.35">
      <c r="N11390" s="676"/>
    </row>
    <row r="11391" spans="14:14" x14ac:dyDescent="0.35">
      <c r="N11391" s="676"/>
    </row>
    <row r="11392" spans="14:14" x14ac:dyDescent="0.35">
      <c r="N11392" s="676"/>
    </row>
    <row r="11393" spans="14:14" x14ac:dyDescent="0.35">
      <c r="N11393" s="676"/>
    </row>
    <row r="11394" spans="14:14" x14ac:dyDescent="0.35">
      <c r="N11394" s="676"/>
    </row>
    <row r="11395" spans="14:14" x14ac:dyDescent="0.35">
      <c r="N11395" s="676"/>
    </row>
    <row r="11396" spans="14:14" x14ac:dyDescent="0.35">
      <c r="N11396" s="676"/>
    </row>
    <row r="11397" spans="14:14" x14ac:dyDescent="0.35">
      <c r="N11397" s="676"/>
    </row>
    <row r="11398" spans="14:14" x14ac:dyDescent="0.35">
      <c r="N11398" s="676"/>
    </row>
    <row r="11399" spans="14:14" x14ac:dyDescent="0.35">
      <c r="N11399" s="676"/>
    </row>
    <row r="11400" spans="14:14" x14ac:dyDescent="0.35">
      <c r="N11400" s="676"/>
    </row>
    <row r="11401" spans="14:14" x14ac:dyDescent="0.35">
      <c r="N11401" s="676"/>
    </row>
    <row r="11402" spans="14:14" x14ac:dyDescent="0.35">
      <c r="N11402" s="676"/>
    </row>
    <row r="11403" spans="14:14" x14ac:dyDescent="0.35">
      <c r="N11403" s="676"/>
    </row>
    <row r="11404" spans="14:14" x14ac:dyDescent="0.35">
      <c r="N11404" s="676"/>
    </row>
    <row r="11405" spans="14:14" x14ac:dyDescent="0.35">
      <c r="N11405" s="676"/>
    </row>
    <row r="11406" spans="14:14" x14ac:dyDescent="0.35">
      <c r="N11406" s="676"/>
    </row>
    <row r="11407" spans="14:14" x14ac:dyDescent="0.35">
      <c r="N11407" s="676"/>
    </row>
    <row r="11408" spans="14:14" x14ac:dyDescent="0.35">
      <c r="N11408" s="676"/>
    </row>
    <row r="11409" spans="14:14" x14ac:dyDescent="0.35">
      <c r="N11409" s="676"/>
    </row>
    <row r="11410" spans="14:14" x14ac:dyDescent="0.35">
      <c r="N11410" s="676"/>
    </row>
    <row r="11411" spans="14:14" x14ac:dyDescent="0.35">
      <c r="N11411" s="676"/>
    </row>
    <row r="11412" spans="14:14" x14ac:dyDescent="0.35">
      <c r="N11412" s="676"/>
    </row>
    <row r="11413" spans="14:14" x14ac:dyDescent="0.35">
      <c r="N11413" s="676"/>
    </row>
    <row r="11414" spans="14:14" x14ac:dyDescent="0.35">
      <c r="N11414" s="676"/>
    </row>
    <row r="11415" spans="14:14" x14ac:dyDescent="0.35">
      <c r="N11415" s="676"/>
    </row>
    <row r="11416" spans="14:14" x14ac:dyDescent="0.35">
      <c r="N11416" s="676"/>
    </row>
    <row r="11417" spans="14:14" x14ac:dyDescent="0.35">
      <c r="N11417" s="676"/>
    </row>
    <row r="11418" spans="14:14" x14ac:dyDescent="0.35">
      <c r="N11418" s="676"/>
    </row>
    <row r="11419" spans="14:14" x14ac:dyDescent="0.35">
      <c r="N11419" s="676"/>
    </row>
    <row r="11420" spans="14:14" x14ac:dyDescent="0.35">
      <c r="N11420" s="676"/>
    </row>
    <row r="11421" spans="14:14" x14ac:dyDescent="0.35">
      <c r="N11421" s="676"/>
    </row>
    <row r="11422" spans="14:14" x14ac:dyDescent="0.35">
      <c r="N11422" s="676"/>
    </row>
    <row r="11423" spans="14:14" x14ac:dyDescent="0.35">
      <c r="N11423" s="676"/>
    </row>
    <row r="11424" spans="14:14" x14ac:dyDescent="0.35">
      <c r="N11424" s="676"/>
    </row>
    <row r="11425" spans="14:14" x14ac:dyDescent="0.35">
      <c r="N11425" s="676"/>
    </row>
    <row r="11426" spans="14:14" x14ac:dyDescent="0.35">
      <c r="N11426" s="676"/>
    </row>
    <row r="11427" spans="14:14" x14ac:dyDescent="0.35">
      <c r="N11427" s="676"/>
    </row>
    <row r="11428" spans="14:14" x14ac:dyDescent="0.35">
      <c r="N11428" s="676"/>
    </row>
    <row r="11429" spans="14:14" x14ac:dyDescent="0.35">
      <c r="N11429" s="676"/>
    </row>
    <row r="11430" spans="14:14" x14ac:dyDescent="0.35">
      <c r="N11430" s="676"/>
    </row>
    <row r="11431" spans="14:14" x14ac:dyDescent="0.35">
      <c r="N11431" s="676"/>
    </row>
    <row r="11432" spans="14:14" x14ac:dyDescent="0.35">
      <c r="N11432" s="676"/>
    </row>
    <row r="11433" spans="14:14" x14ac:dyDescent="0.35">
      <c r="N11433" s="676"/>
    </row>
    <row r="11434" spans="14:14" x14ac:dyDescent="0.35">
      <c r="N11434" s="676"/>
    </row>
    <row r="11435" spans="14:14" x14ac:dyDescent="0.35">
      <c r="N11435" s="676"/>
    </row>
    <row r="11436" spans="14:14" x14ac:dyDescent="0.35">
      <c r="N11436" s="676"/>
    </row>
    <row r="11437" spans="14:14" x14ac:dyDescent="0.35">
      <c r="N11437" s="676"/>
    </row>
    <row r="11438" spans="14:14" x14ac:dyDescent="0.35">
      <c r="N11438" s="676"/>
    </row>
    <row r="11439" spans="14:14" x14ac:dyDescent="0.35">
      <c r="N11439" s="676"/>
    </row>
    <row r="11440" spans="14:14" x14ac:dyDescent="0.35">
      <c r="N11440" s="676"/>
    </row>
    <row r="11441" spans="14:14" x14ac:dyDescent="0.35">
      <c r="N11441" s="676"/>
    </row>
    <row r="11442" spans="14:14" x14ac:dyDescent="0.35">
      <c r="N11442" s="676"/>
    </row>
    <row r="11443" spans="14:14" x14ac:dyDescent="0.35">
      <c r="N11443" s="676"/>
    </row>
    <row r="11444" spans="14:14" x14ac:dyDescent="0.35">
      <c r="N11444" s="676"/>
    </row>
    <row r="11445" spans="14:14" x14ac:dyDescent="0.35">
      <c r="N11445" s="676"/>
    </row>
    <row r="11446" spans="14:14" x14ac:dyDescent="0.35">
      <c r="N11446" s="676"/>
    </row>
    <row r="11447" spans="14:14" x14ac:dyDescent="0.35">
      <c r="N11447" s="676"/>
    </row>
    <row r="11448" spans="14:14" x14ac:dyDescent="0.35">
      <c r="N11448" s="676"/>
    </row>
    <row r="11449" spans="14:14" x14ac:dyDescent="0.35">
      <c r="N11449" s="676"/>
    </row>
    <row r="11450" spans="14:14" x14ac:dyDescent="0.35">
      <c r="N11450" s="676"/>
    </row>
    <row r="11451" spans="14:14" x14ac:dyDescent="0.35">
      <c r="N11451" s="676"/>
    </row>
    <row r="11452" spans="14:14" x14ac:dyDescent="0.35">
      <c r="N11452" s="676"/>
    </row>
    <row r="11453" spans="14:14" x14ac:dyDescent="0.35">
      <c r="N11453" s="676"/>
    </row>
    <row r="11454" spans="14:14" x14ac:dyDescent="0.35">
      <c r="N11454" s="676"/>
    </row>
    <row r="11455" spans="14:14" x14ac:dyDescent="0.35">
      <c r="N11455" s="676"/>
    </row>
    <row r="11456" spans="14:14" x14ac:dyDescent="0.35">
      <c r="N11456" s="676"/>
    </row>
    <row r="11457" spans="14:14" x14ac:dyDescent="0.35">
      <c r="N11457" s="676"/>
    </row>
    <row r="11458" spans="14:14" x14ac:dyDescent="0.35">
      <c r="N11458" s="676"/>
    </row>
    <row r="11459" spans="14:14" x14ac:dyDescent="0.35">
      <c r="N11459" s="676"/>
    </row>
    <row r="11460" spans="14:14" x14ac:dyDescent="0.35">
      <c r="N11460" s="676"/>
    </row>
    <row r="11461" spans="14:14" x14ac:dyDescent="0.35">
      <c r="N11461" s="676"/>
    </row>
    <row r="11462" spans="14:14" x14ac:dyDescent="0.35">
      <c r="N11462" s="676"/>
    </row>
    <row r="11463" spans="14:14" x14ac:dyDescent="0.35">
      <c r="N11463" s="676"/>
    </row>
    <row r="11464" spans="14:14" x14ac:dyDescent="0.35">
      <c r="N11464" s="676"/>
    </row>
    <row r="11465" spans="14:14" x14ac:dyDescent="0.35">
      <c r="N11465" s="676"/>
    </row>
    <row r="11466" spans="14:14" x14ac:dyDescent="0.35">
      <c r="N11466" s="676"/>
    </row>
    <row r="11467" spans="14:14" x14ac:dyDescent="0.35">
      <c r="N11467" s="676"/>
    </row>
    <row r="11468" spans="14:14" x14ac:dyDescent="0.35">
      <c r="N11468" s="676"/>
    </row>
    <row r="11469" spans="14:14" x14ac:dyDescent="0.35">
      <c r="N11469" s="676"/>
    </row>
    <row r="11470" spans="14:14" x14ac:dyDescent="0.35">
      <c r="N11470" s="676"/>
    </row>
    <row r="11471" spans="14:14" x14ac:dyDescent="0.35">
      <c r="N11471" s="676"/>
    </row>
    <row r="11472" spans="14:14" x14ac:dyDescent="0.35">
      <c r="N11472" s="676"/>
    </row>
    <row r="11473" spans="14:14" x14ac:dyDescent="0.35">
      <c r="N11473" s="676"/>
    </row>
    <row r="11474" spans="14:14" x14ac:dyDescent="0.35">
      <c r="N11474" s="676"/>
    </row>
    <row r="11475" spans="14:14" x14ac:dyDescent="0.35">
      <c r="N11475" s="676"/>
    </row>
    <row r="11476" spans="14:14" x14ac:dyDescent="0.35">
      <c r="N11476" s="676"/>
    </row>
    <row r="11477" spans="14:14" x14ac:dyDescent="0.35">
      <c r="N11477" s="676"/>
    </row>
    <row r="11478" spans="14:14" x14ac:dyDescent="0.35">
      <c r="N11478" s="676"/>
    </row>
    <row r="11479" spans="14:14" x14ac:dyDescent="0.35">
      <c r="N11479" s="676"/>
    </row>
    <row r="11480" spans="14:14" x14ac:dyDescent="0.35">
      <c r="N11480" s="676"/>
    </row>
    <row r="11481" spans="14:14" x14ac:dyDescent="0.35">
      <c r="N11481" s="676"/>
    </row>
    <row r="11482" spans="14:14" x14ac:dyDescent="0.35">
      <c r="N11482" s="676"/>
    </row>
    <row r="11483" spans="14:14" x14ac:dyDescent="0.35">
      <c r="N11483" s="676"/>
    </row>
    <row r="11484" spans="14:14" x14ac:dyDescent="0.35">
      <c r="N11484" s="676"/>
    </row>
    <row r="11485" spans="14:14" x14ac:dyDescent="0.35">
      <c r="N11485" s="676"/>
    </row>
    <row r="11486" spans="14:14" x14ac:dyDescent="0.35">
      <c r="N11486" s="676"/>
    </row>
    <row r="11487" spans="14:14" x14ac:dyDescent="0.35">
      <c r="N11487" s="676"/>
    </row>
    <row r="11488" spans="14:14" x14ac:dyDescent="0.35">
      <c r="N11488" s="676"/>
    </row>
    <row r="11489" spans="14:14" x14ac:dyDescent="0.35">
      <c r="N11489" s="676"/>
    </row>
    <row r="11490" spans="14:14" x14ac:dyDescent="0.35">
      <c r="N11490" s="676"/>
    </row>
    <row r="11491" spans="14:14" x14ac:dyDescent="0.35">
      <c r="N11491" s="676"/>
    </row>
    <row r="11492" spans="14:14" x14ac:dyDescent="0.35">
      <c r="N11492" s="676"/>
    </row>
    <row r="11493" spans="14:14" x14ac:dyDescent="0.35">
      <c r="N11493" s="676"/>
    </row>
    <row r="11494" spans="14:14" x14ac:dyDescent="0.35">
      <c r="N11494" s="676"/>
    </row>
    <row r="11495" spans="14:14" x14ac:dyDescent="0.35">
      <c r="N11495" s="676"/>
    </row>
    <row r="11496" spans="14:14" x14ac:dyDescent="0.35">
      <c r="N11496" s="676"/>
    </row>
    <row r="11497" spans="14:14" x14ac:dyDescent="0.35">
      <c r="N11497" s="676"/>
    </row>
    <row r="11498" spans="14:14" x14ac:dyDescent="0.35">
      <c r="N11498" s="676"/>
    </row>
    <row r="11499" spans="14:14" x14ac:dyDescent="0.35">
      <c r="N11499" s="676"/>
    </row>
    <row r="11500" spans="14:14" x14ac:dyDescent="0.35">
      <c r="N11500" s="676"/>
    </row>
    <row r="11501" spans="14:14" x14ac:dyDescent="0.35">
      <c r="N11501" s="676"/>
    </row>
    <row r="11502" spans="14:14" x14ac:dyDescent="0.35">
      <c r="N11502" s="676"/>
    </row>
    <row r="11503" spans="14:14" x14ac:dyDescent="0.35">
      <c r="N11503" s="676"/>
    </row>
    <row r="11504" spans="14:14" x14ac:dyDescent="0.35">
      <c r="N11504" s="676"/>
    </row>
    <row r="11505" spans="14:14" x14ac:dyDescent="0.35">
      <c r="N11505" s="676"/>
    </row>
    <row r="11506" spans="14:14" x14ac:dyDescent="0.35">
      <c r="N11506" s="676"/>
    </row>
    <row r="11507" spans="14:14" x14ac:dyDescent="0.35">
      <c r="N11507" s="676"/>
    </row>
    <row r="11508" spans="14:14" x14ac:dyDescent="0.35">
      <c r="N11508" s="676"/>
    </row>
    <row r="11509" spans="14:14" x14ac:dyDescent="0.35">
      <c r="N11509" s="676"/>
    </row>
    <row r="11510" spans="14:14" x14ac:dyDescent="0.35">
      <c r="N11510" s="676"/>
    </row>
    <row r="11511" spans="14:14" x14ac:dyDescent="0.35">
      <c r="N11511" s="676"/>
    </row>
    <row r="11512" spans="14:14" x14ac:dyDescent="0.35">
      <c r="N11512" s="676"/>
    </row>
    <row r="11513" spans="14:14" x14ac:dyDescent="0.35">
      <c r="N11513" s="676"/>
    </row>
    <row r="11514" spans="14:14" x14ac:dyDescent="0.35">
      <c r="N11514" s="676"/>
    </row>
    <row r="11515" spans="14:14" x14ac:dyDescent="0.35">
      <c r="N11515" s="676"/>
    </row>
    <row r="11516" spans="14:14" x14ac:dyDescent="0.35">
      <c r="N11516" s="676"/>
    </row>
    <row r="11517" spans="14:14" x14ac:dyDescent="0.35">
      <c r="N11517" s="676"/>
    </row>
    <row r="11518" spans="14:14" x14ac:dyDescent="0.35">
      <c r="N11518" s="676"/>
    </row>
    <row r="11519" spans="14:14" x14ac:dyDescent="0.35">
      <c r="N11519" s="676"/>
    </row>
    <row r="11520" spans="14:14" x14ac:dyDescent="0.35">
      <c r="N11520" s="676"/>
    </row>
    <row r="11521" spans="14:14" x14ac:dyDescent="0.35">
      <c r="N11521" s="676"/>
    </row>
    <row r="11522" spans="14:14" x14ac:dyDescent="0.35">
      <c r="N11522" s="676"/>
    </row>
    <row r="11523" spans="14:14" x14ac:dyDescent="0.35">
      <c r="N11523" s="676"/>
    </row>
    <row r="11524" spans="14:14" x14ac:dyDescent="0.35">
      <c r="N11524" s="676"/>
    </row>
    <row r="11525" spans="14:14" x14ac:dyDescent="0.35">
      <c r="N11525" s="676"/>
    </row>
    <row r="11526" spans="14:14" x14ac:dyDescent="0.35">
      <c r="N11526" s="676"/>
    </row>
    <row r="11527" spans="14:14" x14ac:dyDescent="0.35">
      <c r="N11527" s="676"/>
    </row>
    <row r="11528" spans="14:14" x14ac:dyDescent="0.35">
      <c r="N11528" s="676"/>
    </row>
    <row r="11529" spans="14:14" x14ac:dyDescent="0.35">
      <c r="N11529" s="676"/>
    </row>
    <row r="11530" spans="14:14" x14ac:dyDescent="0.35">
      <c r="N11530" s="676"/>
    </row>
    <row r="11531" spans="14:14" x14ac:dyDescent="0.35">
      <c r="N11531" s="676"/>
    </row>
    <row r="11532" spans="14:14" x14ac:dyDescent="0.35">
      <c r="N11532" s="676"/>
    </row>
    <row r="11533" spans="14:14" x14ac:dyDescent="0.35">
      <c r="N11533" s="676"/>
    </row>
    <row r="11534" spans="14:14" x14ac:dyDescent="0.35">
      <c r="N11534" s="676"/>
    </row>
    <row r="11535" spans="14:14" x14ac:dyDescent="0.35">
      <c r="N11535" s="676"/>
    </row>
    <row r="11536" spans="14:14" x14ac:dyDescent="0.35">
      <c r="N11536" s="676"/>
    </row>
    <row r="11537" spans="14:14" x14ac:dyDescent="0.35">
      <c r="N11537" s="676"/>
    </row>
    <row r="11538" spans="14:14" x14ac:dyDescent="0.35">
      <c r="N11538" s="676"/>
    </row>
    <row r="11539" spans="14:14" x14ac:dyDescent="0.35">
      <c r="N11539" s="676"/>
    </row>
    <row r="11540" spans="14:14" x14ac:dyDescent="0.35">
      <c r="N11540" s="676"/>
    </row>
    <row r="11541" spans="14:14" x14ac:dyDescent="0.35">
      <c r="N11541" s="676"/>
    </row>
    <row r="11542" spans="14:14" x14ac:dyDescent="0.35">
      <c r="N11542" s="676"/>
    </row>
    <row r="11543" spans="14:14" x14ac:dyDescent="0.35">
      <c r="N11543" s="676"/>
    </row>
    <row r="11544" spans="14:14" x14ac:dyDescent="0.35">
      <c r="N11544" s="676"/>
    </row>
    <row r="11545" spans="14:14" x14ac:dyDescent="0.35">
      <c r="N11545" s="676"/>
    </row>
    <row r="11546" spans="14:14" x14ac:dyDescent="0.35">
      <c r="N11546" s="676"/>
    </row>
    <row r="11547" spans="14:14" x14ac:dyDescent="0.35">
      <c r="N11547" s="676"/>
    </row>
    <row r="11548" spans="14:14" x14ac:dyDescent="0.35">
      <c r="N11548" s="676"/>
    </row>
    <row r="11549" spans="14:14" x14ac:dyDescent="0.35">
      <c r="N11549" s="676"/>
    </row>
    <row r="11550" spans="14:14" x14ac:dyDescent="0.35">
      <c r="N11550" s="676"/>
    </row>
    <row r="11551" spans="14:14" x14ac:dyDescent="0.35">
      <c r="N11551" s="676"/>
    </row>
    <row r="11552" spans="14:14" x14ac:dyDescent="0.35">
      <c r="N11552" s="676"/>
    </row>
    <row r="11553" spans="14:14" x14ac:dyDescent="0.35">
      <c r="N11553" s="676"/>
    </row>
    <row r="11554" spans="14:14" x14ac:dyDescent="0.35">
      <c r="N11554" s="676"/>
    </row>
    <row r="11555" spans="14:14" x14ac:dyDescent="0.35">
      <c r="N11555" s="676"/>
    </row>
    <row r="11556" spans="14:14" x14ac:dyDescent="0.35">
      <c r="N11556" s="676"/>
    </row>
    <row r="11557" spans="14:14" x14ac:dyDescent="0.35">
      <c r="N11557" s="676"/>
    </row>
    <row r="11558" spans="14:14" x14ac:dyDescent="0.35">
      <c r="N11558" s="676"/>
    </row>
    <row r="11559" spans="14:14" x14ac:dyDescent="0.35">
      <c r="N11559" s="676"/>
    </row>
    <row r="11560" spans="14:14" x14ac:dyDescent="0.35">
      <c r="N11560" s="676"/>
    </row>
    <row r="11561" spans="14:14" x14ac:dyDescent="0.35">
      <c r="N11561" s="676"/>
    </row>
    <row r="11562" spans="14:14" x14ac:dyDescent="0.35">
      <c r="N11562" s="676"/>
    </row>
    <row r="11563" spans="14:14" x14ac:dyDescent="0.35">
      <c r="N11563" s="676"/>
    </row>
    <row r="11564" spans="14:14" x14ac:dyDescent="0.35">
      <c r="N11564" s="676"/>
    </row>
    <row r="11565" spans="14:14" x14ac:dyDescent="0.35">
      <c r="N11565" s="676"/>
    </row>
    <row r="11566" spans="14:14" x14ac:dyDescent="0.35">
      <c r="N11566" s="676"/>
    </row>
    <row r="11567" spans="14:14" x14ac:dyDescent="0.35">
      <c r="N11567" s="676"/>
    </row>
    <row r="11568" spans="14:14" x14ac:dyDescent="0.35">
      <c r="N11568" s="676"/>
    </row>
    <row r="11569" spans="14:14" x14ac:dyDescent="0.35">
      <c r="N11569" s="676"/>
    </row>
    <row r="11570" spans="14:14" x14ac:dyDescent="0.35">
      <c r="N11570" s="676"/>
    </row>
    <row r="11571" spans="14:14" x14ac:dyDescent="0.35">
      <c r="N11571" s="676"/>
    </row>
    <row r="11572" spans="14:14" x14ac:dyDescent="0.35">
      <c r="N11572" s="676"/>
    </row>
    <row r="11573" spans="14:14" x14ac:dyDescent="0.35">
      <c r="N11573" s="676"/>
    </row>
    <row r="11574" spans="14:14" x14ac:dyDescent="0.35">
      <c r="N11574" s="676"/>
    </row>
    <row r="11575" spans="14:14" x14ac:dyDescent="0.35">
      <c r="N11575" s="676"/>
    </row>
    <row r="11576" spans="14:14" x14ac:dyDescent="0.35">
      <c r="N11576" s="676"/>
    </row>
    <row r="11577" spans="14:14" x14ac:dyDescent="0.35">
      <c r="N11577" s="676"/>
    </row>
    <row r="11578" spans="14:14" x14ac:dyDescent="0.35">
      <c r="N11578" s="676"/>
    </row>
    <row r="11579" spans="14:14" x14ac:dyDescent="0.35">
      <c r="N11579" s="676"/>
    </row>
    <row r="11580" spans="14:14" x14ac:dyDescent="0.35">
      <c r="N11580" s="676"/>
    </row>
    <row r="11581" spans="14:14" x14ac:dyDescent="0.35">
      <c r="N11581" s="676"/>
    </row>
    <row r="11582" spans="14:14" x14ac:dyDescent="0.35">
      <c r="N11582" s="676"/>
    </row>
    <row r="11583" spans="14:14" x14ac:dyDescent="0.35">
      <c r="N11583" s="676"/>
    </row>
    <row r="11584" spans="14:14" x14ac:dyDescent="0.35">
      <c r="N11584" s="676"/>
    </row>
    <row r="11585" spans="14:14" x14ac:dyDescent="0.35">
      <c r="N11585" s="676"/>
    </row>
    <row r="11586" spans="14:14" x14ac:dyDescent="0.35">
      <c r="N11586" s="676"/>
    </row>
    <row r="11587" spans="14:14" x14ac:dyDescent="0.35">
      <c r="N11587" s="676"/>
    </row>
    <row r="11588" spans="14:14" x14ac:dyDescent="0.35">
      <c r="N11588" s="676"/>
    </row>
    <row r="11589" spans="14:14" x14ac:dyDescent="0.35">
      <c r="N11589" s="676"/>
    </row>
    <row r="11590" spans="14:14" x14ac:dyDescent="0.35">
      <c r="N11590" s="676"/>
    </row>
    <row r="11591" spans="14:14" x14ac:dyDescent="0.35">
      <c r="N11591" s="676"/>
    </row>
    <row r="11592" spans="14:14" x14ac:dyDescent="0.35">
      <c r="N11592" s="676"/>
    </row>
    <row r="11593" spans="14:14" x14ac:dyDescent="0.35">
      <c r="N11593" s="676"/>
    </row>
    <row r="11594" spans="14:14" x14ac:dyDescent="0.35">
      <c r="N11594" s="676"/>
    </row>
    <row r="11595" spans="14:14" x14ac:dyDescent="0.35">
      <c r="N11595" s="676"/>
    </row>
    <row r="11596" spans="14:14" x14ac:dyDescent="0.35">
      <c r="N11596" s="676"/>
    </row>
    <row r="11597" spans="14:14" x14ac:dyDescent="0.35">
      <c r="N11597" s="676"/>
    </row>
    <row r="11598" spans="14:14" x14ac:dyDescent="0.35">
      <c r="N11598" s="676"/>
    </row>
    <row r="11599" spans="14:14" x14ac:dyDescent="0.35">
      <c r="N11599" s="676"/>
    </row>
    <row r="11600" spans="14:14" x14ac:dyDescent="0.35">
      <c r="N11600" s="676"/>
    </row>
    <row r="11601" spans="14:14" x14ac:dyDescent="0.35">
      <c r="N11601" s="676"/>
    </row>
    <row r="11602" spans="14:14" x14ac:dyDescent="0.35">
      <c r="N11602" s="676"/>
    </row>
    <row r="11603" spans="14:14" x14ac:dyDescent="0.35">
      <c r="N11603" s="676"/>
    </row>
    <row r="11604" spans="14:14" x14ac:dyDescent="0.35">
      <c r="N11604" s="676"/>
    </row>
    <row r="11605" spans="14:14" x14ac:dyDescent="0.35">
      <c r="N11605" s="676"/>
    </row>
    <row r="11606" spans="14:14" x14ac:dyDescent="0.35">
      <c r="N11606" s="676"/>
    </row>
    <row r="11607" spans="14:14" x14ac:dyDescent="0.35">
      <c r="N11607" s="676"/>
    </row>
    <row r="11608" spans="14:14" x14ac:dyDescent="0.35">
      <c r="N11608" s="676"/>
    </row>
    <row r="11609" spans="14:14" x14ac:dyDescent="0.35">
      <c r="N11609" s="676"/>
    </row>
    <row r="11610" spans="14:14" x14ac:dyDescent="0.35">
      <c r="N11610" s="676"/>
    </row>
    <row r="11611" spans="14:14" x14ac:dyDescent="0.35">
      <c r="N11611" s="676"/>
    </row>
    <row r="11612" spans="14:14" x14ac:dyDescent="0.35">
      <c r="N11612" s="676"/>
    </row>
    <row r="11613" spans="14:14" x14ac:dyDescent="0.35">
      <c r="N11613" s="676"/>
    </row>
    <row r="11614" spans="14:14" x14ac:dyDescent="0.35">
      <c r="N11614" s="676"/>
    </row>
    <row r="11615" spans="14:14" x14ac:dyDescent="0.35">
      <c r="N11615" s="676"/>
    </row>
    <row r="11616" spans="14:14" x14ac:dyDescent="0.35">
      <c r="N11616" s="676"/>
    </row>
    <row r="11617" spans="14:14" x14ac:dyDescent="0.35">
      <c r="N11617" s="676"/>
    </row>
    <row r="11618" spans="14:14" x14ac:dyDescent="0.35">
      <c r="N11618" s="676"/>
    </row>
    <row r="11619" spans="14:14" x14ac:dyDescent="0.35">
      <c r="N11619" s="676"/>
    </row>
    <row r="11620" spans="14:14" x14ac:dyDescent="0.35">
      <c r="N11620" s="676"/>
    </row>
    <row r="11621" spans="14:14" x14ac:dyDescent="0.35">
      <c r="N11621" s="676"/>
    </row>
    <row r="11622" spans="14:14" x14ac:dyDescent="0.35">
      <c r="N11622" s="676"/>
    </row>
    <row r="11623" spans="14:14" x14ac:dyDescent="0.35">
      <c r="N11623" s="676"/>
    </row>
    <row r="11624" spans="14:14" x14ac:dyDescent="0.35">
      <c r="N11624" s="676"/>
    </row>
    <row r="11625" spans="14:14" x14ac:dyDescent="0.35">
      <c r="N11625" s="676"/>
    </row>
    <row r="11626" spans="14:14" x14ac:dyDescent="0.35">
      <c r="N11626" s="676"/>
    </row>
    <row r="11627" spans="14:14" x14ac:dyDescent="0.35">
      <c r="N11627" s="676"/>
    </row>
    <row r="11628" spans="14:14" x14ac:dyDescent="0.35">
      <c r="N11628" s="676"/>
    </row>
    <row r="11629" spans="14:14" x14ac:dyDescent="0.35">
      <c r="N11629" s="676"/>
    </row>
    <row r="11630" spans="14:14" x14ac:dyDescent="0.35">
      <c r="N11630" s="676"/>
    </row>
    <row r="11631" spans="14:14" x14ac:dyDescent="0.35">
      <c r="N11631" s="676"/>
    </row>
    <row r="11632" spans="14:14" x14ac:dyDescent="0.35">
      <c r="N11632" s="676"/>
    </row>
    <row r="11633" spans="14:14" x14ac:dyDescent="0.35">
      <c r="N11633" s="676"/>
    </row>
    <row r="11634" spans="14:14" x14ac:dyDescent="0.35">
      <c r="N11634" s="676"/>
    </row>
    <row r="11635" spans="14:14" x14ac:dyDescent="0.35">
      <c r="N11635" s="676"/>
    </row>
    <row r="11636" spans="14:14" x14ac:dyDescent="0.35">
      <c r="N11636" s="676"/>
    </row>
    <row r="11637" spans="14:14" x14ac:dyDescent="0.35">
      <c r="N11637" s="676"/>
    </row>
    <row r="11638" spans="14:14" x14ac:dyDescent="0.35">
      <c r="N11638" s="676"/>
    </row>
    <row r="11639" spans="14:14" x14ac:dyDescent="0.35">
      <c r="N11639" s="676"/>
    </row>
    <row r="11640" spans="14:14" x14ac:dyDescent="0.35">
      <c r="N11640" s="676"/>
    </row>
    <row r="11641" spans="14:14" x14ac:dyDescent="0.35">
      <c r="N11641" s="676"/>
    </row>
    <row r="11642" spans="14:14" x14ac:dyDescent="0.35">
      <c r="N11642" s="676"/>
    </row>
    <row r="11643" spans="14:14" x14ac:dyDescent="0.35">
      <c r="N11643" s="676"/>
    </row>
    <row r="11644" spans="14:14" x14ac:dyDescent="0.35">
      <c r="N11644" s="676"/>
    </row>
    <row r="11645" spans="14:14" x14ac:dyDescent="0.35">
      <c r="N11645" s="676"/>
    </row>
    <row r="11646" spans="14:14" x14ac:dyDescent="0.35">
      <c r="N11646" s="676"/>
    </row>
    <row r="11647" spans="14:14" x14ac:dyDescent="0.35">
      <c r="N11647" s="676"/>
    </row>
    <row r="11648" spans="14:14" x14ac:dyDescent="0.35">
      <c r="N11648" s="676"/>
    </row>
    <row r="11649" spans="14:14" x14ac:dyDescent="0.35">
      <c r="N11649" s="676"/>
    </row>
    <row r="11650" spans="14:14" x14ac:dyDescent="0.35">
      <c r="N11650" s="676"/>
    </row>
    <row r="11651" spans="14:14" x14ac:dyDescent="0.35">
      <c r="N11651" s="676"/>
    </row>
    <row r="11652" spans="14:14" x14ac:dyDescent="0.35">
      <c r="N11652" s="676"/>
    </row>
    <row r="11653" spans="14:14" x14ac:dyDescent="0.35">
      <c r="N11653" s="676"/>
    </row>
    <row r="11654" spans="14:14" x14ac:dyDescent="0.35">
      <c r="N11654" s="676"/>
    </row>
    <row r="11655" spans="14:14" x14ac:dyDescent="0.35">
      <c r="N11655" s="676"/>
    </row>
    <row r="11656" spans="14:14" x14ac:dyDescent="0.35">
      <c r="N11656" s="676"/>
    </row>
    <row r="11657" spans="14:14" x14ac:dyDescent="0.35">
      <c r="N11657" s="676"/>
    </row>
    <row r="11658" spans="14:14" x14ac:dyDescent="0.35">
      <c r="N11658" s="676"/>
    </row>
    <row r="11659" spans="14:14" x14ac:dyDescent="0.35">
      <c r="N11659" s="676"/>
    </row>
    <row r="11660" spans="14:14" x14ac:dyDescent="0.35">
      <c r="N11660" s="676"/>
    </row>
    <row r="11661" spans="14:14" x14ac:dyDescent="0.35">
      <c r="N11661" s="676"/>
    </row>
    <row r="11662" spans="14:14" x14ac:dyDescent="0.35">
      <c r="N11662" s="676"/>
    </row>
    <row r="11663" spans="14:14" x14ac:dyDescent="0.35">
      <c r="N11663" s="676"/>
    </row>
    <row r="11664" spans="14:14" x14ac:dyDescent="0.35">
      <c r="N11664" s="676"/>
    </row>
    <row r="11665" spans="14:14" x14ac:dyDescent="0.35">
      <c r="N11665" s="676"/>
    </row>
    <row r="11666" spans="14:14" x14ac:dyDescent="0.35">
      <c r="N11666" s="676"/>
    </row>
    <row r="11667" spans="14:14" x14ac:dyDescent="0.35">
      <c r="N11667" s="676"/>
    </row>
    <row r="11668" spans="14:14" x14ac:dyDescent="0.35">
      <c r="N11668" s="676"/>
    </row>
    <row r="11669" spans="14:14" x14ac:dyDescent="0.35">
      <c r="N11669" s="676"/>
    </row>
    <row r="11670" spans="14:14" x14ac:dyDescent="0.35">
      <c r="N11670" s="676"/>
    </row>
    <row r="11671" spans="14:14" x14ac:dyDescent="0.35">
      <c r="N11671" s="676"/>
    </row>
    <row r="11672" spans="14:14" x14ac:dyDescent="0.35">
      <c r="N11672" s="676"/>
    </row>
    <row r="11673" spans="14:14" x14ac:dyDescent="0.35">
      <c r="N11673" s="676"/>
    </row>
    <row r="11674" spans="14:14" x14ac:dyDescent="0.35">
      <c r="N11674" s="676"/>
    </row>
    <row r="11675" spans="14:14" x14ac:dyDescent="0.35">
      <c r="N11675" s="676"/>
    </row>
    <row r="11676" spans="14:14" x14ac:dyDescent="0.35">
      <c r="N11676" s="676"/>
    </row>
    <row r="11677" spans="14:14" x14ac:dyDescent="0.35">
      <c r="N11677" s="676"/>
    </row>
    <row r="11678" spans="14:14" x14ac:dyDescent="0.35">
      <c r="N11678" s="676"/>
    </row>
    <row r="11679" spans="14:14" x14ac:dyDescent="0.35">
      <c r="N11679" s="676"/>
    </row>
    <row r="11680" spans="14:14" x14ac:dyDescent="0.35">
      <c r="N11680" s="676"/>
    </row>
    <row r="11681" spans="14:14" x14ac:dyDescent="0.35">
      <c r="N11681" s="676"/>
    </row>
    <row r="11682" spans="14:14" x14ac:dyDescent="0.35">
      <c r="N11682" s="676"/>
    </row>
    <row r="11683" spans="14:14" x14ac:dyDescent="0.35">
      <c r="N11683" s="676"/>
    </row>
    <row r="11684" spans="14:14" x14ac:dyDescent="0.35">
      <c r="N11684" s="676"/>
    </row>
    <row r="11685" spans="14:14" x14ac:dyDescent="0.35">
      <c r="N11685" s="676"/>
    </row>
    <row r="11686" spans="14:14" x14ac:dyDescent="0.35">
      <c r="N11686" s="676"/>
    </row>
    <row r="11687" spans="14:14" x14ac:dyDescent="0.35">
      <c r="N11687" s="676"/>
    </row>
    <row r="11688" spans="14:14" x14ac:dyDescent="0.35">
      <c r="N11688" s="676"/>
    </row>
    <row r="11689" spans="14:14" x14ac:dyDescent="0.35">
      <c r="N11689" s="676"/>
    </row>
    <row r="11690" spans="14:14" x14ac:dyDescent="0.35">
      <c r="N11690" s="676"/>
    </row>
    <row r="11691" spans="14:14" x14ac:dyDescent="0.35">
      <c r="N11691" s="676"/>
    </row>
    <row r="11692" spans="14:14" x14ac:dyDescent="0.35">
      <c r="N11692" s="676"/>
    </row>
    <row r="11693" spans="14:14" x14ac:dyDescent="0.35">
      <c r="N11693" s="676"/>
    </row>
    <row r="11694" spans="14:14" x14ac:dyDescent="0.35">
      <c r="N11694" s="676"/>
    </row>
    <row r="11695" spans="14:14" x14ac:dyDescent="0.35">
      <c r="N11695" s="676"/>
    </row>
    <row r="11696" spans="14:14" x14ac:dyDescent="0.35">
      <c r="N11696" s="676"/>
    </row>
    <row r="11697" spans="14:14" x14ac:dyDescent="0.35">
      <c r="N11697" s="676"/>
    </row>
    <row r="11698" spans="14:14" x14ac:dyDescent="0.35">
      <c r="N11698" s="676"/>
    </row>
    <row r="11699" spans="14:14" x14ac:dyDescent="0.35">
      <c r="N11699" s="676"/>
    </row>
    <row r="11700" spans="14:14" x14ac:dyDescent="0.35">
      <c r="N11700" s="676"/>
    </row>
    <row r="11701" spans="14:14" x14ac:dyDescent="0.35">
      <c r="N11701" s="676"/>
    </row>
    <row r="11702" spans="14:14" x14ac:dyDescent="0.35">
      <c r="N11702" s="676"/>
    </row>
    <row r="11703" spans="14:14" x14ac:dyDescent="0.35">
      <c r="N11703" s="676"/>
    </row>
    <row r="11704" spans="14:14" x14ac:dyDescent="0.35">
      <c r="N11704" s="676"/>
    </row>
    <row r="11705" spans="14:14" x14ac:dyDescent="0.35">
      <c r="N11705" s="676"/>
    </row>
    <row r="11706" spans="14:14" x14ac:dyDescent="0.35">
      <c r="N11706" s="676"/>
    </row>
    <row r="11707" spans="14:14" x14ac:dyDescent="0.35">
      <c r="N11707" s="676"/>
    </row>
    <row r="11708" spans="14:14" x14ac:dyDescent="0.35">
      <c r="N11708" s="676"/>
    </row>
    <row r="11709" spans="14:14" x14ac:dyDescent="0.35">
      <c r="N11709" s="676"/>
    </row>
    <row r="11710" spans="14:14" x14ac:dyDescent="0.35">
      <c r="N11710" s="676"/>
    </row>
    <row r="11711" spans="14:14" x14ac:dyDescent="0.35">
      <c r="N11711" s="676"/>
    </row>
    <row r="11712" spans="14:14" x14ac:dyDescent="0.35">
      <c r="N11712" s="676"/>
    </row>
    <row r="11713" spans="14:14" x14ac:dyDescent="0.35">
      <c r="N11713" s="676"/>
    </row>
    <row r="11714" spans="14:14" x14ac:dyDescent="0.35">
      <c r="N11714" s="676"/>
    </row>
    <row r="11715" spans="14:14" x14ac:dyDescent="0.35">
      <c r="N11715" s="676"/>
    </row>
    <row r="11716" spans="14:14" x14ac:dyDescent="0.35">
      <c r="N11716" s="676"/>
    </row>
    <row r="11717" spans="14:14" x14ac:dyDescent="0.35">
      <c r="N11717" s="676"/>
    </row>
    <row r="11718" spans="14:14" x14ac:dyDescent="0.35">
      <c r="N11718" s="676"/>
    </row>
    <row r="11719" spans="14:14" x14ac:dyDescent="0.35">
      <c r="N11719" s="676"/>
    </row>
    <row r="11720" spans="14:14" x14ac:dyDescent="0.35">
      <c r="N11720" s="676"/>
    </row>
    <row r="11721" spans="14:14" x14ac:dyDescent="0.35">
      <c r="N11721" s="676"/>
    </row>
    <row r="11722" spans="14:14" x14ac:dyDescent="0.35">
      <c r="N11722" s="676"/>
    </row>
    <row r="11723" spans="14:14" x14ac:dyDescent="0.35">
      <c r="N11723" s="676"/>
    </row>
    <row r="11724" spans="14:14" x14ac:dyDescent="0.35">
      <c r="N11724" s="676"/>
    </row>
    <row r="11725" spans="14:14" x14ac:dyDescent="0.35">
      <c r="N11725" s="676"/>
    </row>
    <row r="11726" spans="14:14" x14ac:dyDescent="0.35">
      <c r="N11726" s="676"/>
    </row>
    <row r="11727" spans="14:14" x14ac:dyDescent="0.35">
      <c r="N11727" s="676"/>
    </row>
    <row r="11728" spans="14:14" x14ac:dyDescent="0.35">
      <c r="N11728" s="676"/>
    </row>
    <row r="11729" spans="14:14" x14ac:dyDescent="0.35">
      <c r="N11729" s="676"/>
    </row>
    <row r="11730" spans="14:14" x14ac:dyDescent="0.35">
      <c r="N11730" s="676"/>
    </row>
    <row r="11731" spans="14:14" x14ac:dyDescent="0.35">
      <c r="N11731" s="676"/>
    </row>
    <row r="11732" spans="14:14" x14ac:dyDescent="0.35">
      <c r="N11732" s="676"/>
    </row>
    <row r="11733" spans="14:14" x14ac:dyDescent="0.35">
      <c r="N11733" s="676"/>
    </row>
    <row r="11734" spans="14:14" x14ac:dyDescent="0.35">
      <c r="N11734" s="676"/>
    </row>
    <row r="11735" spans="14:14" x14ac:dyDescent="0.35">
      <c r="N11735" s="676"/>
    </row>
    <row r="11736" spans="14:14" x14ac:dyDescent="0.35">
      <c r="N11736" s="676"/>
    </row>
    <row r="11737" spans="14:14" x14ac:dyDescent="0.35">
      <c r="N11737" s="676"/>
    </row>
    <row r="11738" spans="14:14" x14ac:dyDescent="0.35">
      <c r="N11738" s="676"/>
    </row>
    <row r="11739" spans="14:14" x14ac:dyDescent="0.35">
      <c r="N11739" s="676"/>
    </row>
    <row r="11740" spans="14:14" x14ac:dyDescent="0.35">
      <c r="N11740" s="676"/>
    </row>
    <row r="11741" spans="14:14" x14ac:dyDescent="0.35">
      <c r="N11741" s="676"/>
    </row>
    <row r="11742" spans="14:14" x14ac:dyDescent="0.35">
      <c r="N11742" s="676"/>
    </row>
    <row r="11743" spans="14:14" x14ac:dyDescent="0.35">
      <c r="N11743" s="676"/>
    </row>
    <row r="11744" spans="14:14" x14ac:dyDescent="0.35">
      <c r="N11744" s="676"/>
    </row>
    <row r="11745" spans="14:14" x14ac:dyDescent="0.35">
      <c r="N11745" s="676"/>
    </row>
    <row r="11746" spans="14:14" x14ac:dyDescent="0.35">
      <c r="N11746" s="676"/>
    </row>
    <row r="11747" spans="14:14" x14ac:dyDescent="0.35">
      <c r="N11747" s="676"/>
    </row>
    <row r="11748" spans="14:14" x14ac:dyDescent="0.35">
      <c r="N11748" s="676"/>
    </row>
    <row r="11749" spans="14:14" x14ac:dyDescent="0.35">
      <c r="N11749" s="676"/>
    </row>
    <row r="11750" spans="14:14" x14ac:dyDescent="0.35">
      <c r="N11750" s="676"/>
    </row>
    <row r="11751" spans="14:14" x14ac:dyDescent="0.35">
      <c r="N11751" s="676"/>
    </row>
    <row r="11752" spans="14:14" x14ac:dyDescent="0.35">
      <c r="N11752" s="676"/>
    </row>
    <row r="11753" spans="14:14" x14ac:dyDescent="0.35">
      <c r="N11753" s="676"/>
    </row>
    <row r="11754" spans="14:14" x14ac:dyDescent="0.35">
      <c r="N11754" s="676"/>
    </row>
    <row r="11755" spans="14:14" x14ac:dyDescent="0.35">
      <c r="N11755" s="676"/>
    </row>
    <row r="11756" spans="14:14" x14ac:dyDescent="0.35">
      <c r="N11756" s="676"/>
    </row>
    <row r="11757" spans="14:14" x14ac:dyDescent="0.35">
      <c r="N11757" s="676"/>
    </row>
    <row r="11758" spans="14:14" x14ac:dyDescent="0.35">
      <c r="N11758" s="676"/>
    </row>
    <row r="11759" spans="14:14" x14ac:dyDescent="0.35">
      <c r="N11759" s="676"/>
    </row>
    <row r="11760" spans="14:14" x14ac:dyDescent="0.35">
      <c r="N11760" s="676"/>
    </row>
    <row r="11761" spans="14:14" x14ac:dyDescent="0.35">
      <c r="N11761" s="676"/>
    </row>
    <row r="11762" spans="14:14" x14ac:dyDescent="0.35">
      <c r="N11762" s="676"/>
    </row>
    <row r="11763" spans="14:14" x14ac:dyDescent="0.35">
      <c r="N11763" s="676"/>
    </row>
    <row r="11764" spans="14:14" x14ac:dyDescent="0.35">
      <c r="N11764" s="676"/>
    </row>
    <row r="11765" spans="14:14" x14ac:dyDescent="0.35">
      <c r="N11765" s="676"/>
    </row>
    <row r="11766" spans="14:14" x14ac:dyDescent="0.35">
      <c r="N11766" s="676"/>
    </row>
    <row r="11767" spans="14:14" x14ac:dyDescent="0.35">
      <c r="N11767" s="676"/>
    </row>
    <row r="11768" spans="14:14" x14ac:dyDescent="0.35">
      <c r="N11768" s="676"/>
    </row>
    <row r="11769" spans="14:14" x14ac:dyDescent="0.35">
      <c r="N11769" s="676"/>
    </row>
    <row r="11770" spans="14:14" x14ac:dyDescent="0.35">
      <c r="N11770" s="676"/>
    </row>
    <row r="11771" spans="14:14" x14ac:dyDescent="0.35">
      <c r="N11771" s="676"/>
    </row>
    <row r="11772" spans="14:14" x14ac:dyDescent="0.35">
      <c r="N11772" s="676"/>
    </row>
    <row r="11773" spans="14:14" x14ac:dyDescent="0.35">
      <c r="N11773" s="676"/>
    </row>
    <row r="11774" spans="14:14" x14ac:dyDescent="0.35">
      <c r="N11774" s="676"/>
    </row>
    <row r="11775" spans="14:14" x14ac:dyDescent="0.35">
      <c r="N11775" s="676"/>
    </row>
    <row r="11776" spans="14:14" x14ac:dyDescent="0.35">
      <c r="N11776" s="676"/>
    </row>
    <row r="11777" spans="14:14" x14ac:dyDescent="0.35">
      <c r="N11777" s="676"/>
    </row>
    <row r="11778" spans="14:14" x14ac:dyDescent="0.35">
      <c r="N11778" s="676"/>
    </row>
    <row r="11779" spans="14:14" x14ac:dyDescent="0.35">
      <c r="N11779" s="676"/>
    </row>
    <row r="11780" spans="14:14" x14ac:dyDescent="0.35">
      <c r="N11780" s="676"/>
    </row>
    <row r="11781" spans="14:14" x14ac:dyDescent="0.35">
      <c r="N11781" s="676"/>
    </row>
    <row r="11782" spans="14:14" x14ac:dyDescent="0.35">
      <c r="N11782" s="676"/>
    </row>
    <row r="11783" spans="14:14" x14ac:dyDescent="0.35">
      <c r="N11783" s="676"/>
    </row>
    <row r="11784" spans="14:14" x14ac:dyDescent="0.35">
      <c r="N11784" s="676"/>
    </row>
    <row r="11785" spans="14:14" x14ac:dyDescent="0.35">
      <c r="N11785" s="676"/>
    </row>
    <row r="11786" spans="14:14" x14ac:dyDescent="0.35">
      <c r="N11786" s="676"/>
    </row>
    <row r="11787" spans="14:14" x14ac:dyDescent="0.35">
      <c r="N11787" s="676"/>
    </row>
    <row r="11788" spans="14:14" x14ac:dyDescent="0.35">
      <c r="N11788" s="676"/>
    </row>
    <row r="11789" spans="14:14" x14ac:dyDescent="0.35">
      <c r="N11789" s="676"/>
    </row>
    <row r="11790" spans="14:14" x14ac:dyDescent="0.35">
      <c r="N11790" s="676"/>
    </row>
    <row r="11791" spans="14:14" x14ac:dyDescent="0.35">
      <c r="N11791" s="676"/>
    </row>
    <row r="11792" spans="14:14" x14ac:dyDescent="0.35">
      <c r="N11792" s="676"/>
    </row>
    <row r="11793" spans="14:14" x14ac:dyDescent="0.35">
      <c r="N11793" s="676"/>
    </row>
    <row r="11794" spans="14:14" x14ac:dyDescent="0.35">
      <c r="N11794" s="676"/>
    </row>
    <row r="11795" spans="14:14" x14ac:dyDescent="0.35">
      <c r="N11795" s="676"/>
    </row>
    <row r="11796" spans="14:14" x14ac:dyDescent="0.35">
      <c r="N11796" s="676"/>
    </row>
    <row r="11797" spans="14:14" x14ac:dyDescent="0.35">
      <c r="N11797" s="676"/>
    </row>
    <row r="11798" spans="14:14" x14ac:dyDescent="0.35">
      <c r="N11798" s="676"/>
    </row>
    <row r="11799" spans="14:14" x14ac:dyDescent="0.35">
      <c r="N11799" s="676"/>
    </row>
    <row r="11800" spans="14:14" x14ac:dyDescent="0.35">
      <c r="N11800" s="676"/>
    </row>
    <row r="11801" spans="14:14" x14ac:dyDescent="0.35">
      <c r="N11801" s="676"/>
    </row>
    <row r="11802" spans="14:14" x14ac:dyDescent="0.35">
      <c r="N11802" s="676"/>
    </row>
    <row r="11803" spans="14:14" x14ac:dyDescent="0.35">
      <c r="N11803" s="676"/>
    </row>
    <row r="11804" spans="14:14" x14ac:dyDescent="0.35">
      <c r="N11804" s="676"/>
    </row>
    <row r="11805" spans="14:14" x14ac:dyDescent="0.35">
      <c r="N11805" s="676"/>
    </row>
    <row r="11806" spans="14:14" x14ac:dyDescent="0.35">
      <c r="N11806" s="676"/>
    </row>
    <row r="11807" spans="14:14" x14ac:dyDescent="0.35">
      <c r="N11807" s="676"/>
    </row>
    <row r="11808" spans="14:14" x14ac:dyDescent="0.35">
      <c r="N11808" s="676"/>
    </row>
    <row r="11809" spans="14:14" x14ac:dyDescent="0.35">
      <c r="N11809" s="676"/>
    </row>
    <row r="11810" spans="14:14" x14ac:dyDescent="0.35">
      <c r="N11810" s="676"/>
    </row>
    <row r="11811" spans="14:14" x14ac:dyDescent="0.35">
      <c r="N11811" s="676"/>
    </row>
    <row r="11812" spans="14:14" x14ac:dyDescent="0.35">
      <c r="N11812" s="676"/>
    </row>
    <row r="11813" spans="14:14" x14ac:dyDescent="0.35">
      <c r="N11813" s="676"/>
    </row>
    <row r="11814" spans="14:14" x14ac:dyDescent="0.35">
      <c r="N11814" s="676"/>
    </row>
    <row r="11815" spans="14:14" x14ac:dyDescent="0.35">
      <c r="N11815" s="676"/>
    </row>
    <row r="11816" spans="14:14" x14ac:dyDescent="0.35">
      <c r="N11816" s="676"/>
    </row>
    <row r="11817" spans="14:14" x14ac:dyDescent="0.35">
      <c r="N11817" s="676"/>
    </row>
    <row r="11818" spans="14:14" x14ac:dyDescent="0.35">
      <c r="N11818" s="676"/>
    </row>
    <row r="11819" spans="14:14" x14ac:dyDescent="0.35">
      <c r="N11819" s="676"/>
    </row>
    <row r="11820" spans="14:14" x14ac:dyDescent="0.35">
      <c r="N11820" s="676"/>
    </row>
    <row r="11821" spans="14:14" x14ac:dyDescent="0.35">
      <c r="N11821" s="676"/>
    </row>
    <row r="11822" spans="14:14" x14ac:dyDescent="0.35">
      <c r="N11822" s="676"/>
    </row>
    <row r="11823" spans="14:14" x14ac:dyDescent="0.35">
      <c r="N11823" s="676"/>
    </row>
    <row r="11824" spans="14:14" x14ac:dyDescent="0.35">
      <c r="N11824" s="676"/>
    </row>
    <row r="11825" spans="14:14" x14ac:dyDescent="0.35">
      <c r="N11825" s="676"/>
    </row>
    <row r="11826" spans="14:14" x14ac:dyDescent="0.35">
      <c r="N11826" s="676"/>
    </row>
    <row r="11827" spans="14:14" x14ac:dyDescent="0.35">
      <c r="N11827" s="676"/>
    </row>
    <row r="11828" spans="14:14" x14ac:dyDescent="0.35">
      <c r="N11828" s="676"/>
    </row>
    <row r="11829" spans="14:14" x14ac:dyDescent="0.35">
      <c r="N11829" s="676"/>
    </row>
    <row r="11830" spans="14:14" x14ac:dyDescent="0.35">
      <c r="N11830" s="676"/>
    </row>
    <row r="11831" spans="14:14" x14ac:dyDescent="0.35">
      <c r="N11831" s="676"/>
    </row>
    <row r="11832" spans="14:14" x14ac:dyDescent="0.35">
      <c r="N11832" s="676"/>
    </row>
    <row r="11833" spans="14:14" x14ac:dyDescent="0.35">
      <c r="N11833" s="676"/>
    </row>
    <row r="11834" spans="14:14" x14ac:dyDescent="0.35">
      <c r="N11834" s="676"/>
    </row>
    <row r="11835" spans="14:14" x14ac:dyDescent="0.35">
      <c r="N11835" s="676"/>
    </row>
    <row r="11836" spans="14:14" x14ac:dyDescent="0.35">
      <c r="N11836" s="676"/>
    </row>
    <row r="11837" spans="14:14" x14ac:dyDescent="0.35">
      <c r="N11837" s="676"/>
    </row>
    <row r="11838" spans="14:14" x14ac:dyDescent="0.35">
      <c r="N11838" s="676"/>
    </row>
    <row r="11839" spans="14:14" x14ac:dyDescent="0.35">
      <c r="N11839" s="676"/>
    </row>
    <row r="11840" spans="14:14" x14ac:dyDescent="0.35">
      <c r="N11840" s="676"/>
    </row>
    <row r="11841" spans="14:14" x14ac:dyDescent="0.35">
      <c r="N11841" s="676"/>
    </row>
    <row r="11842" spans="14:14" x14ac:dyDescent="0.35">
      <c r="N11842" s="676"/>
    </row>
    <row r="11843" spans="14:14" x14ac:dyDescent="0.35">
      <c r="N11843" s="676"/>
    </row>
    <row r="11844" spans="14:14" x14ac:dyDescent="0.35">
      <c r="N11844" s="676"/>
    </row>
    <row r="11845" spans="14:14" x14ac:dyDescent="0.35">
      <c r="N11845" s="676"/>
    </row>
    <row r="11846" spans="14:14" x14ac:dyDescent="0.35">
      <c r="N11846" s="676"/>
    </row>
    <row r="11847" spans="14:14" x14ac:dyDescent="0.35">
      <c r="N11847" s="676"/>
    </row>
    <row r="11848" spans="14:14" x14ac:dyDescent="0.35">
      <c r="N11848" s="676"/>
    </row>
    <row r="11849" spans="14:14" x14ac:dyDescent="0.35">
      <c r="N11849" s="676"/>
    </row>
    <row r="11850" spans="14:14" x14ac:dyDescent="0.35">
      <c r="N11850" s="676"/>
    </row>
    <row r="11851" spans="14:14" x14ac:dyDescent="0.35">
      <c r="N11851" s="676"/>
    </row>
    <row r="11852" spans="14:14" x14ac:dyDescent="0.35">
      <c r="N11852" s="676"/>
    </row>
    <row r="11853" spans="14:14" x14ac:dyDescent="0.35">
      <c r="N11853" s="676"/>
    </row>
    <row r="11854" spans="14:14" x14ac:dyDescent="0.35">
      <c r="N11854" s="676"/>
    </row>
    <row r="11855" spans="14:14" x14ac:dyDescent="0.35">
      <c r="N11855" s="676"/>
    </row>
    <row r="11856" spans="14:14" x14ac:dyDescent="0.35">
      <c r="N11856" s="676"/>
    </row>
    <row r="11857" spans="14:14" x14ac:dyDescent="0.35">
      <c r="N11857" s="676"/>
    </row>
    <row r="11858" spans="14:14" x14ac:dyDescent="0.35">
      <c r="N11858" s="676"/>
    </row>
    <row r="11859" spans="14:14" x14ac:dyDescent="0.35">
      <c r="N11859" s="676"/>
    </row>
    <row r="11860" spans="14:14" x14ac:dyDescent="0.35">
      <c r="N11860" s="676"/>
    </row>
    <row r="11861" spans="14:14" x14ac:dyDescent="0.35">
      <c r="N11861" s="676"/>
    </row>
    <row r="11862" spans="14:14" x14ac:dyDescent="0.35">
      <c r="N11862" s="676"/>
    </row>
    <row r="11863" spans="14:14" x14ac:dyDescent="0.35">
      <c r="N11863" s="676"/>
    </row>
    <row r="11864" spans="14:14" x14ac:dyDescent="0.35">
      <c r="N11864" s="676"/>
    </row>
    <row r="11865" spans="14:14" x14ac:dyDescent="0.35">
      <c r="N11865" s="676"/>
    </row>
    <row r="11866" spans="14:14" x14ac:dyDescent="0.35">
      <c r="N11866" s="676"/>
    </row>
    <row r="11867" spans="14:14" x14ac:dyDescent="0.35">
      <c r="N11867" s="676"/>
    </row>
    <row r="11868" spans="14:14" x14ac:dyDescent="0.35">
      <c r="N11868" s="676"/>
    </row>
    <row r="11869" spans="14:14" x14ac:dyDescent="0.35">
      <c r="N11869" s="676"/>
    </row>
    <row r="11870" spans="14:14" x14ac:dyDescent="0.35">
      <c r="N11870" s="676"/>
    </row>
    <row r="11871" spans="14:14" x14ac:dyDescent="0.35">
      <c r="N11871" s="676"/>
    </row>
    <row r="11872" spans="14:14" x14ac:dyDescent="0.35">
      <c r="N11872" s="676"/>
    </row>
    <row r="11873" spans="14:14" x14ac:dyDescent="0.35">
      <c r="N11873" s="676"/>
    </row>
    <row r="11874" spans="14:14" x14ac:dyDescent="0.35">
      <c r="N11874" s="676"/>
    </row>
    <row r="11875" spans="14:14" x14ac:dyDescent="0.35">
      <c r="N11875" s="676"/>
    </row>
    <row r="11876" spans="14:14" x14ac:dyDescent="0.35">
      <c r="N11876" s="676"/>
    </row>
    <row r="11877" spans="14:14" x14ac:dyDescent="0.35">
      <c r="N11877" s="676"/>
    </row>
    <row r="11878" spans="14:14" x14ac:dyDescent="0.35">
      <c r="N11878" s="676"/>
    </row>
    <row r="11879" spans="14:14" x14ac:dyDescent="0.35">
      <c r="N11879" s="676"/>
    </row>
    <row r="11880" spans="14:14" x14ac:dyDescent="0.35">
      <c r="N11880" s="676"/>
    </row>
    <row r="11881" spans="14:14" x14ac:dyDescent="0.35">
      <c r="N11881" s="676"/>
    </row>
    <row r="11882" spans="14:14" x14ac:dyDescent="0.35">
      <c r="N11882" s="676"/>
    </row>
    <row r="11883" spans="14:14" x14ac:dyDescent="0.35">
      <c r="N11883" s="676"/>
    </row>
    <row r="11884" spans="14:14" x14ac:dyDescent="0.35">
      <c r="N11884" s="676"/>
    </row>
    <row r="11885" spans="14:14" x14ac:dyDescent="0.35">
      <c r="N11885" s="676"/>
    </row>
    <row r="11886" spans="14:14" x14ac:dyDescent="0.35">
      <c r="N11886" s="676"/>
    </row>
    <row r="11887" spans="14:14" x14ac:dyDescent="0.35">
      <c r="N11887" s="676"/>
    </row>
    <row r="11888" spans="14:14" x14ac:dyDescent="0.35">
      <c r="N11888" s="676"/>
    </row>
    <row r="11889" spans="14:14" x14ac:dyDescent="0.35">
      <c r="N11889" s="676"/>
    </row>
    <row r="11890" spans="14:14" x14ac:dyDescent="0.35">
      <c r="N11890" s="676"/>
    </row>
    <row r="11891" spans="14:14" x14ac:dyDescent="0.35">
      <c r="N11891" s="676"/>
    </row>
    <row r="11892" spans="14:14" x14ac:dyDescent="0.35">
      <c r="N11892" s="676"/>
    </row>
    <row r="11893" spans="14:14" x14ac:dyDescent="0.35">
      <c r="N11893" s="676"/>
    </row>
    <row r="11894" spans="14:14" x14ac:dyDescent="0.35">
      <c r="N11894" s="676"/>
    </row>
    <row r="11895" spans="14:14" x14ac:dyDescent="0.35">
      <c r="N11895" s="676"/>
    </row>
    <row r="11896" spans="14:14" x14ac:dyDescent="0.35">
      <c r="N11896" s="676"/>
    </row>
    <row r="11897" spans="14:14" x14ac:dyDescent="0.35">
      <c r="N11897" s="676"/>
    </row>
    <row r="11898" spans="14:14" x14ac:dyDescent="0.35">
      <c r="N11898" s="676"/>
    </row>
    <row r="11899" spans="14:14" x14ac:dyDescent="0.35">
      <c r="N11899" s="676"/>
    </row>
    <row r="11900" spans="14:14" x14ac:dyDescent="0.35">
      <c r="N11900" s="676"/>
    </row>
    <row r="11901" spans="14:14" x14ac:dyDescent="0.35">
      <c r="N11901" s="676"/>
    </row>
    <row r="11902" spans="14:14" x14ac:dyDescent="0.35">
      <c r="N11902" s="676"/>
    </row>
    <row r="11903" spans="14:14" x14ac:dyDescent="0.35">
      <c r="N11903" s="676"/>
    </row>
    <row r="11904" spans="14:14" x14ac:dyDescent="0.35">
      <c r="N11904" s="676"/>
    </row>
    <row r="11905" spans="14:14" x14ac:dyDescent="0.35">
      <c r="N11905" s="676"/>
    </row>
    <row r="11906" spans="14:14" x14ac:dyDescent="0.35">
      <c r="N11906" s="676"/>
    </row>
    <row r="11907" spans="14:14" x14ac:dyDescent="0.35">
      <c r="N11907" s="676"/>
    </row>
    <row r="11908" spans="14:14" x14ac:dyDescent="0.35">
      <c r="N11908" s="676"/>
    </row>
    <row r="11909" spans="14:14" x14ac:dyDescent="0.35">
      <c r="N11909" s="676"/>
    </row>
    <row r="11910" spans="14:14" x14ac:dyDescent="0.35">
      <c r="N11910" s="676"/>
    </row>
    <row r="11911" spans="14:14" x14ac:dyDescent="0.35">
      <c r="N11911" s="676"/>
    </row>
    <row r="11912" spans="14:14" x14ac:dyDescent="0.35">
      <c r="N11912" s="676"/>
    </row>
    <row r="11913" spans="14:14" x14ac:dyDescent="0.35">
      <c r="N11913" s="676"/>
    </row>
    <row r="11914" spans="14:14" x14ac:dyDescent="0.35">
      <c r="N11914" s="676"/>
    </row>
    <row r="11915" spans="14:14" x14ac:dyDescent="0.35">
      <c r="N11915" s="676"/>
    </row>
    <row r="11916" spans="14:14" x14ac:dyDescent="0.35">
      <c r="N11916" s="676"/>
    </row>
    <row r="11917" spans="14:14" x14ac:dyDescent="0.35">
      <c r="N11917" s="676"/>
    </row>
    <row r="11918" spans="14:14" x14ac:dyDescent="0.35">
      <c r="N11918" s="676"/>
    </row>
    <row r="11919" spans="14:14" x14ac:dyDescent="0.35">
      <c r="N11919" s="676"/>
    </row>
    <row r="11920" spans="14:14" x14ac:dyDescent="0.35">
      <c r="N11920" s="676"/>
    </row>
    <row r="11921" spans="14:14" x14ac:dyDescent="0.35">
      <c r="N11921" s="676"/>
    </row>
    <row r="11922" spans="14:14" x14ac:dyDescent="0.35">
      <c r="N11922" s="676"/>
    </row>
    <row r="11923" spans="14:14" x14ac:dyDescent="0.35">
      <c r="N11923" s="676"/>
    </row>
    <row r="11924" spans="14:14" x14ac:dyDescent="0.35">
      <c r="N11924" s="676"/>
    </row>
    <row r="11925" spans="14:14" x14ac:dyDescent="0.35">
      <c r="N11925" s="676"/>
    </row>
    <row r="11926" spans="14:14" x14ac:dyDescent="0.35">
      <c r="N11926" s="676"/>
    </row>
    <row r="11927" spans="14:14" x14ac:dyDescent="0.35">
      <c r="N11927" s="676"/>
    </row>
    <row r="11928" spans="14:14" x14ac:dyDescent="0.35">
      <c r="N11928" s="676"/>
    </row>
    <row r="11929" spans="14:14" x14ac:dyDescent="0.35">
      <c r="N11929" s="676"/>
    </row>
    <row r="11930" spans="14:14" x14ac:dyDescent="0.35">
      <c r="N11930" s="676"/>
    </row>
    <row r="11931" spans="14:14" x14ac:dyDescent="0.35">
      <c r="N11931" s="676"/>
    </row>
    <row r="11932" spans="14:14" x14ac:dyDescent="0.35">
      <c r="N11932" s="676"/>
    </row>
    <row r="11933" spans="14:14" x14ac:dyDescent="0.35">
      <c r="N11933" s="676"/>
    </row>
    <row r="11934" spans="14:14" x14ac:dyDescent="0.35">
      <c r="N11934" s="676"/>
    </row>
    <row r="11935" spans="14:14" x14ac:dyDescent="0.35">
      <c r="N11935" s="676"/>
    </row>
    <row r="11936" spans="14:14" x14ac:dyDescent="0.35">
      <c r="N11936" s="676"/>
    </row>
    <row r="11937" spans="14:14" x14ac:dyDescent="0.35">
      <c r="N11937" s="676"/>
    </row>
    <row r="11938" spans="14:14" x14ac:dyDescent="0.35">
      <c r="N11938" s="676"/>
    </row>
    <row r="11939" spans="14:14" x14ac:dyDescent="0.35">
      <c r="N11939" s="676"/>
    </row>
    <row r="11940" spans="14:14" x14ac:dyDescent="0.35">
      <c r="N11940" s="676"/>
    </row>
    <row r="11941" spans="14:14" x14ac:dyDescent="0.35">
      <c r="N11941" s="676"/>
    </row>
    <row r="11942" spans="14:14" x14ac:dyDescent="0.35">
      <c r="N11942" s="676"/>
    </row>
    <row r="11943" spans="14:14" x14ac:dyDescent="0.35">
      <c r="N11943" s="676"/>
    </row>
    <row r="11944" spans="14:14" x14ac:dyDescent="0.35">
      <c r="N11944" s="676"/>
    </row>
    <row r="11945" spans="14:14" x14ac:dyDescent="0.35">
      <c r="N11945" s="676"/>
    </row>
    <row r="11946" spans="14:14" x14ac:dyDescent="0.35">
      <c r="N11946" s="676"/>
    </row>
    <row r="11947" spans="14:14" x14ac:dyDescent="0.35">
      <c r="N11947" s="676"/>
    </row>
    <row r="11948" spans="14:14" x14ac:dyDescent="0.35">
      <c r="N11948" s="676"/>
    </row>
    <row r="11949" spans="14:14" x14ac:dyDescent="0.35">
      <c r="N11949" s="676"/>
    </row>
    <row r="11950" spans="14:14" x14ac:dyDescent="0.35">
      <c r="N11950" s="676"/>
    </row>
    <row r="11951" spans="14:14" x14ac:dyDescent="0.35">
      <c r="N11951" s="676"/>
    </row>
    <row r="11952" spans="14:14" x14ac:dyDescent="0.35">
      <c r="N11952" s="676"/>
    </row>
    <row r="11953" spans="14:14" x14ac:dyDescent="0.35">
      <c r="N11953" s="676"/>
    </row>
    <row r="11954" spans="14:14" x14ac:dyDescent="0.35">
      <c r="N11954" s="676"/>
    </row>
    <row r="11955" spans="14:14" x14ac:dyDescent="0.35">
      <c r="N11955" s="676"/>
    </row>
    <row r="11956" spans="14:14" x14ac:dyDescent="0.35">
      <c r="N11956" s="676"/>
    </row>
    <row r="11957" spans="14:14" x14ac:dyDescent="0.35">
      <c r="N11957" s="676"/>
    </row>
    <row r="11958" spans="14:14" x14ac:dyDescent="0.35">
      <c r="N11958" s="676"/>
    </row>
    <row r="11959" spans="14:14" x14ac:dyDescent="0.35">
      <c r="N11959" s="676"/>
    </row>
    <row r="11960" spans="14:14" x14ac:dyDescent="0.35">
      <c r="N11960" s="676"/>
    </row>
    <row r="11961" spans="14:14" x14ac:dyDescent="0.35">
      <c r="N11961" s="676"/>
    </row>
    <row r="11962" spans="14:14" x14ac:dyDescent="0.35">
      <c r="N11962" s="676"/>
    </row>
    <row r="11963" spans="14:14" x14ac:dyDescent="0.35">
      <c r="N11963" s="676"/>
    </row>
    <row r="11964" spans="14:14" x14ac:dyDescent="0.35">
      <c r="N11964" s="676"/>
    </row>
    <row r="11965" spans="14:14" x14ac:dyDescent="0.35">
      <c r="N11965" s="676"/>
    </row>
    <row r="11966" spans="14:14" x14ac:dyDescent="0.35">
      <c r="N11966" s="676"/>
    </row>
    <row r="11967" spans="14:14" x14ac:dyDescent="0.35">
      <c r="N11967" s="676"/>
    </row>
    <row r="11968" spans="14:14" x14ac:dyDescent="0.35">
      <c r="N11968" s="676"/>
    </row>
    <row r="11969" spans="14:14" x14ac:dyDescent="0.35">
      <c r="N11969" s="676"/>
    </row>
    <row r="11970" spans="14:14" x14ac:dyDescent="0.35">
      <c r="N11970" s="676"/>
    </row>
    <row r="11971" spans="14:14" x14ac:dyDescent="0.35">
      <c r="N11971" s="676"/>
    </row>
    <row r="11972" spans="14:14" x14ac:dyDescent="0.35">
      <c r="N11972" s="676"/>
    </row>
    <row r="11973" spans="14:14" x14ac:dyDescent="0.35">
      <c r="N11973" s="676"/>
    </row>
    <row r="11974" spans="14:14" x14ac:dyDescent="0.35">
      <c r="N11974" s="676"/>
    </row>
    <row r="11975" spans="14:14" x14ac:dyDescent="0.35">
      <c r="N11975" s="676"/>
    </row>
    <row r="11976" spans="14:14" x14ac:dyDescent="0.35">
      <c r="N11976" s="676"/>
    </row>
    <row r="11977" spans="14:14" x14ac:dyDescent="0.35">
      <c r="N11977" s="676"/>
    </row>
    <row r="11978" spans="14:14" x14ac:dyDescent="0.35">
      <c r="N11978" s="676"/>
    </row>
    <row r="11979" spans="14:14" x14ac:dyDescent="0.35">
      <c r="N11979" s="676"/>
    </row>
    <row r="11980" spans="14:14" x14ac:dyDescent="0.35">
      <c r="N11980" s="676"/>
    </row>
    <row r="11981" spans="14:14" x14ac:dyDescent="0.35">
      <c r="N11981" s="676"/>
    </row>
    <row r="11982" spans="14:14" x14ac:dyDescent="0.35">
      <c r="N11982" s="676"/>
    </row>
    <row r="11983" spans="14:14" x14ac:dyDescent="0.35">
      <c r="N11983" s="676"/>
    </row>
    <row r="11984" spans="14:14" x14ac:dyDescent="0.35">
      <c r="N11984" s="676"/>
    </row>
    <row r="11985" spans="14:14" x14ac:dyDescent="0.35">
      <c r="N11985" s="676"/>
    </row>
    <row r="11986" spans="14:14" x14ac:dyDescent="0.35">
      <c r="N11986" s="676"/>
    </row>
    <row r="11987" spans="14:14" x14ac:dyDescent="0.35">
      <c r="N11987" s="676"/>
    </row>
    <row r="11988" spans="14:14" x14ac:dyDescent="0.35">
      <c r="N11988" s="676"/>
    </row>
    <row r="11989" spans="14:14" x14ac:dyDescent="0.35">
      <c r="N11989" s="676"/>
    </row>
    <row r="11990" spans="14:14" x14ac:dyDescent="0.35">
      <c r="N11990" s="676"/>
    </row>
    <row r="11991" spans="14:14" x14ac:dyDescent="0.35">
      <c r="N11991" s="676"/>
    </row>
    <row r="11992" spans="14:14" x14ac:dyDescent="0.35">
      <c r="N11992" s="676"/>
    </row>
    <row r="11993" spans="14:14" x14ac:dyDescent="0.35">
      <c r="N11993" s="676"/>
    </row>
    <row r="11994" spans="14:14" x14ac:dyDescent="0.35">
      <c r="N11994" s="676"/>
    </row>
    <row r="11995" spans="14:14" x14ac:dyDescent="0.35">
      <c r="N11995" s="676"/>
    </row>
    <row r="11996" spans="14:14" x14ac:dyDescent="0.35">
      <c r="N11996" s="676"/>
    </row>
    <row r="11997" spans="14:14" x14ac:dyDescent="0.35">
      <c r="N11997" s="676"/>
    </row>
    <row r="11998" spans="14:14" x14ac:dyDescent="0.35">
      <c r="N11998" s="676"/>
    </row>
    <row r="11999" spans="14:14" x14ac:dyDescent="0.35">
      <c r="N11999" s="676"/>
    </row>
    <row r="12000" spans="14:14" x14ac:dyDescent="0.35">
      <c r="N12000" s="676"/>
    </row>
    <row r="12001" spans="14:14" x14ac:dyDescent="0.35">
      <c r="N12001" s="676"/>
    </row>
    <row r="12002" spans="14:14" x14ac:dyDescent="0.35">
      <c r="N12002" s="676"/>
    </row>
    <row r="12003" spans="14:14" x14ac:dyDescent="0.35">
      <c r="N12003" s="676"/>
    </row>
    <row r="12004" spans="14:14" x14ac:dyDescent="0.35">
      <c r="N12004" s="676"/>
    </row>
    <row r="12005" spans="14:14" x14ac:dyDescent="0.35">
      <c r="N12005" s="676"/>
    </row>
    <row r="12006" spans="14:14" x14ac:dyDescent="0.35">
      <c r="N12006" s="676"/>
    </row>
    <row r="12007" spans="14:14" x14ac:dyDescent="0.35">
      <c r="N12007" s="676"/>
    </row>
    <row r="12008" spans="14:14" x14ac:dyDescent="0.35">
      <c r="N12008" s="676"/>
    </row>
    <row r="12009" spans="14:14" x14ac:dyDescent="0.35">
      <c r="N12009" s="676"/>
    </row>
    <row r="12010" spans="14:14" x14ac:dyDescent="0.35">
      <c r="N12010" s="676"/>
    </row>
    <row r="12011" spans="14:14" x14ac:dyDescent="0.35">
      <c r="N12011" s="676"/>
    </row>
    <row r="12012" spans="14:14" x14ac:dyDescent="0.35">
      <c r="N12012" s="676"/>
    </row>
    <row r="12013" spans="14:14" x14ac:dyDescent="0.35">
      <c r="N12013" s="676"/>
    </row>
    <row r="12014" spans="14:14" x14ac:dyDescent="0.35">
      <c r="N12014" s="676"/>
    </row>
    <row r="12015" spans="14:14" x14ac:dyDescent="0.35">
      <c r="N12015" s="676"/>
    </row>
    <row r="12016" spans="14:14" x14ac:dyDescent="0.35">
      <c r="N12016" s="676"/>
    </row>
    <row r="12017" spans="14:14" x14ac:dyDescent="0.35">
      <c r="N12017" s="676"/>
    </row>
    <row r="12018" spans="14:14" x14ac:dyDescent="0.35">
      <c r="N12018" s="676"/>
    </row>
    <row r="12019" spans="14:14" x14ac:dyDescent="0.35">
      <c r="N12019" s="676"/>
    </row>
    <row r="12020" spans="14:14" x14ac:dyDescent="0.35">
      <c r="N12020" s="676"/>
    </row>
    <row r="12021" spans="14:14" x14ac:dyDescent="0.35">
      <c r="N12021" s="676"/>
    </row>
    <row r="12022" spans="14:14" x14ac:dyDescent="0.35">
      <c r="N12022" s="676"/>
    </row>
    <row r="12023" spans="14:14" x14ac:dyDescent="0.35">
      <c r="N12023" s="676"/>
    </row>
    <row r="12024" spans="14:14" x14ac:dyDescent="0.35">
      <c r="N12024" s="676"/>
    </row>
    <row r="12025" spans="14:14" x14ac:dyDescent="0.35">
      <c r="N12025" s="676"/>
    </row>
    <row r="12026" spans="14:14" x14ac:dyDescent="0.35">
      <c r="N12026" s="676"/>
    </row>
    <row r="12027" spans="14:14" x14ac:dyDescent="0.35">
      <c r="N12027" s="676"/>
    </row>
    <row r="12028" spans="14:14" x14ac:dyDescent="0.35">
      <c r="N12028" s="676"/>
    </row>
    <row r="12029" spans="14:14" x14ac:dyDescent="0.35">
      <c r="N12029" s="676"/>
    </row>
    <row r="12030" spans="14:14" x14ac:dyDescent="0.35">
      <c r="N12030" s="676"/>
    </row>
    <row r="12031" spans="14:14" x14ac:dyDescent="0.35">
      <c r="N12031" s="676"/>
    </row>
    <row r="12032" spans="14:14" x14ac:dyDescent="0.35">
      <c r="N12032" s="676"/>
    </row>
    <row r="12033" spans="14:14" x14ac:dyDescent="0.35">
      <c r="N12033" s="676"/>
    </row>
    <row r="12034" spans="14:14" x14ac:dyDescent="0.35">
      <c r="N12034" s="676"/>
    </row>
    <row r="12035" spans="14:14" x14ac:dyDescent="0.35">
      <c r="N12035" s="676"/>
    </row>
    <row r="12036" spans="14:14" x14ac:dyDescent="0.35">
      <c r="N12036" s="676"/>
    </row>
    <row r="12037" spans="14:14" x14ac:dyDescent="0.35">
      <c r="N12037" s="676"/>
    </row>
    <row r="12038" spans="14:14" x14ac:dyDescent="0.35">
      <c r="N12038" s="676"/>
    </row>
    <row r="12039" spans="14:14" x14ac:dyDescent="0.35">
      <c r="N12039" s="676"/>
    </row>
    <row r="12040" spans="14:14" x14ac:dyDescent="0.35">
      <c r="N12040" s="676"/>
    </row>
    <row r="12041" spans="14:14" x14ac:dyDescent="0.35">
      <c r="N12041" s="676"/>
    </row>
    <row r="12042" spans="14:14" x14ac:dyDescent="0.35">
      <c r="N12042" s="676"/>
    </row>
    <row r="12043" spans="14:14" x14ac:dyDescent="0.35">
      <c r="N12043" s="676"/>
    </row>
    <row r="12044" spans="14:14" x14ac:dyDescent="0.35">
      <c r="N12044" s="676"/>
    </row>
    <row r="12045" spans="14:14" x14ac:dyDescent="0.35">
      <c r="N12045" s="676"/>
    </row>
    <row r="12046" spans="14:14" x14ac:dyDescent="0.35">
      <c r="N12046" s="676"/>
    </row>
    <row r="12047" spans="14:14" x14ac:dyDescent="0.35">
      <c r="N12047" s="676"/>
    </row>
    <row r="12048" spans="14:14" x14ac:dyDescent="0.35">
      <c r="N12048" s="676"/>
    </row>
    <row r="12049" spans="14:14" x14ac:dyDescent="0.35">
      <c r="N12049" s="676"/>
    </row>
    <row r="12050" spans="14:14" x14ac:dyDescent="0.35">
      <c r="N12050" s="676"/>
    </row>
    <row r="12051" spans="14:14" x14ac:dyDescent="0.35">
      <c r="N12051" s="676"/>
    </row>
    <row r="12052" spans="14:14" x14ac:dyDescent="0.35">
      <c r="N12052" s="676"/>
    </row>
    <row r="12053" spans="14:14" x14ac:dyDescent="0.35">
      <c r="N12053" s="676"/>
    </row>
    <row r="12054" spans="14:14" x14ac:dyDescent="0.35">
      <c r="N12054" s="676"/>
    </row>
    <row r="12055" spans="14:14" x14ac:dyDescent="0.35">
      <c r="N12055" s="676"/>
    </row>
    <row r="12056" spans="14:14" x14ac:dyDescent="0.35">
      <c r="N12056" s="676"/>
    </row>
    <row r="12057" spans="14:14" x14ac:dyDescent="0.35">
      <c r="N12057" s="676"/>
    </row>
    <row r="12058" spans="14:14" x14ac:dyDescent="0.35">
      <c r="N12058" s="676"/>
    </row>
    <row r="12059" spans="14:14" x14ac:dyDescent="0.35">
      <c r="N12059" s="676"/>
    </row>
    <row r="12060" spans="14:14" x14ac:dyDescent="0.35">
      <c r="N12060" s="676"/>
    </row>
    <row r="12061" spans="14:14" x14ac:dyDescent="0.35">
      <c r="N12061" s="676"/>
    </row>
    <row r="12062" spans="14:14" x14ac:dyDescent="0.35">
      <c r="N12062" s="676"/>
    </row>
    <row r="12063" spans="14:14" x14ac:dyDescent="0.35">
      <c r="N12063" s="676"/>
    </row>
    <row r="12064" spans="14:14" x14ac:dyDescent="0.35">
      <c r="N12064" s="676"/>
    </row>
    <row r="12065" spans="14:14" x14ac:dyDescent="0.35">
      <c r="N12065" s="676"/>
    </row>
    <row r="12066" spans="14:14" x14ac:dyDescent="0.35">
      <c r="N12066" s="676"/>
    </row>
    <row r="12067" spans="14:14" x14ac:dyDescent="0.35">
      <c r="N12067" s="676"/>
    </row>
    <row r="12068" spans="14:14" x14ac:dyDescent="0.35">
      <c r="N12068" s="676"/>
    </row>
    <row r="12069" spans="14:14" x14ac:dyDescent="0.35">
      <c r="N12069" s="676"/>
    </row>
    <row r="12070" spans="14:14" x14ac:dyDescent="0.35">
      <c r="N12070" s="676"/>
    </row>
    <row r="12071" spans="14:14" x14ac:dyDescent="0.35">
      <c r="N12071" s="676"/>
    </row>
    <row r="12072" spans="14:14" x14ac:dyDescent="0.35">
      <c r="N12072" s="676"/>
    </row>
    <row r="12073" spans="14:14" x14ac:dyDescent="0.35">
      <c r="N12073" s="676"/>
    </row>
    <row r="12074" spans="14:14" x14ac:dyDescent="0.35">
      <c r="N12074" s="676"/>
    </row>
    <row r="12075" spans="14:14" x14ac:dyDescent="0.35">
      <c r="N12075" s="676"/>
    </row>
    <row r="12076" spans="14:14" x14ac:dyDescent="0.35">
      <c r="N12076" s="676"/>
    </row>
    <row r="12077" spans="14:14" x14ac:dyDescent="0.35">
      <c r="N12077" s="676"/>
    </row>
    <row r="12078" spans="14:14" x14ac:dyDescent="0.35">
      <c r="N12078" s="676"/>
    </row>
    <row r="12079" spans="14:14" x14ac:dyDescent="0.35">
      <c r="N12079" s="676"/>
    </row>
    <row r="12080" spans="14:14" x14ac:dyDescent="0.35">
      <c r="N12080" s="676"/>
    </row>
    <row r="12081" spans="14:14" x14ac:dyDescent="0.35">
      <c r="N12081" s="676"/>
    </row>
    <row r="12082" spans="14:14" x14ac:dyDescent="0.35">
      <c r="N12082" s="676"/>
    </row>
    <row r="12083" spans="14:14" x14ac:dyDescent="0.35">
      <c r="N12083" s="676"/>
    </row>
    <row r="12084" spans="14:14" x14ac:dyDescent="0.35">
      <c r="N12084" s="676"/>
    </row>
    <row r="12085" spans="14:14" x14ac:dyDescent="0.35">
      <c r="N12085" s="676"/>
    </row>
    <row r="12086" spans="14:14" x14ac:dyDescent="0.35">
      <c r="N12086" s="676"/>
    </row>
    <row r="12087" spans="14:14" x14ac:dyDescent="0.35">
      <c r="N12087" s="676"/>
    </row>
    <row r="12088" spans="14:14" x14ac:dyDescent="0.35">
      <c r="N12088" s="676"/>
    </row>
    <row r="12089" spans="14:14" x14ac:dyDescent="0.35">
      <c r="N12089" s="676"/>
    </row>
    <row r="12090" spans="14:14" x14ac:dyDescent="0.35">
      <c r="N12090" s="676"/>
    </row>
    <row r="12091" spans="14:14" x14ac:dyDescent="0.35">
      <c r="N12091" s="676"/>
    </row>
    <row r="12092" spans="14:14" x14ac:dyDescent="0.35">
      <c r="N12092" s="676"/>
    </row>
    <row r="12093" spans="14:14" x14ac:dyDescent="0.35">
      <c r="N12093" s="676"/>
    </row>
    <row r="12094" spans="14:14" x14ac:dyDescent="0.35">
      <c r="N12094" s="676"/>
    </row>
    <row r="12095" spans="14:14" x14ac:dyDescent="0.35">
      <c r="N12095" s="676"/>
    </row>
    <row r="12096" spans="14:14" x14ac:dyDescent="0.35">
      <c r="N12096" s="676"/>
    </row>
    <row r="12097" spans="14:14" x14ac:dyDescent="0.35">
      <c r="N12097" s="676"/>
    </row>
    <row r="12098" spans="14:14" x14ac:dyDescent="0.35">
      <c r="N12098" s="676"/>
    </row>
    <row r="12099" spans="14:14" x14ac:dyDescent="0.35">
      <c r="N12099" s="676"/>
    </row>
    <row r="12100" spans="14:14" x14ac:dyDescent="0.35">
      <c r="N12100" s="676"/>
    </row>
    <row r="12101" spans="14:14" x14ac:dyDescent="0.35">
      <c r="N12101" s="676"/>
    </row>
    <row r="12102" spans="14:14" x14ac:dyDescent="0.35">
      <c r="N12102" s="676"/>
    </row>
    <row r="12103" spans="14:14" x14ac:dyDescent="0.35">
      <c r="N12103" s="676"/>
    </row>
    <row r="12104" spans="14:14" x14ac:dyDescent="0.35">
      <c r="N12104" s="676"/>
    </row>
    <row r="12105" spans="14:14" x14ac:dyDescent="0.35">
      <c r="N12105" s="676"/>
    </row>
    <row r="12106" spans="14:14" x14ac:dyDescent="0.35">
      <c r="N12106" s="676"/>
    </row>
    <row r="12107" spans="14:14" x14ac:dyDescent="0.35">
      <c r="N12107" s="676"/>
    </row>
    <row r="12108" spans="14:14" x14ac:dyDescent="0.35">
      <c r="N12108" s="676"/>
    </row>
    <row r="12109" spans="14:14" x14ac:dyDescent="0.35">
      <c r="N12109" s="676"/>
    </row>
    <row r="12110" spans="14:14" x14ac:dyDescent="0.35">
      <c r="N12110" s="676"/>
    </row>
    <row r="12111" spans="14:14" x14ac:dyDescent="0.35">
      <c r="N12111" s="676"/>
    </row>
    <row r="12112" spans="14:14" x14ac:dyDescent="0.35">
      <c r="N12112" s="676"/>
    </row>
    <row r="12113" spans="14:14" x14ac:dyDescent="0.35">
      <c r="N12113" s="676"/>
    </row>
    <row r="12114" spans="14:14" x14ac:dyDescent="0.35">
      <c r="N12114" s="676"/>
    </row>
    <row r="12115" spans="14:14" x14ac:dyDescent="0.35">
      <c r="N12115" s="676"/>
    </row>
    <row r="12116" spans="14:14" x14ac:dyDescent="0.35">
      <c r="N12116" s="676"/>
    </row>
    <row r="12117" spans="14:14" x14ac:dyDescent="0.35">
      <c r="N12117" s="676"/>
    </row>
    <row r="12118" spans="14:14" x14ac:dyDescent="0.35">
      <c r="N12118" s="676"/>
    </row>
    <row r="12119" spans="14:14" x14ac:dyDescent="0.35">
      <c r="N12119" s="676"/>
    </row>
    <row r="12120" spans="14:14" x14ac:dyDescent="0.35">
      <c r="N12120" s="676"/>
    </row>
    <row r="12121" spans="14:14" x14ac:dyDescent="0.35">
      <c r="N12121" s="676"/>
    </row>
    <row r="12122" spans="14:14" x14ac:dyDescent="0.35">
      <c r="N12122" s="676"/>
    </row>
    <row r="12123" spans="14:14" x14ac:dyDescent="0.35">
      <c r="N12123" s="676"/>
    </row>
    <row r="12124" spans="14:14" x14ac:dyDescent="0.35">
      <c r="N12124" s="676"/>
    </row>
    <row r="12125" spans="14:14" x14ac:dyDescent="0.35">
      <c r="N12125" s="676"/>
    </row>
    <row r="12126" spans="14:14" x14ac:dyDescent="0.35">
      <c r="N12126" s="676"/>
    </row>
    <row r="12127" spans="14:14" x14ac:dyDescent="0.35">
      <c r="N12127" s="676"/>
    </row>
    <row r="12128" spans="14:14" x14ac:dyDescent="0.35">
      <c r="N12128" s="676"/>
    </row>
    <row r="12129" spans="14:14" x14ac:dyDescent="0.35">
      <c r="N12129" s="676"/>
    </row>
    <row r="12130" spans="14:14" x14ac:dyDescent="0.35">
      <c r="N12130" s="676"/>
    </row>
    <row r="12131" spans="14:14" x14ac:dyDescent="0.35">
      <c r="N12131" s="676"/>
    </row>
    <row r="12132" spans="14:14" x14ac:dyDescent="0.35">
      <c r="N12132" s="676"/>
    </row>
    <row r="12133" spans="14:14" x14ac:dyDescent="0.35">
      <c r="N12133" s="676"/>
    </row>
    <row r="12134" spans="14:14" x14ac:dyDescent="0.35">
      <c r="N12134" s="676"/>
    </row>
    <row r="12135" spans="14:14" x14ac:dyDescent="0.35">
      <c r="N12135" s="676"/>
    </row>
    <row r="12136" spans="14:14" x14ac:dyDescent="0.35">
      <c r="N12136" s="676"/>
    </row>
    <row r="12137" spans="14:14" x14ac:dyDescent="0.35">
      <c r="N12137" s="676"/>
    </row>
    <row r="12138" spans="14:14" x14ac:dyDescent="0.35">
      <c r="N12138" s="676"/>
    </row>
    <row r="12139" spans="14:14" x14ac:dyDescent="0.35">
      <c r="N12139" s="676"/>
    </row>
    <row r="12140" spans="14:14" x14ac:dyDescent="0.35">
      <c r="N12140" s="676"/>
    </row>
    <row r="12141" spans="14:14" x14ac:dyDescent="0.35">
      <c r="N12141" s="676"/>
    </row>
    <row r="12142" spans="14:14" x14ac:dyDescent="0.35">
      <c r="N12142" s="676"/>
    </row>
    <row r="12143" spans="14:14" x14ac:dyDescent="0.35">
      <c r="N12143" s="676"/>
    </row>
    <row r="12144" spans="14:14" x14ac:dyDescent="0.35">
      <c r="N12144" s="676"/>
    </row>
    <row r="12145" spans="14:14" x14ac:dyDescent="0.35">
      <c r="N12145" s="676"/>
    </row>
    <row r="12146" spans="14:14" x14ac:dyDescent="0.35">
      <c r="N12146" s="676"/>
    </row>
    <row r="12147" spans="14:14" x14ac:dyDescent="0.35">
      <c r="N12147" s="676"/>
    </row>
    <row r="12148" spans="14:14" x14ac:dyDescent="0.35">
      <c r="N12148" s="676"/>
    </row>
    <row r="12149" spans="14:14" x14ac:dyDescent="0.35">
      <c r="N12149" s="676"/>
    </row>
    <row r="12150" spans="14:14" x14ac:dyDescent="0.35">
      <c r="N12150" s="676"/>
    </row>
    <row r="12151" spans="14:14" x14ac:dyDescent="0.35">
      <c r="N12151" s="676"/>
    </row>
    <row r="12152" spans="14:14" x14ac:dyDescent="0.35">
      <c r="N12152" s="676"/>
    </row>
    <row r="12153" spans="14:14" x14ac:dyDescent="0.35">
      <c r="N12153" s="676"/>
    </row>
    <row r="12154" spans="14:14" x14ac:dyDescent="0.35">
      <c r="N12154" s="676"/>
    </row>
    <row r="12155" spans="14:14" x14ac:dyDescent="0.35">
      <c r="N12155" s="676"/>
    </row>
    <row r="12156" spans="14:14" x14ac:dyDescent="0.35">
      <c r="N12156" s="676"/>
    </row>
    <row r="12157" spans="14:14" x14ac:dyDescent="0.35">
      <c r="N12157" s="676"/>
    </row>
    <row r="12158" spans="14:14" x14ac:dyDescent="0.35">
      <c r="N12158" s="676"/>
    </row>
    <row r="12159" spans="14:14" x14ac:dyDescent="0.35">
      <c r="N12159" s="676"/>
    </row>
    <row r="12160" spans="14:14" x14ac:dyDescent="0.35">
      <c r="N12160" s="676"/>
    </row>
    <row r="12161" spans="14:14" x14ac:dyDescent="0.35">
      <c r="N12161" s="676"/>
    </row>
    <row r="12162" spans="14:14" x14ac:dyDescent="0.35">
      <c r="N12162" s="676"/>
    </row>
    <row r="12163" spans="14:14" x14ac:dyDescent="0.35">
      <c r="N12163" s="676"/>
    </row>
    <row r="12164" spans="14:14" x14ac:dyDescent="0.35">
      <c r="N12164" s="676"/>
    </row>
    <row r="12165" spans="14:14" x14ac:dyDescent="0.35">
      <c r="N12165" s="676"/>
    </row>
    <row r="12166" spans="14:14" x14ac:dyDescent="0.35">
      <c r="N12166" s="676"/>
    </row>
    <row r="12167" spans="14:14" x14ac:dyDescent="0.35">
      <c r="N12167" s="676"/>
    </row>
    <row r="12168" spans="14:14" x14ac:dyDescent="0.35">
      <c r="N12168" s="676"/>
    </row>
    <row r="12169" spans="14:14" x14ac:dyDescent="0.35">
      <c r="N12169" s="676"/>
    </row>
    <row r="12170" spans="14:14" x14ac:dyDescent="0.35">
      <c r="N12170" s="676"/>
    </row>
    <row r="12171" spans="14:14" x14ac:dyDescent="0.35">
      <c r="N12171" s="676"/>
    </row>
    <row r="12172" spans="14:14" x14ac:dyDescent="0.35">
      <c r="N12172" s="676"/>
    </row>
    <row r="12173" spans="14:14" x14ac:dyDescent="0.35">
      <c r="N12173" s="676"/>
    </row>
    <row r="12174" spans="14:14" x14ac:dyDescent="0.35">
      <c r="N12174" s="676"/>
    </row>
    <row r="12175" spans="14:14" x14ac:dyDescent="0.35">
      <c r="N12175" s="676"/>
    </row>
    <row r="12176" spans="14:14" x14ac:dyDescent="0.35">
      <c r="N12176" s="676"/>
    </row>
    <row r="12177" spans="14:14" x14ac:dyDescent="0.35">
      <c r="N12177" s="676"/>
    </row>
    <row r="12178" spans="14:14" x14ac:dyDescent="0.35">
      <c r="N12178" s="676"/>
    </row>
    <row r="12179" spans="14:14" x14ac:dyDescent="0.35">
      <c r="N12179" s="676"/>
    </row>
    <row r="12180" spans="14:14" x14ac:dyDescent="0.35">
      <c r="N12180" s="676"/>
    </row>
    <row r="12181" spans="14:14" x14ac:dyDescent="0.35">
      <c r="N12181" s="676"/>
    </row>
    <row r="12182" spans="14:14" x14ac:dyDescent="0.35">
      <c r="N12182" s="676"/>
    </row>
    <row r="12183" spans="14:14" x14ac:dyDescent="0.35">
      <c r="N12183" s="676"/>
    </row>
    <row r="12184" spans="14:14" x14ac:dyDescent="0.35">
      <c r="N12184" s="676"/>
    </row>
    <row r="12185" spans="14:14" x14ac:dyDescent="0.35">
      <c r="N12185" s="676"/>
    </row>
    <row r="12186" spans="14:14" x14ac:dyDescent="0.35">
      <c r="N12186" s="676"/>
    </row>
    <row r="12187" spans="14:14" x14ac:dyDescent="0.35">
      <c r="N12187" s="676"/>
    </row>
    <row r="12188" spans="14:14" x14ac:dyDescent="0.35">
      <c r="N12188" s="676"/>
    </row>
    <row r="12189" spans="14:14" x14ac:dyDescent="0.35">
      <c r="N12189" s="676"/>
    </row>
    <row r="12190" spans="14:14" x14ac:dyDescent="0.35">
      <c r="N12190" s="676"/>
    </row>
    <row r="12191" spans="14:14" x14ac:dyDescent="0.35">
      <c r="N12191" s="676"/>
    </row>
    <row r="12192" spans="14:14" x14ac:dyDescent="0.35">
      <c r="N12192" s="676"/>
    </row>
    <row r="12193" spans="14:14" x14ac:dyDescent="0.35">
      <c r="N12193" s="676"/>
    </row>
    <row r="12194" spans="14:14" x14ac:dyDescent="0.35">
      <c r="N12194" s="676"/>
    </row>
    <row r="12195" spans="14:14" x14ac:dyDescent="0.35">
      <c r="N12195" s="676"/>
    </row>
    <row r="12196" spans="14:14" x14ac:dyDescent="0.35">
      <c r="N12196" s="676"/>
    </row>
    <row r="12197" spans="14:14" x14ac:dyDescent="0.35">
      <c r="N12197" s="676"/>
    </row>
    <row r="12198" spans="14:14" x14ac:dyDescent="0.35">
      <c r="N12198" s="676"/>
    </row>
    <row r="12199" spans="14:14" x14ac:dyDescent="0.35">
      <c r="N12199" s="676"/>
    </row>
    <row r="12200" spans="14:14" x14ac:dyDescent="0.35">
      <c r="N12200" s="676"/>
    </row>
    <row r="12201" spans="14:14" x14ac:dyDescent="0.35">
      <c r="N12201" s="676"/>
    </row>
    <row r="12202" spans="14:14" x14ac:dyDescent="0.35">
      <c r="N12202" s="676"/>
    </row>
    <row r="12203" spans="14:14" x14ac:dyDescent="0.35">
      <c r="N12203" s="676"/>
    </row>
    <row r="12204" spans="14:14" x14ac:dyDescent="0.35">
      <c r="N12204" s="676"/>
    </row>
    <row r="12205" spans="14:14" x14ac:dyDescent="0.35">
      <c r="N12205" s="676"/>
    </row>
    <row r="12206" spans="14:14" x14ac:dyDescent="0.35">
      <c r="N12206" s="676"/>
    </row>
    <row r="12207" spans="14:14" x14ac:dyDescent="0.35">
      <c r="N12207" s="676"/>
    </row>
    <row r="12208" spans="14:14" x14ac:dyDescent="0.35">
      <c r="N12208" s="676"/>
    </row>
    <row r="12209" spans="14:14" x14ac:dyDescent="0.35">
      <c r="N12209" s="676"/>
    </row>
    <row r="12210" spans="14:14" x14ac:dyDescent="0.35">
      <c r="N12210" s="676"/>
    </row>
    <row r="12211" spans="14:14" x14ac:dyDescent="0.35">
      <c r="N12211" s="676"/>
    </row>
    <row r="12212" spans="14:14" x14ac:dyDescent="0.35">
      <c r="N12212" s="676"/>
    </row>
    <row r="12213" spans="14:14" x14ac:dyDescent="0.35">
      <c r="N12213" s="676"/>
    </row>
    <row r="12214" spans="14:14" x14ac:dyDescent="0.35">
      <c r="N12214" s="676"/>
    </row>
    <row r="12215" spans="14:14" x14ac:dyDescent="0.35">
      <c r="N12215" s="676"/>
    </row>
    <row r="12216" spans="14:14" x14ac:dyDescent="0.35">
      <c r="N12216" s="676"/>
    </row>
    <row r="12217" spans="14:14" x14ac:dyDescent="0.35">
      <c r="N12217" s="676"/>
    </row>
    <row r="12218" spans="14:14" x14ac:dyDescent="0.35">
      <c r="N12218" s="676"/>
    </row>
    <row r="12219" spans="14:14" x14ac:dyDescent="0.35">
      <c r="N12219" s="676"/>
    </row>
    <row r="12220" spans="14:14" x14ac:dyDescent="0.35">
      <c r="N12220" s="676"/>
    </row>
    <row r="12221" spans="14:14" x14ac:dyDescent="0.35">
      <c r="N12221" s="676"/>
    </row>
    <row r="12222" spans="14:14" x14ac:dyDescent="0.35">
      <c r="N12222" s="676"/>
    </row>
    <row r="12223" spans="14:14" x14ac:dyDescent="0.35">
      <c r="N12223" s="676"/>
    </row>
    <row r="12224" spans="14:14" x14ac:dyDescent="0.35">
      <c r="N12224" s="676"/>
    </row>
    <row r="12225" spans="14:14" x14ac:dyDescent="0.35">
      <c r="N12225" s="676"/>
    </row>
    <row r="12226" spans="14:14" x14ac:dyDescent="0.35">
      <c r="N12226" s="676"/>
    </row>
    <row r="12227" spans="14:14" x14ac:dyDescent="0.35">
      <c r="N12227" s="676"/>
    </row>
    <row r="12228" spans="14:14" x14ac:dyDescent="0.35">
      <c r="N12228" s="676"/>
    </row>
    <row r="12229" spans="14:14" x14ac:dyDescent="0.35">
      <c r="N12229" s="676"/>
    </row>
    <row r="12230" spans="14:14" x14ac:dyDescent="0.35">
      <c r="N12230" s="676"/>
    </row>
    <row r="12231" spans="14:14" x14ac:dyDescent="0.35">
      <c r="N12231" s="676"/>
    </row>
    <row r="12232" spans="14:14" x14ac:dyDescent="0.35">
      <c r="N12232" s="676"/>
    </row>
    <row r="12233" spans="14:14" x14ac:dyDescent="0.35">
      <c r="N12233" s="676"/>
    </row>
    <row r="12234" spans="14:14" x14ac:dyDescent="0.35">
      <c r="N12234" s="676"/>
    </row>
    <row r="12235" spans="14:14" x14ac:dyDescent="0.35">
      <c r="N12235" s="676"/>
    </row>
    <row r="12236" spans="14:14" x14ac:dyDescent="0.35">
      <c r="N12236" s="676"/>
    </row>
    <row r="12237" spans="14:14" x14ac:dyDescent="0.35">
      <c r="N12237" s="676"/>
    </row>
    <row r="12238" spans="14:14" x14ac:dyDescent="0.35">
      <c r="N12238" s="676"/>
    </row>
    <row r="12239" spans="14:14" x14ac:dyDescent="0.35">
      <c r="N12239" s="676"/>
    </row>
    <row r="12240" spans="14:14" x14ac:dyDescent="0.35">
      <c r="N12240" s="676"/>
    </row>
    <row r="12241" spans="14:14" x14ac:dyDescent="0.35">
      <c r="N12241" s="676"/>
    </row>
    <row r="12242" spans="14:14" x14ac:dyDescent="0.35">
      <c r="N12242" s="676"/>
    </row>
    <row r="12243" spans="14:14" x14ac:dyDescent="0.35">
      <c r="N12243" s="676"/>
    </row>
    <row r="12244" spans="14:14" x14ac:dyDescent="0.35">
      <c r="N12244" s="676"/>
    </row>
    <row r="12245" spans="14:14" x14ac:dyDescent="0.35">
      <c r="N12245" s="676"/>
    </row>
    <row r="12246" spans="14:14" x14ac:dyDescent="0.35">
      <c r="N12246" s="676"/>
    </row>
    <row r="12247" spans="14:14" x14ac:dyDescent="0.35">
      <c r="N12247" s="676"/>
    </row>
    <row r="12248" spans="14:14" x14ac:dyDescent="0.35">
      <c r="N12248" s="676"/>
    </row>
    <row r="12249" spans="14:14" x14ac:dyDescent="0.35">
      <c r="N12249" s="676"/>
    </row>
    <row r="12250" spans="14:14" x14ac:dyDescent="0.35">
      <c r="N12250" s="676"/>
    </row>
    <row r="12251" spans="14:14" x14ac:dyDescent="0.35">
      <c r="N12251" s="676"/>
    </row>
    <row r="12252" spans="14:14" x14ac:dyDescent="0.35">
      <c r="N12252" s="676"/>
    </row>
    <row r="12253" spans="14:14" x14ac:dyDescent="0.35">
      <c r="N12253" s="676"/>
    </row>
    <row r="12254" spans="14:14" x14ac:dyDescent="0.35">
      <c r="N12254" s="676"/>
    </row>
    <row r="12255" spans="14:14" x14ac:dyDescent="0.35">
      <c r="N12255" s="676"/>
    </row>
    <row r="12256" spans="14:14" x14ac:dyDescent="0.35">
      <c r="N12256" s="676"/>
    </row>
    <row r="12257" spans="14:14" x14ac:dyDescent="0.35">
      <c r="N12257" s="676"/>
    </row>
    <row r="12258" spans="14:14" x14ac:dyDescent="0.35">
      <c r="N12258" s="676"/>
    </row>
    <row r="12259" spans="14:14" x14ac:dyDescent="0.35">
      <c r="N12259" s="676"/>
    </row>
    <row r="12260" spans="14:14" x14ac:dyDescent="0.35">
      <c r="N12260" s="676"/>
    </row>
    <row r="12261" spans="14:14" x14ac:dyDescent="0.35">
      <c r="N12261" s="676"/>
    </row>
    <row r="12262" spans="14:14" x14ac:dyDescent="0.35">
      <c r="N12262" s="676"/>
    </row>
    <row r="12263" spans="14:14" x14ac:dyDescent="0.35">
      <c r="N12263" s="676"/>
    </row>
    <row r="12264" spans="14:14" x14ac:dyDescent="0.35">
      <c r="N12264" s="676"/>
    </row>
    <row r="12265" spans="14:14" x14ac:dyDescent="0.35">
      <c r="N12265" s="676"/>
    </row>
    <row r="12266" spans="14:14" x14ac:dyDescent="0.35">
      <c r="N12266" s="676"/>
    </row>
    <row r="12267" spans="14:14" x14ac:dyDescent="0.35">
      <c r="N12267" s="676"/>
    </row>
    <row r="12268" spans="14:14" x14ac:dyDescent="0.35">
      <c r="N12268" s="676"/>
    </row>
    <row r="12269" spans="14:14" x14ac:dyDescent="0.35">
      <c r="N12269" s="676"/>
    </row>
    <row r="12270" spans="14:14" x14ac:dyDescent="0.35">
      <c r="N12270" s="676"/>
    </row>
    <row r="12271" spans="14:14" x14ac:dyDescent="0.35">
      <c r="N12271" s="676"/>
    </row>
    <row r="12272" spans="14:14" x14ac:dyDescent="0.35">
      <c r="N12272" s="676"/>
    </row>
    <row r="12273" spans="14:14" x14ac:dyDescent="0.35">
      <c r="N12273" s="676"/>
    </row>
    <row r="12274" spans="14:14" x14ac:dyDescent="0.35">
      <c r="N12274" s="676"/>
    </row>
    <row r="12275" spans="14:14" x14ac:dyDescent="0.35">
      <c r="N12275" s="676"/>
    </row>
    <row r="12276" spans="14:14" x14ac:dyDescent="0.35">
      <c r="N12276" s="676"/>
    </row>
    <row r="12277" spans="14:14" x14ac:dyDescent="0.35">
      <c r="N12277" s="676"/>
    </row>
    <row r="12278" spans="14:14" x14ac:dyDescent="0.35">
      <c r="N12278" s="676"/>
    </row>
    <row r="12279" spans="14:14" x14ac:dyDescent="0.35">
      <c r="N12279" s="676"/>
    </row>
    <row r="12280" spans="14:14" x14ac:dyDescent="0.35">
      <c r="N12280" s="676"/>
    </row>
    <row r="12281" spans="14:14" x14ac:dyDescent="0.35">
      <c r="N12281" s="676"/>
    </row>
    <row r="12282" spans="14:14" x14ac:dyDescent="0.35">
      <c r="N12282" s="676"/>
    </row>
    <row r="12283" spans="14:14" x14ac:dyDescent="0.35">
      <c r="N12283" s="676"/>
    </row>
    <row r="12284" spans="14:14" x14ac:dyDescent="0.35">
      <c r="N12284" s="676"/>
    </row>
    <row r="12285" spans="14:14" x14ac:dyDescent="0.35">
      <c r="N12285" s="676"/>
    </row>
    <row r="12286" spans="14:14" x14ac:dyDescent="0.35">
      <c r="N12286" s="676"/>
    </row>
    <row r="12287" spans="14:14" x14ac:dyDescent="0.35">
      <c r="N12287" s="676"/>
    </row>
    <row r="12288" spans="14:14" x14ac:dyDescent="0.35">
      <c r="N12288" s="676"/>
    </row>
    <row r="12289" spans="14:14" x14ac:dyDescent="0.35">
      <c r="N12289" s="676"/>
    </row>
    <row r="12290" spans="14:14" x14ac:dyDescent="0.35">
      <c r="N12290" s="676"/>
    </row>
    <row r="12291" spans="14:14" x14ac:dyDescent="0.35">
      <c r="N12291" s="676"/>
    </row>
    <row r="12292" spans="14:14" x14ac:dyDescent="0.35">
      <c r="N12292" s="676"/>
    </row>
    <row r="12293" spans="14:14" x14ac:dyDescent="0.35">
      <c r="N12293" s="676"/>
    </row>
    <row r="12294" spans="14:14" x14ac:dyDescent="0.35">
      <c r="N12294" s="676"/>
    </row>
    <row r="12295" spans="14:14" x14ac:dyDescent="0.35">
      <c r="N12295" s="676"/>
    </row>
    <row r="12296" spans="14:14" x14ac:dyDescent="0.35">
      <c r="N12296" s="676"/>
    </row>
    <row r="12297" spans="14:14" x14ac:dyDescent="0.35">
      <c r="N12297" s="676"/>
    </row>
    <row r="12298" spans="14:14" x14ac:dyDescent="0.35">
      <c r="N12298" s="676"/>
    </row>
    <row r="12299" spans="14:14" x14ac:dyDescent="0.35">
      <c r="N12299" s="676"/>
    </row>
    <row r="12300" spans="14:14" x14ac:dyDescent="0.35">
      <c r="N12300" s="676"/>
    </row>
    <row r="12301" spans="14:14" x14ac:dyDescent="0.35">
      <c r="N12301" s="676"/>
    </row>
    <row r="12302" spans="14:14" x14ac:dyDescent="0.35">
      <c r="N12302" s="676"/>
    </row>
    <row r="12303" spans="14:14" x14ac:dyDescent="0.35">
      <c r="N12303" s="676"/>
    </row>
    <row r="12304" spans="14:14" x14ac:dyDescent="0.35">
      <c r="N12304" s="676"/>
    </row>
    <row r="12305" spans="14:14" x14ac:dyDescent="0.35">
      <c r="N12305" s="676"/>
    </row>
    <row r="12306" spans="14:14" x14ac:dyDescent="0.35">
      <c r="N12306" s="676"/>
    </row>
    <row r="12307" spans="14:14" x14ac:dyDescent="0.35">
      <c r="N12307" s="676"/>
    </row>
    <row r="12308" spans="14:14" x14ac:dyDescent="0.35">
      <c r="N12308" s="676"/>
    </row>
    <row r="12309" spans="14:14" x14ac:dyDescent="0.35">
      <c r="N12309" s="676"/>
    </row>
    <row r="12310" spans="14:14" x14ac:dyDescent="0.35">
      <c r="N12310" s="676"/>
    </row>
    <row r="12311" spans="14:14" x14ac:dyDescent="0.35">
      <c r="N12311" s="676"/>
    </row>
    <row r="12312" spans="14:14" x14ac:dyDescent="0.35">
      <c r="N12312" s="676"/>
    </row>
    <row r="12313" spans="14:14" x14ac:dyDescent="0.35">
      <c r="N12313" s="676"/>
    </row>
    <row r="12314" spans="14:14" x14ac:dyDescent="0.35">
      <c r="N12314" s="676"/>
    </row>
    <row r="12315" spans="14:14" x14ac:dyDescent="0.35">
      <c r="N12315" s="676"/>
    </row>
    <row r="12316" spans="14:14" x14ac:dyDescent="0.35">
      <c r="N12316" s="676"/>
    </row>
    <row r="12317" spans="14:14" x14ac:dyDescent="0.35">
      <c r="N12317" s="676"/>
    </row>
    <row r="12318" spans="14:14" x14ac:dyDescent="0.35">
      <c r="N12318" s="676"/>
    </row>
    <row r="12319" spans="14:14" x14ac:dyDescent="0.35">
      <c r="N12319" s="676"/>
    </row>
    <row r="12320" spans="14:14" x14ac:dyDescent="0.35">
      <c r="N12320" s="676"/>
    </row>
    <row r="12321" spans="14:14" x14ac:dyDescent="0.35">
      <c r="N12321" s="676"/>
    </row>
    <row r="12322" spans="14:14" x14ac:dyDescent="0.35">
      <c r="N12322" s="676"/>
    </row>
    <row r="12323" spans="14:14" x14ac:dyDescent="0.35">
      <c r="N12323" s="676"/>
    </row>
    <row r="12324" spans="14:14" x14ac:dyDescent="0.35">
      <c r="N12324" s="676"/>
    </row>
    <row r="12325" spans="14:14" x14ac:dyDescent="0.35">
      <c r="N12325" s="676"/>
    </row>
    <row r="12326" spans="14:14" x14ac:dyDescent="0.35">
      <c r="N12326" s="676"/>
    </row>
    <row r="12327" spans="14:14" x14ac:dyDescent="0.35">
      <c r="N12327" s="676"/>
    </row>
    <row r="12328" spans="14:14" x14ac:dyDescent="0.35">
      <c r="N12328" s="676"/>
    </row>
    <row r="12329" spans="14:14" x14ac:dyDescent="0.35">
      <c r="N12329" s="676"/>
    </row>
    <row r="12330" spans="14:14" x14ac:dyDescent="0.35">
      <c r="N12330" s="676"/>
    </row>
    <row r="12331" spans="14:14" x14ac:dyDescent="0.35">
      <c r="N12331" s="676"/>
    </row>
    <row r="12332" spans="14:14" x14ac:dyDescent="0.35">
      <c r="N12332" s="676"/>
    </row>
    <row r="12333" spans="14:14" x14ac:dyDescent="0.35">
      <c r="N12333" s="676"/>
    </row>
    <row r="12334" spans="14:14" x14ac:dyDescent="0.35">
      <c r="N12334" s="676"/>
    </row>
    <row r="12335" spans="14:14" x14ac:dyDescent="0.35">
      <c r="N12335" s="676"/>
    </row>
    <row r="12336" spans="14:14" x14ac:dyDescent="0.35">
      <c r="N12336" s="676"/>
    </row>
    <row r="12337" spans="14:14" x14ac:dyDescent="0.35">
      <c r="N12337" s="676"/>
    </row>
    <row r="12338" spans="14:14" x14ac:dyDescent="0.35">
      <c r="N12338" s="676"/>
    </row>
    <row r="12339" spans="14:14" x14ac:dyDescent="0.35">
      <c r="N12339" s="676"/>
    </row>
    <row r="12340" spans="14:14" x14ac:dyDescent="0.35">
      <c r="N12340" s="676"/>
    </row>
    <row r="12341" spans="14:14" x14ac:dyDescent="0.35">
      <c r="N12341" s="676"/>
    </row>
    <row r="12342" spans="14:14" x14ac:dyDescent="0.35">
      <c r="N12342" s="676"/>
    </row>
    <row r="12343" spans="14:14" x14ac:dyDescent="0.35">
      <c r="N12343" s="676"/>
    </row>
    <row r="12344" spans="14:14" x14ac:dyDescent="0.35">
      <c r="N12344" s="676"/>
    </row>
    <row r="12345" spans="14:14" x14ac:dyDescent="0.35">
      <c r="N12345" s="676"/>
    </row>
    <row r="12346" spans="14:14" x14ac:dyDescent="0.35">
      <c r="N12346" s="676"/>
    </row>
    <row r="12347" spans="14:14" x14ac:dyDescent="0.35">
      <c r="N12347" s="676"/>
    </row>
    <row r="12348" spans="14:14" x14ac:dyDescent="0.35">
      <c r="N12348" s="676"/>
    </row>
    <row r="12349" spans="14:14" x14ac:dyDescent="0.35">
      <c r="N12349" s="676"/>
    </row>
    <row r="12350" spans="14:14" x14ac:dyDescent="0.35">
      <c r="N12350" s="676"/>
    </row>
    <row r="12351" spans="14:14" x14ac:dyDescent="0.35">
      <c r="N12351" s="676"/>
    </row>
    <row r="12352" spans="14:14" x14ac:dyDescent="0.35">
      <c r="N12352" s="676"/>
    </row>
    <row r="12353" spans="14:14" x14ac:dyDescent="0.35">
      <c r="N12353" s="676"/>
    </row>
    <row r="12354" spans="14:14" x14ac:dyDescent="0.35">
      <c r="N12354" s="676"/>
    </row>
    <row r="12355" spans="14:14" x14ac:dyDescent="0.35">
      <c r="N12355" s="676"/>
    </row>
    <row r="12356" spans="14:14" x14ac:dyDescent="0.35">
      <c r="N12356" s="676"/>
    </row>
    <row r="12357" spans="14:14" x14ac:dyDescent="0.35">
      <c r="N12357" s="676"/>
    </row>
    <row r="12358" spans="14:14" x14ac:dyDescent="0.35">
      <c r="N12358" s="676"/>
    </row>
    <row r="12359" spans="14:14" x14ac:dyDescent="0.35">
      <c r="N12359" s="676"/>
    </row>
    <row r="12360" spans="14:14" x14ac:dyDescent="0.35">
      <c r="N12360" s="676"/>
    </row>
    <row r="12361" spans="14:14" x14ac:dyDescent="0.35">
      <c r="N12361" s="676"/>
    </row>
    <row r="12362" spans="14:14" x14ac:dyDescent="0.35">
      <c r="N12362" s="676"/>
    </row>
    <row r="12363" spans="14:14" x14ac:dyDescent="0.35">
      <c r="N12363" s="676"/>
    </row>
    <row r="12364" spans="14:14" x14ac:dyDescent="0.35">
      <c r="N12364" s="676"/>
    </row>
    <row r="12365" spans="14:14" x14ac:dyDescent="0.35">
      <c r="N12365" s="676"/>
    </row>
    <row r="12366" spans="14:14" x14ac:dyDescent="0.35">
      <c r="N12366" s="676"/>
    </row>
    <row r="12367" spans="14:14" x14ac:dyDescent="0.35">
      <c r="N12367" s="676"/>
    </row>
    <row r="12368" spans="14:14" x14ac:dyDescent="0.35">
      <c r="N12368" s="676"/>
    </row>
    <row r="12369" spans="14:14" x14ac:dyDescent="0.35">
      <c r="N12369" s="676"/>
    </row>
    <row r="12370" spans="14:14" x14ac:dyDescent="0.35">
      <c r="N12370" s="676"/>
    </row>
    <row r="12371" spans="14:14" x14ac:dyDescent="0.35">
      <c r="N12371" s="676"/>
    </row>
    <row r="12372" spans="14:14" x14ac:dyDescent="0.35">
      <c r="N12372" s="676"/>
    </row>
    <row r="12373" spans="14:14" x14ac:dyDescent="0.35">
      <c r="N12373" s="676"/>
    </row>
    <row r="12374" spans="14:14" x14ac:dyDescent="0.35">
      <c r="N12374" s="676"/>
    </row>
    <row r="12375" spans="14:14" x14ac:dyDescent="0.35">
      <c r="N12375" s="676"/>
    </row>
    <row r="12376" spans="14:14" x14ac:dyDescent="0.35">
      <c r="N12376" s="676"/>
    </row>
    <row r="12377" spans="14:14" x14ac:dyDescent="0.35">
      <c r="N12377" s="676"/>
    </row>
    <row r="12378" spans="14:14" x14ac:dyDescent="0.35">
      <c r="N12378" s="676"/>
    </row>
    <row r="12379" spans="14:14" x14ac:dyDescent="0.35">
      <c r="N12379" s="676"/>
    </row>
    <row r="12380" spans="14:14" x14ac:dyDescent="0.35">
      <c r="N12380" s="676"/>
    </row>
    <row r="12381" spans="14:14" x14ac:dyDescent="0.35">
      <c r="N12381" s="676"/>
    </row>
    <row r="12382" spans="14:14" x14ac:dyDescent="0.35">
      <c r="N12382" s="676"/>
    </row>
    <row r="12383" spans="14:14" x14ac:dyDescent="0.35">
      <c r="N12383" s="676"/>
    </row>
    <row r="12384" spans="14:14" x14ac:dyDescent="0.35">
      <c r="N12384" s="676"/>
    </row>
    <row r="12385" spans="14:14" x14ac:dyDescent="0.35">
      <c r="N12385" s="676"/>
    </row>
    <row r="12386" spans="14:14" x14ac:dyDescent="0.35">
      <c r="N12386" s="676"/>
    </row>
    <row r="12387" spans="14:14" x14ac:dyDescent="0.35">
      <c r="N12387" s="676"/>
    </row>
    <row r="12388" spans="14:14" x14ac:dyDescent="0.35">
      <c r="N12388" s="676"/>
    </row>
    <row r="12389" spans="14:14" x14ac:dyDescent="0.35">
      <c r="N12389" s="676"/>
    </row>
    <row r="12390" spans="14:14" x14ac:dyDescent="0.35">
      <c r="N12390" s="676"/>
    </row>
    <row r="12391" spans="14:14" x14ac:dyDescent="0.35">
      <c r="N12391" s="676"/>
    </row>
    <row r="12392" spans="14:14" x14ac:dyDescent="0.35">
      <c r="N12392" s="676"/>
    </row>
    <row r="12393" spans="14:14" x14ac:dyDescent="0.35">
      <c r="N12393" s="676"/>
    </row>
    <row r="12394" spans="14:14" x14ac:dyDescent="0.35">
      <c r="N12394" s="676"/>
    </row>
    <row r="12395" spans="14:14" x14ac:dyDescent="0.35">
      <c r="N12395" s="676"/>
    </row>
    <row r="12396" spans="14:14" x14ac:dyDescent="0.35">
      <c r="N12396" s="676"/>
    </row>
    <row r="12397" spans="14:14" x14ac:dyDescent="0.35">
      <c r="N12397" s="676"/>
    </row>
    <row r="12398" spans="14:14" x14ac:dyDescent="0.35">
      <c r="N12398" s="676"/>
    </row>
    <row r="12399" spans="14:14" x14ac:dyDescent="0.35">
      <c r="N12399" s="676"/>
    </row>
    <row r="12400" spans="14:14" x14ac:dyDescent="0.35">
      <c r="N12400" s="676"/>
    </row>
    <row r="12401" spans="14:14" x14ac:dyDescent="0.35">
      <c r="N12401" s="676"/>
    </row>
    <row r="12402" spans="14:14" x14ac:dyDescent="0.35">
      <c r="N12402" s="676"/>
    </row>
    <row r="12403" spans="14:14" x14ac:dyDescent="0.35">
      <c r="N12403" s="676"/>
    </row>
    <row r="12404" spans="14:14" x14ac:dyDescent="0.35">
      <c r="N12404" s="676"/>
    </row>
    <row r="12405" spans="14:14" x14ac:dyDescent="0.35">
      <c r="N12405" s="676"/>
    </row>
    <row r="12406" spans="14:14" x14ac:dyDescent="0.35">
      <c r="N12406" s="676"/>
    </row>
    <row r="12407" spans="14:14" x14ac:dyDescent="0.35">
      <c r="N12407" s="676"/>
    </row>
    <row r="12408" spans="14:14" x14ac:dyDescent="0.35">
      <c r="N12408" s="676"/>
    </row>
    <row r="12409" spans="14:14" x14ac:dyDescent="0.35">
      <c r="N12409" s="676"/>
    </row>
    <row r="12410" spans="14:14" x14ac:dyDescent="0.35">
      <c r="N12410" s="676"/>
    </row>
    <row r="12411" spans="14:14" x14ac:dyDescent="0.35">
      <c r="N12411" s="676"/>
    </row>
    <row r="12412" spans="14:14" x14ac:dyDescent="0.35">
      <c r="N12412" s="676"/>
    </row>
    <row r="12413" spans="14:14" x14ac:dyDescent="0.35">
      <c r="N12413" s="676"/>
    </row>
    <row r="12414" spans="14:14" x14ac:dyDescent="0.35">
      <c r="N12414" s="676"/>
    </row>
    <row r="12415" spans="14:14" x14ac:dyDescent="0.35">
      <c r="N12415" s="676"/>
    </row>
    <row r="12416" spans="14:14" x14ac:dyDescent="0.35">
      <c r="N12416" s="676"/>
    </row>
    <row r="12417" spans="14:14" x14ac:dyDescent="0.35">
      <c r="N12417" s="676"/>
    </row>
    <row r="12418" spans="14:14" x14ac:dyDescent="0.35">
      <c r="N12418" s="676"/>
    </row>
    <row r="12419" spans="14:14" x14ac:dyDescent="0.35">
      <c r="N12419" s="676"/>
    </row>
    <row r="12420" spans="14:14" x14ac:dyDescent="0.35">
      <c r="N12420" s="676"/>
    </row>
    <row r="12421" spans="14:14" x14ac:dyDescent="0.35">
      <c r="N12421" s="676"/>
    </row>
    <row r="12422" spans="14:14" x14ac:dyDescent="0.35">
      <c r="N12422" s="676"/>
    </row>
    <row r="12423" spans="14:14" x14ac:dyDescent="0.35">
      <c r="N12423" s="676"/>
    </row>
    <row r="12424" spans="14:14" x14ac:dyDescent="0.35">
      <c r="N12424" s="676"/>
    </row>
    <row r="12425" spans="14:14" x14ac:dyDescent="0.35">
      <c r="N12425" s="676"/>
    </row>
    <row r="12426" spans="14:14" x14ac:dyDescent="0.35">
      <c r="N12426" s="676"/>
    </row>
    <row r="12427" spans="14:14" x14ac:dyDescent="0.35">
      <c r="N12427" s="676"/>
    </row>
    <row r="12428" spans="14:14" x14ac:dyDescent="0.35">
      <c r="N12428" s="676"/>
    </row>
    <row r="12429" spans="14:14" x14ac:dyDescent="0.35">
      <c r="N12429" s="676"/>
    </row>
    <row r="12430" spans="14:14" x14ac:dyDescent="0.35">
      <c r="N12430" s="676"/>
    </row>
    <row r="12431" spans="14:14" x14ac:dyDescent="0.35">
      <c r="N12431" s="676"/>
    </row>
    <row r="12432" spans="14:14" x14ac:dyDescent="0.35">
      <c r="N12432" s="676"/>
    </row>
    <row r="12433" spans="14:14" x14ac:dyDescent="0.35">
      <c r="N12433" s="676"/>
    </row>
    <row r="12434" spans="14:14" x14ac:dyDescent="0.35">
      <c r="N12434" s="676"/>
    </row>
    <row r="12435" spans="14:14" x14ac:dyDescent="0.35">
      <c r="N12435" s="676"/>
    </row>
    <row r="12436" spans="14:14" x14ac:dyDescent="0.35">
      <c r="N12436" s="676"/>
    </row>
    <row r="12437" spans="14:14" x14ac:dyDescent="0.35">
      <c r="N12437" s="676"/>
    </row>
    <row r="12438" spans="14:14" x14ac:dyDescent="0.35">
      <c r="N12438" s="676"/>
    </row>
    <row r="12439" spans="14:14" x14ac:dyDescent="0.35">
      <c r="N12439" s="676"/>
    </row>
    <row r="12440" spans="14:14" x14ac:dyDescent="0.35">
      <c r="N12440" s="676"/>
    </row>
    <row r="12441" spans="14:14" x14ac:dyDescent="0.35">
      <c r="N12441" s="676"/>
    </row>
    <row r="12442" spans="14:14" x14ac:dyDescent="0.35">
      <c r="N12442" s="676"/>
    </row>
    <row r="12443" spans="14:14" x14ac:dyDescent="0.35">
      <c r="N12443" s="676"/>
    </row>
    <row r="12444" spans="14:14" x14ac:dyDescent="0.35">
      <c r="N12444" s="676"/>
    </row>
    <row r="12445" spans="14:14" x14ac:dyDescent="0.35">
      <c r="N12445" s="676"/>
    </row>
    <row r="12446" spans="14:14" x14ac:dyDescent="0.35">
      <c r="N12446" s="676"/>
    </row>
    <row r="12447" spans="14:14" x14ac:dyDescent="0.35">
      <c r="N12447" s="676"/>
    </row>
    <row r="12448" spans="14:14" x14ac:dyDescent="0.35">
      <c r="N12448" s="676"/>
    </row>
    <row r="12449" spans="14:14" x14ac:dyDescent="0.35">
      <c r="N12449" s="676"/>
    </row>
    <row r="12450" spans="14:14" x14ac:dyDescent="0.35">
      <c r="N12450" s="676"/>
    </row>
    <row r="12451" spans="14:14" x14ac:dyDescent="0.35">
      <c r="N12451" s="676"/>
    </row>
    <row r="12452" spans="14:14" x14ac:dyDescent="0.35">
      <c r="N12452" s="676"/>
    </row>
    <row r="12453" spans="14:14" x14ac:dyDescent="0.35">
      <c r="N12453" s="676"/>
    </row>
    <row r="12454" spans="14:14" x14ac:dyDescent="0.35">
      <c r="N12454" s="676"/>
    </row>
    <row r="12455" spans="14:14" x14ac:dyDescent="0.35">
      <c r="N12455" s="676"/>
    </row>
    <row r="12456" spans="14:14" x14ac:dyDescent="0.35">
      <c r="N12456" s="676"/>
    </row>
    <row r="12457" spans="14:14" x14ac:dyDescent="0.35">
      <c r="N12457" s="676"/>
    </row>
    <row r="12458" spans="14:14" x14ac:dyDescent="0.35">
      <c r="N12458" s="676"/>
    </row>
    <row r="12459" spans="14:14" x14ac:dyDescent="0.35">
      <c r="N12459" s="676"/>
    </row>
    <row r="12460" spans="14:14" x14ac:dyDescent="0.35">
      <c r="N12460" s="676"/>
    </row>
    <row r="12461" spans="14:14" x14ac:dyDescent="0.35">
      <c r="N12461" s="676"/>
    </row>
    <row r="12462" spans="14:14" x14ac:dyDescent="0.35">
      <c r="N12462" s="676"/>
    </row>
    <row r="12463" spans="14:14" x14ac:dyDescent="0.35">
      <c r="N12463" s="676"/>
    </row>
    <row r="12464" spans="14:14" x14ac:dyDescent="0.35">
      <c r="N12464" s="676"/>
    </row>
    <row r="12465" spans="14:14" x14ac:dyDescent="0.35">
      <c r="N12465" s="676"/>
    </row>
    <row r="12466" spans="14:14" x14ac:dyDescent="0.35">
      <c r="N12466" s="676"/>
    </row>
    <row r="12467" spans="14:14" x14ac:dyDescent="0.35">
      <c r="N12467" s="676"/>
    </row>
    <row r="12468" spans="14:14" x14ac:dyDescent="0.35">
      <c r="N12468" s="676"/>
    </row>
    <row r="12469" spans="14:14" x14ac:dyDescent="0.35">
      <c r="N12469" s="676"/>
    </row>
    <row r="12470" spans="14:14" x14ac:dyDescent="0.35">
      <c r="N12470" s="676"/>
    </row>
    <row r="12471" spans="14:14" x14ac:dyDescent="0.35">
      <c r="N12471" s="676"/>
    </row>
    <row r="12472" spans="14:14" x14ac:dyDescent="0.35">
      <c r="N12472" s="676"/>
    </row>
    <row r="12473" spans="14:14" x14ac:dyDescent="0.35">
      <c r="N12473" s="676"/>
    </row>
    <row r="12474" spans="14:14" x14ac:dyDescent="0.35">
      <c r="N12474" s="676"/>
    </row>
    <row r="12475" spans="14:14" x14ac:dyDescent="0.35">
      <c r="N12475" s="676"/>
    </row>
    <row r="12476" spans="14:14" x14ac:dyDescent="0.35">
      <c r="N12476" s="676"/>
    </row>
    <row r="12477" spans="14:14" x14ac:dyDescent="0.35">
      <c r="N12477" s="676"/>
    </row>
    <row r="12478" spans="14:14" x14ac:dyDescent="0.35">
      <c r="N12478" s="676"/>
    </row>
    <row r="12479" spans="14:14" x14ac:dyDescent="0.35">
      <c r="N12479" s="676"/>
    </row>
    <row r="12480" spans="14:14" x14ac:dyDescent="0.35">
      <c r="N12480" s="676"/>
    </row>
    <row r="12481" spans="14:14" x14ac:dyDescent="0.35">
      <c r="N12481" s="676"/>
    </row>
    <row r="12482" spans="14:14" x14ac:dyDescent="0.35">
      <c r="N12482" s="676"/>
    </row>
    <row r="12483" spans="14:14" x14ac:dyDescent="0.35">
      <c r="N12483" s="676"/>
    </row>
    <row r="12484" spans="14:14" x14ac:dyDescent="0.35">
      <c r="N12484" s="676"/>
    </row>
    <row r="12485" spans="14:14" x14ac:dyDescent="0.35">
      <c r="N12485" s="676"/>
    </row>
    <row r="12486" spans="14:14" x14ac:dyDescent="0.35">
      <c r="N12486" s="676"/>
    </row>
    <row r="12487" spans="14:14" x14ac:dyDescent="0.35">
      <c r="N12487" s="676"/>
    </row>
    <row r="12488" spans="14:14" x14ac:dyDescent="0.35">
      <c r="N12488" s="676"/>
    </row>
    <row r="12489" spans="14:14" x14ac:dyDescent="0.35">
      <c r="N12489" s="676"/>
    </row>
    <row r="12490" spans="14:14" x14ac:dyDescent="0.35">
      <c r="N12490" s="676"/>
    </row>
    <row r="12491" spans="14:14" x14ac:dyDescent="0.35">
      <c r="N12491" s="676"/>
    </row>
    <row r="12492" spans="14:14" x14ac:dyDescent="0.35">
      <c r="N12492" s="676"/>
    </row>
    <row r="12493" spans="14:14" x14ac:dyDescent="0.35">
      <c r="N12493" s="676"/>
    </row>
    <row r="12494" spans="14:14" x14ac:dyDescent="0.35">
      <c r="N12494" s="676"/>
    </row>
    <row r="12495" spans="14:14" x14ac:dyDescent="0.35">
      <c r="N12495" s="676"/>
    </row>
    <row r="12496" spans="14:14" x14ac:dyDescent="0.35">
      <c r="N12496" s="676"/>
    </row>
    <row r="12497" spans="14:14" x14ac:dyDescent="0.35">
      <c r="N12497" s="676"/>
    </row>
    <row r="12498" spans="14:14" x14ac:dyDescent="0.35">
      <c r="N12498" s="676"/>
    </row>
    <row r="12499" spans="14:14" x14ac:dyDescent="0.35">
      <c r="N12499" s="676"/>
    </row>
    <row r="12500" spans="14:14" x14ac:dyDescent="0.35">
      <c r="N12500" s="676"/>
    </row>
    <row r="12501" spans="14:14" x14ac:dyDescent="0.35">
      <c r="N12501" s="676"/>
    </row>
    <row r="12502" spans="14:14" x14ac:dyDescent="0.35">
      <c r="N12502" s="676"/>
    </row>
    <row r="12503" spans="14:14" x14ac:dyDescent="0.35">
      <c r="N12503" s="676"/>
    </row>
    <row r="12504" spans="14:14" x14ac:dyDescent="0.35">
      <c r="N12504" s="676"/>
    </row>
    <row r="12505" spans="14:14" x14ac:dyDescent="0.35">
      <c r="N12505" s="676"/>
    </row>
    <row r="12506" spans="14:14" x14ac:dyDescent="0.35">
      <c r="N12506" s="676"/>
    </row>
    <row r="12507" spans="14:14" x14ac:dyDescent="0.35">
      <c r="N12507" s="676"/>
    </row>
    <row r="12508" spans="14:14" x14ac:dyDescent="0.35">
      <c r="N12508" s="676"/>
    </row>
    <row r="12509" spans="14:14" x14ac:dyDescent="0.35">
      <c r="N12509" s="676"/>
    </row>
    <row r="12510" spans="14:14" x14ac:dyDescent="0.35">
      <c r="N12510" s="676"/>
    </row>
    <row r="12511" spans="14:14" x14ac:dyDescent="0.35">
      <c r="N12511" s="676"/>
    </row>
    <row r="12512" spans="14:14" x14ac:dyDescent="0.35">
      <c r="N12512" s="676"/>
    </row>
    <row r="12513" spans="14:14" x14ac:dyDescent="0.35">
      <c r="N12513" s="676"/>
    </row>
    <row r="12514" spans="14:14" x14ac:dyDescent="0.35">
      <c r="N12514" s="676"/>
    </row>
    <row r="12515" spans="14:14" x14ac:dyDescent="0.35">
      <c r="N12515" s="676"/>
    </row>
    <row r="12516" spans="14:14" x14ac:dyDescent="0.35">
      <c r="N12516" s="676"/>
    </row>
    <row r="12517" spans="14:14" x14ac:dyDescent="0.35">
      <c r="N12517" s="676"/>
    </row>
    <row r="12518" spans="14:14" x14ac:dyDescent="0.35">
      <c r="N12518" s="676"/>
    </row>
    <row r="12519" spans="14:14" x14ac:dyDescent="0.35">
      <c r="N12519" s="676"/>
    </row>
    <row r="12520" spans="14:14" x14ac:dyDescent="0.35">
      <c r="N12520" s="676"/>
    </row>
    <row r="12521" spans="14:14" x14ac:dyDescent="0.35">
      <c r="N12521" s="676"/>
    </row>
    <row r="12522" spans="14:14" x14ac:dyDescent="0.35">
      <c r="N12522" s="676"/>
    </row>
    <row r="12523" spans="14:14" x14ac:dyDescent="0.35">
      <c r="N12523" s="676"/>
    </row>
    <row r="12524" spans="14:14" x14ac:dyDescent="0.35">
      <c r="N12524" s="676"/>
    </row>
    <row r="12525" spans="14:14" x14ac:dyDescent="0.35">
      <c r="N12525" s="676"/>
    </row>
    <row r="12526" spans="14:14" x14ac:dyDescent="0.35">
      <c r="N12526" s="676"/>
    </row>
    <row r="12527" spans="14:14" x14ac:dyDescent="0.35">
      <c r="N12527" s="676"/>
    </row>
    <row r="12528" spans="14:14" x14ac:dyDescent="0.35">
      <c r="N12528" s="676"/>
    </row>
    <row r="12529" spans="14:14" x14ac:dyDescent="0.35">
      <c r="N12529" s="676"/>
    </row>
    <row r="12530" spans="14:14" x14ac:dyDescent="0.35">
      <c r="N12530" s="676"/>
    </row>
    <row r="12531" spans="14:14" x14ac:dyDescent="0.35">
      <c r="N12531" s="676"/>
    </row>
    <row r="12532" spans="14:14" x14ac:dyDescent="0.35">
      <c r="N12532" s="676"/>
    </row>
    <row r="12533" spans="14:14" x14ac:dyDescent="0.35">
      <c r="N12533" s="676"/>
    </row>
    <row r="12534" spans="14:14" x14ac:dyDescent="0.35">
      <c r="N12534" s="676"/>
    </row>
    <row r="12535" spans="14:14" x14ac:dyDescent="0.35">
      <c r="N12535" s="676"/>
    </row>
    <row r="12536" spans="14:14" x14ac:dyDescent="0.35">
      <c r="N12536" s="676"/>
    </row>
    <row r="12537" spans="14:14" x14ac:dyDescent="0.35">
      <c r="N12537" s="676"/>
    </row>
    <row r="12538" spans="14:14" x14ac:dyDescent="0.35">
      <c r="N12538" s="676"/>
    </row>
    <row r="12539" spans="14:14" x14ac:dyDescent="0.35">
      <c r="N12539" s="676"/>
    </row>
    <row r="12540" spans="14:14" x14ac:dyDescent="0.35">
      <c r="N12540" s="676"/>
    </row>
    <row r="12541" spans="14:14" x14ac:dyDescent="0.35">
      <c r="N12541" s="676"/>
    </row>
    <row r="12542" spans="14:14" x14ac:dyDescent="0.35">
      <c r="N12542" s="676"/>
    </row>
    <row r="12543" spans="14:14" x14ac:dyDescent="0.35">
      <c r="N12543" s="676"/>
    </row>
    <row r="12544" spans="14:14" x14ac:dyDescent="0.35">
      <c r="N12544" s="676"/>
    </row>
    <row r="12545" spans="14:14" x14ac:dyDescent="0.35">
      <c r="N12545" s="676"/>
    </row>
    <row r="12546" spans="14:14" x14ac:dyDescent="0.35">
      <c r="N12546" s="676"/>
    </row>
    <row r="12547" spans="14:14" x14ac:dyDescent="0.35">
      <c r="N12547" s="676"/>
    </row>
    <row r="12548" spans="14:14" x14ac:dyDescent="0.35">
      <c r="N12548" s="676"/>
    </row>
    <row r="12549" spans="14:14" x14ac:dyDescent="0.35">
      <c r="N12549" s="676"/>
    </row>
    <row r="12550" spans="14:14" x14ac:dyDescent="0.35">
      <c r="N12550" s="676"/>
    </row>
    <row r="12551" spans="14:14" x14ac:dyDescent="0.35">
      <c r="N12551" s="676"/>
    </row>
    <row r="12552" spans="14:14" x14ac:dyDescent="0.35">
      <c r="N12552" s="676"/>
    </row>
    <row r="12553" spans="14:14" x14ac:dyDescent="0.35">
      <c r="N12553" s="676"/>
    </row>
    <row r="12554" spans="14:14" x14ac:dyDescent="0.35">
      <c r="N12554" s="676"/>
    </row>
    <row r="12555" spans="14:14" x14ac:dyDescent="0.35">
      <c r="N12555" s="676"/>
    </row>
    <row r="12556" spans="14:14" x14ac:dyDescent="0.35">
      <c r="N12556" s="676"/>
    </row>
    <row r="12557" spans="14:14" x14ac:dyDescent="0.35">
      <c r="N12557" s="676"/>
    </row>
    <row r="12558" spans="14:14" x14ac:dyDescent="0.35">
      <c r="N12558" s="676"/>
    </row>
    <row r="12559" spans="14:14" x14ac:dyDescent="0.35">
      <c r="N12559" s="676"/>
    </row>
    <row r="12560" spans="14:14" x14ac:dyDescent="0.35">
      <c r="N12560" s="676"/>
    </row>
    <row r="12561" spans="14:14" x14ac:dyDescent="0.35">
      <c r="N12561" s="676"/>
    </row>
    <row r="12562" spans="14:14" x14ac:dyDescent="0.35">
      <c r="N12562" s="676"/>
    </row>
    <row r="12563" spans="14:14" x14ac:dyDescent="0.35">
      <c r="N12563" s="676"/>
    </row>
    <row r="12564" spans="14:14" x14ac:dyDescent="0.35">
      <c r="N12564" s="676"/>
    </row>
    <row r="12565" spans="14:14" x14ac:dyDescent="0.35">
      <c r="N12565" s="676"/>
    </row>
    <row r="12566" spans="14:14" x14ac:dyDescent="0.35">
      <c r="N12566" s="676"/>
    </row>
    <row r="12567" spans="14:14" x14ac:dyDescent="0.35">
      <c r="N12567" s="676"/>
    </row>
    <row r="12568" spans="14:14" x14ac:dyDescent="0.35">
      <c r="N12568" s="676"/>
    </row>
    <row r="12569" spans="14:14" x14ac:dyDescent="0.35">
      <c r="N12569" s="676"/>
    </row>
    <row r="12570" spans="14:14" x14ac:dyDescent="0.35">
      <c r="N12570" s="676"/>
    </row>
    <row r="12571" spans="14:14" x14ac:dyDescent="0.35">
      <c r="N12571" s="676"/>
    </row>
    <row r="12572" spans="14:14" x14ac:dyDescent="0.35">
      <c r="N12572" s="676"/>
    </row>
    <row r="12573" spans="14:14" x14ac:dyDescent="0.35">
      <c r="N12573" s="676"/>
    </row>
    <row r="12574" spans="14:14" x14ac:dyDescent="0.35">
      <c r="N12574" s="676"/>
    </row>
    <row r="12575" spans="14:14" x14ac:dyDescent="0.35">
      <c r="N12575" s="676"/>
    </row>
    <row r="12576" spans="14:14" x14ac:dyDescent="0.35">
      <c r="N12576" s="676"/>
    </row>
    <row r="12577" spans="14:14" x14ac:dyDescent="0.35">
      <c r="N12577" s="676"/>
    </row>
    <row r="12578" spans="14:14" x14ac:dyDescent="0.35">
      <c r="N12578" s="676"/>
    </row>
    <row r="12579" spans="14:14" x14ac:dyDescent="0.35">
      <c r="N12579" s="676"/>
    </row>
    <row r="12580" spans="14:14" x14ac:dyDescent="0.35">
      <c r="N12580" s="676"/>
    </row>
    <row r="12581" spans="14:14" x14ac:dyDescent="0.35">
      <c r="N12581" s="676"/>
    </row>
    <row r="12582" spans="14:14" x14ac:dyDescent="0.35">
      <c r="N12582" s="676"/>
    </row>
    <row r="12583" spans="14:14" x14ac:dyDescent="0.35">
      <c r="N12583" s="676"/>
    </row>
    <row r="12584" spans="14:14" x14ac:dyDescent="0.35">
      <c r="N12584" s="676"/>
    </row>
    <row r="12585" spans="14:14" x14ac:dyDescent="0.35">
      <c r="N12585" s="676"/>
    </row>
    <row r="12586" spans="14:14" x14ac:dyDescent="0.35">
      <c r="N12586" s="676"/>
    </row>
    <row r="12587" spans="14:14" x14ac:dyDescent="0.35">
      <c r="N12587" s="676"/>
    </row>
    <row r="12588" spans="14:14" x14ac:dyDescent="0.35">
      <c r="N12588" s="676"/>
    </row>
    <row r="12589" spans="14:14" x14ac:dyDescent="0.35">
      <c r="N12589" s="676"/>
    </row>
    <row r="12590" spans="14:14" x14ac:dyDescent="0.35">
      <c r="N12590" s="676"/>
    </row>
    <row r="12591" spans="14:14" x14ac:dyDescent="0.35">
      <c r="N12591" s="676"/>
    </row>
    <row r="12592" spans="14:14" x14ac:dyDescent="0.35">
      <c r="N12592" s="676"/>
    </row>
    <row r="12593" spans="14:14" x14ac:dyDescent="0.35">
      <c r="N12593" s="676"/>
    </row>
    <row r="12594" spans="14:14" x14ac:dyDescent="0.35">
      <c r="N12594" s="676"/>
    </row>
    <row r="12595" spans="14:14" x14ac:dyDescent="0.35">
      <c r="N12595" s="676"/>
    </row>
    <row r="12596" spans="14:14" x14ac:dyDescent="0.35">
      <c r="N12596" s="676"/>
    </row>
    <row r="12597" spans="14:14" x14ac:dyDescent="0.35">
      <c r="N12597" s="676"/>
    </row>
    <row r="12598" spans="14:14" x14ac:dyDescent="0.35">
      <c r="N12598" s="676"/>
    </row>
    <row r="12599" spans="14:14" x14ac:dyDescent="0.35">
      <c r="N12599" s="676"/>
    </row>
    <row r="12600" spans="14:14" x14ac:dyDescent="0.35">
      <c r="N12600" s="676"/>
    </row>
    <row r="12601" spans="14:14" x14ac:dyDescent="0.35">
      <c r="N12601" s="676"/>
    </row>
    <row r="12602" spans="14:14" x14ac:dyDescent="0.35">
      <c r="N12602" s="676"/>
    </row>
    <row r="12603" spans="14:14" x14ac:dyDescent="0.35">
      <c r="N12603" s="676"/>
    </row>
    <row r="12604" spans="14:14" x14ac:dyDescent="0.35">
      <c r="N12604" s="676"/>
    </row>
    <row r="12605" spans="14:14" x14ac:dyDescent="0.35">
      <c r="N12605" s="676"/>
    </row>
    <row r="12606" spans="14:14" x14ac:dyDescent="0.35">
      <c r="N12606" s="676"/>
    </row>
    <row r="12607" spans="14:14" x14ac:dyDescent="0.35">
      <c r="N12607" s="676"/>
    </row>
    <row r="12608" spans="14:14" x14ac:dyDescent="0.35">
      <c r="N12608" s="676"/>
    </row>
    <row r="12609" spans="14:14" x14ac:dyDescent="0.35">
      <c r="N12609" s="676"/>
    </row>
    <row r="12610" spans="14:14" x14ac:dyDescent="0.35">
      <c r="N12610" s="676"/>
    </row>
    <row r="12611" spans="14:14" x14ac:dyDescent="0.35">
      <c r="N12611" s="676"/>
    </row>
    <row r="12612" spans="14:14" x14ac:dyDescent="0.35">
      <c r="N12612" s="676"/>
    </row>
    <row r="12613" spans="14:14" x14ac:dyDescent="0.35">
      <c r="N12613" s="676"/>
    </row>
    <row r="12614" spans="14:14" x14ac:dyDescent="0.35">
      <c r="N12614" s="676"/>
    </row>
    <row r="12615" spans="14:14" x14ac:dyDescent="0.35">
      <c r="N12615" s="676"/>
    </row>
    <row r="12616" spans="14:14" x14ac:dyDescent="0.35">
      <c r="N12616" s="676"/>
    </row>
    <row r="12617" spans="14:14" x14ac:dyDescent="0.35">
      <c r="N12617" s="676"/>
    </row>
    <row r="12618" spans="14:14" x14ac:dyDescent="0.35">
      <c r="N12618" s="676"/>
    </row>
    <row r="12619" spans="14:14" x14ac:dyDescent="0.35">
      <c r="N12619" s="676"/>
    </row>
    <row r="12620" spans="14:14" x14ac:dyDescent="0.35">
      <c r="N12620" s="676"/>
    </row>
    <row r="12621" spans="14:14" x14ac:dyDescent="0.35">
      <c r="N12621" s="676"/>
    </row>
    <row r="12622" spans="14:14" x14ac:dyDescent="0.35">
      <c r="N12622" s="676"/>
    </row>
    <row r="12623" spans="14:14" x14ac:dyDescent="0.35">
      <c r="N12623" s="676"/>
    </row>
    <row r="12624" spans="14:14" x14ac:dyDescent="0.35">
      <c r="N12624" s="676"/>
    </row>
    <row r="12625" spans="14:14" x14ac:dyDescent="0.35">
      <c r="N12625" s="676"/>
    </row>
    <row r="12626" spans="14:14" x14ac:dyDescent="0.35">
      <c r="N12626" s="676"/>
    </row>
    <row r="12627" spans="14:14" x14ac:dyDescent="0.35">
      <c r="N12627" s="676"/>
    </row>
    <row r="12628" spans="14:14" x14ac:dyDescent="0.35">
      <c r="N12628" s="676"/>
    </row>
    <row r="12629" spans="14:14" x14ac:dyDescent="0.35">
      <c r="N12629" s="676"/>
    </row>
    <row r="12630" spans="14:14" x14ac:dyDescent="0.35">
      <c r="N12630" s="676"/>
    </row>
    <row r="12631" spans="14:14" x14ac:dyDescent="0.35">
      <c r="N12631" s="676"/>
    </row>
    <row r="12632" spans="14:14" x14ac:dyDescent="0.35">
      <c r="N12632" s="676"/>
    </row>
    <row r="12633" spans="14:14" x14ac:dyDescent="0.35">
      <c r="N12633" s="676"/>
    </row>
    <row r="12634" spans="14:14" x14ac:dyDescent="0.35">
      <c r="N12634" s="676"/>
    </row>
    <row r="12635" spans="14:14" x14ac:dyDescent="0.35">
      <c r="N12635" s="676"/>
    </row>
    <row r="12636" spans="14:14" x14ac:dyDescent="0.35">
      <c r="N12636" s="676"/>
    </row>
    <row r="12637" spans="14:14" x14ac:dyDescent="0.35">
      <c r="N12637" s="676"/>
    </row>
    <row r="12638" spans="14:14" x14ac:dyDescent="0.35">
      <c r="N12638" s="676"/>
    </row>
    <row r="12639" spans="14:14" x14ac:dyDescent="0.35">
      <c r="N12639" s="676"/>
    </row>
    <row r="12640" spans="14:14" x14ac:dyDescent="0.35">
      <c r="N12640" s="676"/>
    </row>
    <row r="12641" spans="14:14" x14ac:dyDescent="0.35">
      <c r="N12641" s="676"/>
    </row>
    <row r="12642" spans="14:14" x14ac:dyDescent="0.35">
      <c r="N12642" s="676"/>
    </row>
    <row r="12643" spans="14:14" x14ac:dyDescent="0.35">
      <c r="N12643" s="676"/>
    </row>
    <row r="12644" spans="14:14" x14ac:dyDescent="0.35">
      <c r="N12644" s="676"/>
    </row>
    <row r="12645" spans="14:14" x14ac:dyDescent="0.35">
      <c r="N12645" s="676"/>
    </row>
    <row r="12646" spans="14:14" x14ac:dyDescent="0.35">
      <c r="N12646" s="676"/>
    </row>
    <row r="12647" spans="14:14" x14ac:dyDescent="0.35">
      <c r="N12647" s="676"/>
    </row>
    <row r="12648" spans="14:14" x14ac:dyDescent="0.35">
      <c r="N12648" s="676"/>
    </row>
    <row r="12649" spans="14:14" x14ac:dyDescent="0.35">
      <c r="N12649" s="676"/>
    </row>
    <row r="12650" spans="14:14" x14ac:dyDescent="0.35">
      <c r="N12650" s="676"/>
    </row>
    <row r="12651" spans="14:14" x14ac:dyDescent="0.35">
      <c r="N12651" s="676"/>
    </row>
    <row r="12652" spans="14:14" x14ac:dyDescent="0.35">
      <c r="N12652" s="676"/>
    </row>
    <row r="12653" spans="14:14" x14ac:dyDescent="0.35">
      <c r="N12653" s="676"/>
    </row>
    <row r="12654" spans="14:14" x14ac:dyDescent="0.35">
      <c r="N12654" s="676"/>
    </row>
    <row r="12655" spans="14:14" x14ac:dyDescent="0.35">
      <c r="N12655" s="676"/>
    </row>
    <row r="12656" spans="14:14" x14ac:dyDescent="0.35">
      <c r="N12656" s="676"/>
    </row>
    <row r="12657" spans="14:14" x14ac:dyDescent="0.35">
      <c r="N12657" s="676"/>
    </row>
    <row r="12658" spans="14:14" x14ac:dyDescent="0.35">
      <c r="N12658" s="676"/>
    </row>
    <row r="12659" spans="14:14" x14ac:dyDescent="0.35">
      <c r="N12659" s="676"/>
    </row>
    <row r="12660" spans="14:14" x14ac:dyDescent="0.35">
      <c r="N12660" s="676"/>
    </row>
    <row r="12661" spans="14:14" x14ac:dyDescent="0.35">
      <c r="N12661" s="676"/>
    </row>
    <row r="12662" spans="14:14" x14ac:dyDescent="0.35">
      <c r="N12662" s="676"/>
    </row>
    <row r="12663" spans="14:14" x14ac:dyDescent="0.35">
      <c r="N12663" s="676"/>
    </row>
    <row r="12664" spans="14:14" x14ac:dyDescent="0.35">
      <c r="N12664" s="676"/>
    </row>
    <row r="12665" spans="14:14" x14ac:dyDescent="0.35">
      <c r="N12665" s="676"/>
    </row>
    <row r="12666" spans="14:14" x14ac:dyDescent="0.35">
      <c r="N12666" s="676"/>
    </row>
    <row r="12667" spans="14:14" x14ac:dyDescent="0.35">
      <c r="N12667" s="676"/>
    </row>
    <row r="12668" spans="14:14" x14ac:dyDescent="0.35">
      <c r="N12668" s="676"/>
    </row>
    <row r="12669" spans="14:14" x14ac:dyDescent="0.35">
      <c r="N12669" s="676"/>
    </row>
    <row r="12670" spans="14:14" x14ac:dyDescent="0.35">
      <c r="N12670" s="676"/>
    </row>
    <row r="12671" spans="14:14" x14ac:dyDescent="0.35">
      <c r="N12671" s="676"/>
    </row>
    <row r="12672" spans="14:14" x14ac:dyDescent="0.35">
      <c r="N12672" s="676"/>
    </row>
    <row r="12673" spans="14:14" x14ac:dyDescent="0.35">
      <c r="N12673" s="676"/>
    </row>
    <row r="12674" spans="14:14" x14ac:dyDescent="0.35">
      <c r="N12674" s="676"/>
    </row>
    <row r="12675" spans="14:14" x14ac:dyDescent="0.35">
      <c r="N12675" s="676"/>
    </row>
    <row r="12676" spans="14:14" x14ac:dyDescent="0.35">
      <c r="N12676" s="676"/>
    </row>
    <row r="12677" spans="14:14" x14ac:dyDescent="0.35">
      <c r="N12677" s="676"/>
    </row>
    <row r="12678" spans="14:14" x14ac:dyDescent="0.35">
      <c r="N12678" s="676"/>
    </row>
    <row r="12679" spans="14:14" x14ac:dyDescent="0.35">
      <c r="N12679" s="676"/>
    </row>
    <row r="12680" spans="14:14" x14ac:dyDescent="0.35">
      <c r="N12680" s="676"/>
    </row>
    <row r="12681" spans="14:14" x14ac:dyDescent="0.35">
      <c r="N12681" s="676"/>
    </row>
    <row r="12682" spans="14:14" x14ac:dyDescent="0.35">
      <c r="N12682" s="676"/>
    </row>
    <row r="12683" spans="14:14" x14ac:dyDescent="0.35">
      <c r="N12683" s="676"/>
    </row>
    <row r="12684" spans="14:14" x14ac:dyDescent="0.35">
      <c r="N12684" s="676"/>
    </row>
    <row r="12685" spans="14:14" x14ac:dyDescent="0.35">
      <c r="N12685" s="676"/>
    </row>
    <row r="12686" spans="14:14" x14ac:dyDescent="0.35">
      <c r="N12686" s="676"/>
    </row>
    <row r="12687" spans="14:14" x14ac:dyDescent="0.35">
      <c r="N12687" s="676"/>
    </row>
    <row r="12688" spans="14:14" x14ac:dyDescent="0.35">
      <c r="N12688" s="676"/>
    </row>
    <row r="12689" spans="14:14" x14ac:dyDescent="0.35">
      <c r="N12689" s="676"/>
    </row>
    <row r="12690" spans="14:14" x14ac:dyDescent="0.35">
      <c r="N12690" s="676"/>
    </row>
    <row r="12691" spans="14:14" x14ac:dyDescent="0.35">
      <c r="N12691" s="676"/>
    </row>
    <row r="12692" spans="14:14" x14ac:dyDescent="0.35">
      <c r="N12692" s="676"/>
    </row>
    <row r="12693" spans="14:14" x14ac:dyDescent="0.35">
      <c r="N12693" s="676"/>
    </row>
    <row r="12694" spans="14:14" x14ac:dyDescent="0.35">
      <c r="N12694" s="676"/>
    </row>
    <row r="12695" spans="14:14" x14ac:dyDescent="0.35">
      <c r="N12695" s="676"/>
    </row>
    <row r="12696" spans="14:14" x14ac:dyDescent="0.35">
      <c r="N12696" s="676"/>
    </row>
    <row r="12697" spans="14:14" x14ac:dyDescent="0.35">
      <c r="N12697" s="676"/>
    </row>
    <row r="12698" spans="14:14" x14ac:dyDescent="0.35">
      <c r="N12698" s="676"/>
    </row>
    <row r="12699" spans="14:14" x14ac:dyDescent="0.35">
      <c r="N12699" s="676"/>
    </row>
    <row r="12700" spans="14:14" x14ac:dyDescent="0.35">
      <c r="N12700" s="676"/>
    </row>
    <row r="12701" spans="14:14" x14ac:dyDescent="0.35">
      <c r="N12701" s="676"/>
    </row>
    <row r="12702" spans="14:14" x14ac:dyDescent="0.35">
      <c r="N12702" s="676"/>
    </row>
    <row r="12703" spans="14:14" x14ac:dyDescent="0.35">
      <c r="N12703" s="676"/>
    </row>
    <row r="12704" spans="14:14" x14ac:dyDescent="0.35">
      <c r="N12704" s="676"/>
    </row>
    <row r="12705" spans="14:14" x14ac:dyDescent="0.35">
      <c r="N12705" s="676"/>
    </row>
    <row r="12706" spans="14:14" x14ac:dyDescent="0.35">
      <c r="N12706" s="676"/>
    </row>
    <row r="12707" spans="14:14" x14ac:dyDescent="0.35">
      <c r="N12707" s="676"/>
    </row>
    <row r="12708" spans="14:14" x14ac:dyDescent="0.35">
      <c r="N12708" s="676"/>
    </row>
    <row r="12709" spans="14:14" x14ac:dyDescent="0.35">
      <c r="N12709" s="676"/>
    </row>
    <row r="12710" spans="14:14" x14ac:dyDescent="0.35">
      <c r="N12710" s="676"/>
    </row>
    <row r="12711" spans="14:14" x14ac:dyDescent="0.35">
      <c r="N12711" s="676"/>
    </row>
    <row r="12712" spans="14:14" x14ac:dyDescent="0.35">
      <c r="N12712" s="676"/>
    </row>
    <row r="12713" spans="14:14" x14ac:dyDescent="0.35">
      <c r="N12713" s="676"/>
    </row>
    <row r="12714" spans="14:14" x14ac:dyDescent="0.35">
      <c r="N12714" s="676"/>
    </row>
    <row r="12715" spans="14:14" x14ac:dyDescent="0.35">
      <c r="N12715" s="676"/>
    </row>
    <row r="12716" spans="14:14" x14ac:dyDescent="0.35">
      <c r="N12716" s="676"/>
    </row>
    <row r="12717" spans="14:14" x14ac:dyDescent="0.35">
      <c r="N12717" s="676"/>
    </row>
    <row r="12718" spans="14:14" x14ac:dyDescent="0.35">
      <c r="N12718" s="676"/>
    </row>
    <row r="12719" spans="14:14" x14ac:dyDescent="0.35">
      <c r="N12719" s="676"/>
    </row>
    <row r="12720" spans="14:14" x14ac:dyDescent="0.35">
      <c r="N12720" s="676"/>
    </row>
    <row r="12721" spans="14:14" x14ac:dyDescent="0.35">
      <c r="N12721" s="676"/>
    </row>
    <row r="12722" spans="14:14" x14ac:dyDescent="0.35">
      <c r="N12722" s="676"/>
    </row>
    <row r="12723" spans="14:14" x14ac:dyDescent="0.35">
      <c r="N12723" s="676"/>
    </row>
    <row r="12724" spans="14:14" x14ac:dyDescent="0.35">
      <c r="N12724" s="676"/>
    </row>
    <row r="12725" spans="14:14" x14ac:dyDescent="0.35">
      <c r="N12725" s="676"/>
    </row>
    <row r="12726" spans="14:14" x14ac:dyDescent="0.35">
      <c r="N12726" s="676"/>
    </row>
    <row r="12727" spans="14:14" x14ac:dyDescent="0.35">
      <c r="N12727" s="676"/>
    </row>
    <row r="12728" spans="14:14" x14ac:dyDescent="0.35">
      <c r="N12728" s="676"/>
    </row>
    <row r="12729" spans="14:14" x14ac:dyDescent="0.35">
      <c r="N12729" s="676"/>
    </row>
    <row r="12730" spans="14:14" x14ac:dyDescent="0.35">
      <c r="N12730" s="676"/>
    </row>
    <row r="12731" spans="14:14" x14ac:dyDescent="0.35">
      <c r="N12731" s="676"/>
    </row>
    <row r="12732" spans="14:14" x14ac:dyDescent="0.35">
      <c r="N12732" s="676"/>
    </row>
    <row r="12733" spans="14:14" x14ac:dyDescent="0.35">
      <c r="N12733" s="676"/>
    </row>
    <row r="12734" spans="14:14" x14ac:dyDescent="0.35">
      <c r="N12734" s="676"/>
    </row>
    <row r="12735" spans="14:14" x14ac:dyDescent="0.35">
      <c r="N12735" s="676"/>
    </row>
    <row r="12736" spans="14:14" x14ac:dyDescent="0.35">
      <c r="N12736" s="676"/>
    </row>
    <row r="12737" spans="14:14" x14ac:dyDescent="0.35">
      <c r="N12737" s="676"/>
    </row>
    <row r="12738" spans="14:14" x14ac:dyDescent="0.35">
      <c r="N12738" s="676"/>
    </row>
    <row r="12739" spans="14:14" x14ac:dyDescent="0.35">
      <c r="N12739" s="676"/>
    </row>
    <row r="12740" spans="14:14" x14ac:dyDescent="0.35">
      <c r="N12740" s="676"/>
    </row>
    <row r="12741" spans="14:14" x14ac:dyDescent="0.35">
      <c r="N12741" s="676"/>
    </row>
    <row r="12742" spans="14:14" x14ac:dyDescent="0.35">
      <c r="N12742" s="676"/>
    </row>
    <row r="12743" spans="14:14" x14ac:dyDescent="0.35">
      <c r="N12743" s="676"/>
    </row>
    <row r="12744" spans="14:14" x14ac:dyDescent="0.35">
      <c r="N12744" s="676"/>
    </row>
    <row r="12745" spans="14:14" x14ac:dyDescent="0.35">
      <c r="N12745" s="676"/>
    </row>
    <row r="12746" spans="14:14" x14ac:dyDescent="0.35">
      <c r="N12746" s="676"/>
    </row>
    <row r="12747" spans="14:14" x14ac:dyDescent="0.35">
      <c r="N12747" s="676"/>
    </row>
    <row r="12748" spans="14:14" x14ac:dyDescent="0.35">
      <c r="N12748" s="676"/>
    </row>
    <row r="12749" spans="14:14" x14ac:dyDescent="0.35">
      <c r="N12749" s="676"/>
    </row>
    <row r="12750" spans="14:14" x14ac:dyDescent="0.35">
      <c r="N12750" s="676"/>
    </row>
    <row r="12751" spans="14:14" x14ac:dyDescent="0.35">
      <c r="N12751" s="676"/>
    </row>
    <row r="12752" spans="14:14" x14ac:dyDescent="0.35">
      <c r="N12752" s="676"/>
    </row>
    <row r="12753" spans="14:14" x14ac:dyDescent="0.35">
      <c r="N12753" s="676"/>
    </row>
    <row r="12754" spans="14:14" x14ac:dyDescent="0.35">
      <c r="N12754" s="676"/>
    </row>
    <row r="12755" spans="14:14" x14ac:dyDescent="0.35">
      <c r="N12755" s="676"/>
    </row>
    <row r="12756" spans="14:14" x14ac:dyDescent="0.35">
      <c r="N12756" s="676"/>
    </row>
    <row r="12757" spans="14:14" x14ac:dyDescent="0.35">
      <c r="N12757" s="676"/>
    </row>
    <row r="12758" spans="14:14" x14ac:dyDescent="0.35">
      <c r="N12758" s="676"/>
    </row>
    <row r="12759" spans="14:14" x14ac:dyDescent="0.35">
      <c r="N12759" s="676"/>
    </row>
    <row r="12760" spans="14:14" x14ac:dyDescent="0.35">
      <c r="N12760" s="676"/>
    </row>
    <row r="12761" spans="14:14" x14ac:dyDescent="0.35">
      <c r="N12761" s="676"/>
    </row>
    <row r="12762" spans="14:14" x14ac:dyDescent="0.35">
      <c r="N12762" s="676"/>
    </row>
    <row r="12763" spans="14:14" x14ac:dyDescent="0.35">
      <c r="N12763" s="676"/>
    </row>
    <row r="12764" spans="14:14" x14ac:dyDescent="0.35">
      <c r="N12764" s="676"/>
    </row>
    <row r="12765" spans="14:14" x14ac:dyDescent="0.35">
      <c r="N12765" s="676"/>
    </row>
    <row r="12766" spans="14:14" x14ac:dyDescent="0.35">
      <c r="N12766" s="676"/>
    </row>
    <row r="12767" spans="14:14" x14ac:dyDescent="0.35">
      <c r="N12767" s="676"/>
    </row>
    <row r="12768" spans="14:14" x14ac:dyDescent="0.35">
      <c r="N12768" s="676"/>
    </row>
    <row r="12769" spans="14:14" x14ac:dyDescent="0.35">
      <c r="N12769" s="676"/>
    </row>
    <row r="12770" spans="14:14" x14ac:dyDescent="0.35">
      <c r="N12770" s="676"/>
    </row>
    <row r="12771" spans="14:14" x14ac:dyDescent="0.35">
      <c r="N12771" s="676"/>
    </row>
    <row r="12772" spans="14:14" x14ac:dyDescent="0.35">
      <c r="N12772" s="676"/>
    </row>
    <row r="12773" spans="14:14" x14ac:dyDescent="0.35">
      <c r="N12773" s="676"/>
    </row>
    <row r="12774" spans="14:14" x14ac:dyDescent="0.35">
      <c r="N12774" s="676"/>
    </row>
    <row r="12775" spans="14:14" x14ac:dyDescent="0.35">
      <c r="N12775" s="676"/>
    </row>
    <row r="12776" spans="14:14" x14ac:dyDescent="0.35">
      <c r="N12776" s="676"/>
    </row>
    <row r="12777" spans="14:14" x14ac:dyDescent="0.35">
      <c r="N12777" s="676"/>
    </row>
    <row r="12778" spans="14:14" x14ac:dyDescent="0.35">
      <c r="N12778" s="676"/>
    </row>
    <row r="12779" spans="14:14" x14ac:dyDescent="0.35">
      <c r="N12779" s="676"/>
    </row>
    <row r="12780" spans="14:14" x14ac:dyDescent="0.35">
      <c r="N12780" s="676"/>
    </row>
    <row r="12781" spans="14:14" x14ac:dyDescent="0.35">
      <c r="N12781" s="676"/>
    </row>
    <row r="12782" spans="14:14" x14ac:dyDescent="0.35">
      <c r="N12782" s="676"/>
    </row>
    <row r="12783" spans="14:14" x14ac:dyDescent="0.35">
      <c r="N12783" s="676"/>
    </row>
    <row r="12784" spans="14:14" x14ac:dyDescent="0.35">
      <c r="N12784" s="676"/>
    </row>
    <row r="12785" spans="14:14" x14ac:dyDescent="0.35">
      <c r="N12785" s="676"/>
    </row>
    <row r="12786" spans="14:14" x14ac:dyDescent="0.35">
      <c r="N12786" s="676"/>
    </row>
    <row r="12787" spans="14:14" x14ac:dyDescent="0.35">
      <c r="N12787" s="676"/>
    </row>
    <row r="12788" spans="14:14" x14ac:dyDescent="0.35">
      <c r="N12788" s="676"/>
    </row>
    <row r="12789" spans="14:14" x14ac:dyDescent="0.35">
      <c r="N12789" s="676"/>
    </row>
    <row r="12790" spans="14:14" x14ac:dyDescent="0.35">
      <c r="N12790" s="676"/>
    </row>
    <row r="12791" spans="14:14" x14ac:dyDescent="0.35">
      <c r="N12791" s="676"/>
    </row>
    <row r="12792" spans="14:14" x14ac:dyDescent="0.35">
      <c r="N12792" s="676"/>
    </row>
    <row r="12793" spans="14:14" x14ac:dyDescent="0.35">
      <c r="N12793" s="676"/>
    </row>
    <row r="12794" spans="14:14" x14ac:dyDescent="0.35">
      <c r="N12794" s="676"/>
    </row>
    <row r="12795" spans="14:14" x14ac:dyDescent="0.35">
      <c r="N12795" s="676"/>
    </row>
    <row r="12796" spans="14:14" x14ac:dyDescent="0.35">
      <c r="N12796" s="676"/>
    </row>
    <row r="12797" spans="14:14" x14ac:dyDescent="0.35">
      <c r="N12797" s="676"/>
    </row>
    <row r="12798" spans="14:14" x14ac:dyDescent="0.35">
      <c r="N12798" s="676"/>
    </row>
    <row r="12799" spans="14:14" x14ac:dyDescent="0.35">
      <c r="N12799" s="676"/>
    </row>
    <row r="12800" spans="14:14" x14ac:dyDescent="0.35">
      <c r="N12800" s="676"/>
    </row>
    <row r="12801" spans="14:14" x14ac:dyDescent="0.35">
      <c r="N12801" s="676"/>
    </row>
    <row r="12802" spans="14:14" x14ac:dyDescent="0.35">
      <c r="N12802" s="676"/>
    </row>
    <row r="12803" spans="14:14" x14ac:dyDescent="0.35">
      <c r="N12803" s="676"/>
    </row>
    <row r="12804" spans="14:14" x14ac:dyDescent="0.35">
      <c r="N12804" s="676"/>
    </row>
    <row r="12805" spans="14:14" x14ac:dyDescent="0.35">
      <c r="N12805" s="676"/>
    </row>
    <row r="12806" spans="14:14" x14ac:dyDescent="0.35">
      <c r="N12806" s="676"/>
    </row>
    <row r="12807" spans="14:14" x14ac:dyDescent="0.35">
      <c r="N12807" s="676"/>
    </row>
    <row r="12808" spans="14:14" x14ac:dyDescent="0.35">
      <c r="N12808" s="676"/>
    </row>
    <row r="12809" spans="14:14" x14ac:dyDescent="0.35">
      <c r="N12809" s="676"/>
    </row>
    <row r="12810" spans="14:14" x14ac:dyDescent="0.35">
      <c r="N12810" s="676"/>
    </row>
    <row r="12811" spans="14:14" x14ac:dyDescent="0.35">
      <c r="N12811" s="676"/>
    </row>
    <row r="12812" spans="14:14" x14ac:dyDescent="0.35">
      <c r="N12812" s="676"/>
    </row>
    <row r="12813" spans="14:14" x14ac:dyDescent="0.35">
      <c r="N12813" s="676"/>
    </row>
    <row r="12814" spans="14:14" x14ac:dyDescent="0.35">
      <c r="N12814" s="676"/>
    </row>
    <row r="12815" spans="14:14" x14ac:dyDescent="0.35">
      <c r="N12815" s="676"/>
    </row>
    <row r="12816" spans="14:14" x14ac:dyDescent="0.35">
      <c r="N12816" s="676"/>
    </row>
    <row r="12817" spans="14:14" x14ac:dyDescent="0.35">
      <c r="N12817" s="676"/>
    </row>
    <row r="12818" spans="14:14" x14ac:dyDescent="0.35">
      <c r="N12818" s="676"/>
    </row>
    <row r="12819" spans="14:14" x14ac:dyDescent="0.35">
      <c r="N12819" s="676"/>
    </row>
    <row r="12820" spans="14:14" x14ac:dyDescent="0.35">
      <c r="N12820" s="676"/>
    </row>
    <row r="12821" spans="14:14" x14ac:dyDescent="0.35">
      <c r="N12821" s="676"/>
    </row>
    <row r="12822" spans="14:14" x14ac:dyDescent="0.35">
      <c r="N12822" s="676"/>
    </row>
    <row r="12823" spans="14:14" x14ac:dyDescent="0.35">
      <c r="N12823" s="676"/>
    </row>
    <row r="12824" spans="14:14" x14ac:dyDescent="0.35">
      <c r="N12824" s="676"/>
    </row>
    <row r="12825" spans="14:14" x14ac:dyDescent="0.35">
      <c r="N12825" s="676"/>
    </row>
    <row r="12826" spans="14:14" x14ac:dyDescent="0.35">
      <c r="N12826" s="676"/>
    </row>
    <row r="12827" spans="14:14" x14ac:dyDescent="0.35">
      <c r="N12827" s="676"/>
    </row>
    <row r="12828" spans="14:14" x14ac:dyDescent="0.35">
      <c r="N12828" s="676"/>
    </row>
    <row r="12829" spans="14:14" x14ac:dyDescent="0.35">
      <c r="N12829" s="676"/>
    </row>
    <row r="12830" spans="14:14" x14ac:dyDescent="0.35">
      <c r="N12830" s="676"/>
    </row>
    <row r="12831" spans="14:14" x14ac:dyDescent="0.35">
      <c r="N12831" s="676"/>
    </row>
    <row r="12832" spans="14:14" x14ac:dyDescent="0.35">
      <c r="N12832" s="676"/>
    </row>
    <row r="12833" spans="14:14" x14ac:dyDescent="0.35">
      <c r="N12833" s="676"/>
    </row>
    <row r="12834" spans="14:14" x14ac:dyDescent="0.35">
      <c r="N12834" s="676"/>
    </row>
    <row r="12835" spans="14:14" x14ac:dyDescent="0.35">
      <c r="N12835" s="676"/>
    </row>
    <row r="12836" spans="14:14" x14ac:dyDescent="0.35">
      <c r="N12836" s="676"/>
    </row>
    <row r="12837" spans="14:14" x14ac:dyDescent="0.35">
      <c r="N12837" s="676"/>
    </row>
    <row r="12838" spans="14:14" x14ac:dyDescent="0.35">
      <c r="N12838" s="676"/>
    </row>
    <row r="12839" spans="14:14" x14ac:dyDescent="0.35">
      <c r="N12839" s="676"/>
    </row>
    <row r="12840" spans="14:14" x14ac:dyDescent="0.35">
      <c r="N12840" s="676"/>
    </row>
    <row r="12841" spans="14:14" x14ac:dyDescent="0.35">
      <c r="N12841" s="676"/>
    </row>
    <row r="12842" spans="14:14" x14ac:dyDescent="0.35">
      <c r="N12842" s="676"/>
    </row>
    <row r="12843" spans="14:14" x14ac:dyDescent="0.35">
      <c r="N12843" s="676"/>
    </row>
    <row r="12844" spans="14:14" x14ac:dyDescent="0.35">
      <c r="N12844" s="676"/>
    </row>
    <row r="12845" spans="14:14" x14ac:dyDescent="0.35">
      <c r="N12845" s="676"/>
    </row>
    <row r="12846" spans="14:14" x14ac:dyDescent="0.35">
      <c r="N12846" s="676"/>
    </row>
    <row r="12847" spans="14:14" x14ac:dyDescent="0.35">
      <c r="N12847" s="676"/>
    </row>
    <row r="12848" spans="14:14" x14ac:dyDescent="0.35">
      <c r="N12848" s="676"/>
    </row>
    <row r="12849" spans="14:14" x14ac:dyDescent="0.35">
      <c r="N12849" s="676"/>
    </row>
    <row r="12850" spans="14:14" x14ac:dyDescent="0.35">
      <c r="N12850" s="676"/>
    </row>
    <row r="12851" spans="14:14" x14ac:dyDescent="0.35">
      <c r="N12851" s="676"/>
    </row>
    <row r="12852" spans="14:14" x14ac:dyDescent="0.35">
      <c r="N12852" s="676"/>
    </row>
    <row r="12853" spans="14:14" x14ac:dyDescent="0.35">
      <c r="N12853" s="676"/>
    </row>
    <row r="12854" spans="14:14" x14ac:dyDescent="0.35">
      <c r="N12854" s="676"/>
    </row>
    <row r="12855" spans="14:14" x14ac:dyDescent="0.35">
      <c r="N12855" s="676"/>
    </row>
    <row r="12856" spans="14:14" x14ac:dyDescent="0.35">
      <c r="N12856" s="676"/>
    </row>
    <row r="12857" spans="14:14" x14ac:dyDescent="0.35">
      <c r="N12857" s="676"/>
    </row>
    <row r="12858" spans="14:14" x14ac:dyDescent="0.35">
      <c r="N12858" s="676"/>
    </row>
    <row r="12859" spans="14:14" x14ac:dyDescent="0.35">
      <c r="N12859" s="676"/>
    </row>
    <row r="12860" spans="14:14" x14ac:dyDescent="0.35">
      <c r="N12860" s="676"/>
    </row>
    <row r="12861" spans="14:14" x14ac:dyDescent="0.35">
      <c r="N12861" s="676"/>
    </row>
    <row r="12862" spans="14:14" x14ac:dyDescent="0.35">
      <c r="N12862" s="676"/>
    </row>
    <row r="12863" spans="14:14" x14ac:dyDescent="0.35">
      <c r="N12863" s="676"/>
    </row>
    <row r="12864" spans="14:14" x14ac:dyDescent="0.35">
      <c r="N12864" s="676"/>
    </row>
    <row r="12865" spans="14:14" x14ac:dyDescent="0.35">
      <c r="N12865" s="676"/>
    </row>
    <row r="12866" spans="14:14" x14ac:dyDescent="0.35">
      <c r="N12866" s="676"/>
    </row>
    <row r="12867" spans="14:14" x14ac:dyDescent="0.35">
      <c r="N12867" s="676"/>
    </row>
    <row r="12868" spans="14:14" x14ac:dyDescent="0.35">
      <c r="N12868" s="676"/>
    </row>
    <row r="12869" spans="14:14" x14ac:dyDescent="0.35">
      <c r="N12869" s="676"/>
    </row>
    <row r="12870" spans="14:14" x14ac:dyDescent="0.35">
      <c r="N12870" s="676"/>
    </row>
    <row r="12871" spans="14:14" x14ac:dyDescent="0.35">
      <c r="N12871" s="676"/>
    </row>
    <row r="12872" spans="14:14" x14ac:dyDescent="0.35">
      <c r="N12872" s="676"/>
    </row>
    <row r="12873" spans="14:14" x14ac:dyDescent="0.35">
      <c r="N12873" s="676"/>
    </row>
    <row r="12874" spans="14:14" x14ac:dyDescent="0.35">
      <c r="N12874" s="676"/>
    </row>
    <row r="12875" spans="14:14" x14ac:dyDescent="0.35">
      <c r="N12875" s="676"/>
    </row>
    <row r="12876" spans="14:14" x14ac:dyDescent="0.35">
      <c r="N12876" s="676"/>
    </row>
    <row r="12877" spans="14:14" x14ac:dyDescent="0.35">
      <c r="N12877" s="676"/>
    </row>
    <row r="12878" spans="14:14" x14ac:dyDescent="0.35">
      <c r="N12878" s="676"/>
    </row>
    <row r="12879" spans="14:14" x14ac:dyDescent="0.35">
      <c r="N12879" s="676"/>
    </row>
    <row r="12880" spans="14:14" x14ac:dyDescent="0.35">
      <c r="N12880" s="676"/>
    </row>
    <row r="12881" spans="14:14" x14ac:dyDescent="0.35">
      <c r="N12881" s="676"/>
    </row>
    <row r="12882" spans="14:14" x14ac:dyDescent="0.35">
      <c r="N12882" s="676"/>
    </row>
    <row r="12883" spans="14:14" x14ac:dyDescent="0.35">
      <c r="N12883" s="676"/>
    </row>
    <row r="12884" spans="14:14" x14ac:dyDescent="0.35">
      <c r="N12884" s="676"/>
    </row>
    <row r="12885" spans="14:14" x14ac:dyDescent="0.35">
      <c r="N12885" s="676"/>
    </row>
    <row r="12886" spans="14:14" x14ac:dyDescent="0.35">
      <c r="N12886" s="676"/>
    </row>
    <row r="12887" spans="14:14" x14ac:dyDescent="0.35">
      <c r="N12887" s="676"/>
    </row>
    <row r="12888" spans="14:14" x14ac:dyDescent="0.35">
      <c r="N12888" s="676"/>
    </row>
    <row r="12889" spans="14:14" x14ac:dyDescent="0.35">
      <c r="N12889" s="676"/>
    </row>
    <row r="12890" spans="14:14" x14ac:dyDescent="0.35">
      <c r="N12890" s="676"/>
    </row>
    <row r="12891" spans="14:14" x14ac:dyDescent="0.35">
      <c r="N12891" s="676"/>
    </row>
    <row r="12892" spans="14:14" x14ac:dyDescent="0.35">
      <c r="N12892" s="676"/>
    </row>
    <row r="12893" spans="14:14" x14ac:dyDescent="0.35">
      <c r="N12893" s="676"/>
    </row>
    <row r="12894" spans="14:14" x14ac:dyDescent="0.35">
      <c r="N12894" s="676"/>
    </row>
    <row r="12895" spans="14:14" x14ac:dyDescent="0.35">
      <c r="N12895" s="676"/>
    </row>
    <row r="12896" spans="14:14" x14ac:dyDescent="0.35">
      <c r="N12896" s="676"/>
    </row>
    <row r="12897" spans="14:14" x14ac:dyDescent="0.35">
      <c r="N12897" s="676"/>
    </row>
    <row r="12898" spans="14:14" x14ac:dyDescent="0.35">
      <c r="N12898" s="676"/>
    </row>
    <row r="12899" spans="14:14" x14ac:dyDescent="0.35">
      <c r="N12899" s="676"/>
    </row>
    <row r="12900" spans="14:14" x14ac:dyDescent="0.35">
      <c r="N12900" s="676"/>
    </row>
    <row r="12901" spans="14:14" x14ac:dyDescent="0.35">
      <c r="N12901" s="676"/>
    </row>
    <row r="12902" spans="14:14" x14ac:dyDescent="0.35">
      <c r="N12902" s="676"/>
    </row>
    <row r="12903" spans="14:14" x14ac:dyDescent="0.35">
      <c r="N12903" s="676"/>
    </row>
    <row r="12904" spans="14:14" x14ac:dyDescent="0.35">
      <c r="N12904" s="676"/>
    </row>
    <row r="12905" spans="14:14" x14ac:dyDescent="0.35">
      <c r="N12905" s="676"/>
    </row>
    <row r="12906" spans="14:14" x14ac:dyDescent="0.35">
      <c r="N12906" s="676"/>
    </row>
    <row r="12907" spans="14:14" x14ac:dyDescent="0.35">
      <c r="N12907" s="676"/>
    </row>
    <row r="12908" spans="14:14" x14ac:dyDescent="0.35">
      <c r="N12908" s="676"/>
    </row>
    <row r="12909" spans="14:14" x14ac:dyDescent="0.35">
      <c r="N12909" s="676"/>
    </row>
    <row r="12910" spans="14:14" x14ac:dyDescent="0.35">
      <c r="N12910" s="676"/>
    </row>
    <row r="12911" spans="14:14" x14ac:dyDescent="0.35">
      <c r="N12911" s="676"/>
    </row>
    <row r="12912" spans="14:14" x14ac:dyDescent="0.35">
      <c r="N12912" s="676"/>
    </row>
    <row r="12913" spans="14:14" x14ac:dyDescent="0.35">
      <c r="N12913" s="676"/>
    </row>
    <row r="12914" spans="14:14" x14ac:dyDescent="0.35">
      <c r="N12914" s="676"/>
    </row>
    <row r="12915" spans="14:14" x14ac:dyDescent="0.35">
      <c r="N12915" s="676"/>
    </row>
    <row r="12916" spans="14:14" x14ac:dyDescent="0.35">
      <c r="N12916" s="676"/>
    </row>
    <row r="12917" spans="14:14" x14ac:dyDescent="0.35">
      <c r="N12917" s="676"/>
    </row>
    <row r="12918" spans="14:14" x14ac:dyDescent="0.35">
      <c r="N12918" s="676"/>
    </row>
    <row r="12919" spans="14:14" x14ac:dyDescent="0.35">
      <c r="N12919" s="676"/>
    </row>
    <row r="12920" spans="14:14" x14ac:dyDescent="0.35">
      <c r="N12920" s="676"/>
    </row>
    <row r="12921" spans="14:14" x14ac:dyDescent="0.35">
      <c r="N12921" s="676"/>
    </row>
    <row r="12922" spans="14:14" x14ac:dyDescent="0.35">
      <c r="N12922" s="676"/>
    </row>
    <row r="12923" spans="14:14" x14ac:dyDescent="0.35">
      <c r="N12923" s="676"/>
    </row>
    <row r="12924" spans="14:14" x14ac:dyDescent="0.35">
      <c r="N12924" s="676"/>
    </row>
    <row r="12925" spans="14:14" x14ac:dyDescent="0.35">
      <c r="N12925" s="676"/>
    </row>
    <row r="12926" spans="14:14" x14ac:dyDescent="0.35">
      <c r="N12926" s="676"/>
    </row>
    <row r="12927" spans="14:14" x14ac:dyDescent="0.35">
      <c r="N12927" s="676"/>
    </row>
    <row r="12928" spans="14:14" x14ac:dyDescent="0.35">
      <c r="N12928" s="676"/>
    </row>
    <row r="12929" spans="14:14" x14ac:dyDescent="0.35">
      <c r="N12929" s="676"/>
    </row>
    <row r="12930" spans="14:14" x14ac:dyDescent="0.35">
      <c r="N12930" s="676"/>
    </row>
    <row r="12931" spans="14:14" x14ac:dyDescent="0.35">
      <c r="N12931" s="676"/>
    </row>
    <row r="12932" spans="14:14" x14ac:dyDescent="0.35">
      <c r="N12932" s="676"/>
    </row>
    <row r="12933" spans="14:14" x14ac:dyDescent="0.35">
      <c r="N12933" s="676"/>
    </row>
    <row r="12934" spans="14:14" x14ac:dyDescent="0.35">
      <c r="N12934" s="676"/>
    </row>
    <row r="12935" spans="14:14" x14ac:dyDescent="0.35">
      <c r="N12935" s="676"/>
    </row>
    <row r="12936" spans="14:14" x14ac:dyDescent="0.35">
      <c r="N12936" s="676"/>
    </row>
    <row r="12937" spans="14:14" x14ac:dyDescent="0.35">
      <c r="N12937" s="676"/>
    </row>
    <row r="12938" spans="14:14" x14ac:dyDescent="0.35">
      <c r="N12938" s="676"/>
    </row>
    <row r="12939" spans="14:14" x14ac:dyDescent="0.35">
      <c r="N12939" s="676"/>
    </row>
    <row r="12940" spans="14:14" x14ac:dyDescent="0.35">
      <c r="N12940" s="676"/>
    </row>
    <row r="12941" spans="14:14" x14ac:dyDescent="0.35">
      <c r="N12941" s="676"/>
    </row>
    <row r="12942" spans="14:14" x14ac:dyDescent="0.35">
      <c r="N12942" s="676"/>
    </row>
    <row r="12943" spans="14:14" x14ac:dyDescent="0.35">
      <c r="N12943" s="676"/>
    </row>
    <row r="12944" spans="14:14" x14ac:dyDescent="0.35">
      <c r="N12944" s="676"/>
    </row>
    <row r="12945" spans="14:14" x14ac:dyDescent="0.35">
      <c r="N12945" s="676"/>
    </row>
    <row r="12946" spans="14:14" x14ac:dyDescent="0.35">
      <c r="N12946" s="676"/>
    </row>
    <row r="12947" spans="14:14" x14ac:dyDescent="0.35">
      <c r="N12947" s="676"/>
    </row>
    <row r="12948" spans="14:14" x14ac:dyDescent="0.35">
      <c r="N12948" s="676"/>
    </row>
    <row r="12949" spans="14:14" x14ac:dyDescent="0.35">
      <c r="N12949" s="676"/>
    </row>
    <row r="12950" spans="14:14" x14ac:dyDescent="0.35">
      <c r="N12950" s="676"/>
    </row>
    <row r="12951" spans="14:14" x14ac:dyDescent="0.35">
      <c r="N12951" s="676"/>
    </row>
    <row r="12952" spans="14:14" x14ac:dyDescent="0.35">
      <c r="N12952" s="676"/>
    </row>
    <row r="12953" spans="14:14" x14ac:dyDescent="0.35">
      <c r="N12953" s="676"/>
    </row>
    <row r="12954" spans="14:14" x14ac:dyDescent="0.35">
      <c r="N12954" s="676"/>
    </row>
    <row r="12955" spans="14:14" x14ac:dyDescent="0.35">
      <c r="N12955" s="676"/>
    </row>
    <row r="12956" spans="14:14" x14ac:dyDescent="0.35">
      <c r="N12956" s="676"/>
    </row>
    <row r="12957" spans="14:14" x14ac:dyDescent="0.35">
      <c r="N12957" s="676"/>
    </row>
    <row r="12958" spans="14:14" x14ac:dyDescent="0.35">
      <c r="N12958" s="676"/>
    </row>
    <row r="12959" spans="14:14" x14ac:dyDescent="0.35">
      <c r="N12959" s="676"/>
    </row>
    <row r="12960" spans="14:14" x14ac:dyDescent="0.35">
      <c r="N12960" s="676"/>
    </row>
    <row r="12961" spans="14:14" x14ac:dyDescent="0.35">
      <c r="N12961" s="676"/>
    </row>
    <row r="12962" spans="14:14" x14ac:dyDescent="0.35">
      <c r="N12962" s="676"/>
    </row>
    <row r="12963" spans="14:14" x14ac:dyDescent="0.35">
      <c r="N12963" s="676"/>
    </row>
    <row r="12964" spans="14:14" x14ac:dyDescent="0.35">
      <c r="N12964" s="676"/>
    </row>
    <row r="12965" spans="14:14" x14ac:dyDescent="0.35">
      <c r="N12965" s="676"/>
    </row>
    <row r="12966" spans="14:14" x14ac:dyDescent="0.35">
      <c r="N12966" s="676"/>
    </row>
    <row r="12967" spans="14:14" x14ac:dyDescent="0.35">
      <c r="N12967" s="676"/>
    </row>
    <row r="12968" spans="14:14" x14ac:dyDescent="0.35">
      <c r="N12968" s="676"/>
    </row>
    <row r="12969" spans="14:14" x14ac:dyDescent="0.35">
      <c r="N12969" s="676"/>
    </row>
    <row r="12970" spans="14:14" x14ac:dyDescent="0.35">
      <c r="N12970" s="676"/>
    </row>
    <row r="12971" spans="14:14" x14ac:dyDescent="0.35">
      <c r="N12971" s="676"/>
    </row>
    <row r="12972" spans="14:14" x14ac:dyDescent="0.35">
      <c r="N12972" s="676"/>
    </row>
    <row r="12973" spans="14:14" x14ac:dyDescent="0.35">
      <c r="N12973" s="676"/>
    </row>
    <row r="12974" spans="14:14" x14ac:dyDescent="0.35">
      <c r="N12974" s="676"/>
    </row>
    <row r="12975" spans="14:14" x14ac:dyDescent="0.35">
      <c r="N12975" s="676"/>
    </row>
    <row r="12976" spans="14:14" x14ac:dyDescent="0.35">
      <c r="N12976" s="676"/>
    </row>
    <row r="12977" spans="14:14" x14ac:dyDescent="0.35">
      <c r="N12977" s="676"/>
    </row>
    <row r="12978" spans="14:14" x14ac:dyDescent="0.35">
      <c r="N12978" s="676"/>
    </row>
    <row r="12979" spans="14:14" x14ac:dyDescent="0.35">
      <c r="N12979" s="676"/>
    </row>
    <row r="12980" spans="14:14" x14ac:dyDescent="0.35">
      <c r="N12980" s="676"/>
    </row>
    <row r="12981" spans="14:14" x14ac:dyDescent="0.35">
      <c r="N12981" s="676"/>
    </row>
    <row r="12982" spans="14:14" x14ac:dyDescent="0.35">
      <c r="N12982" s="676"/>
    </row>
    <row r="12983" spans="14:14" x14ac:dyDescent="0.35">
      <c r="N12983" s="676"/>
    </row>
    <row r="12984" spans="14:14" x14ac:dyDescent="0.35">
      <c r="N12984" s="676"/>
    </row>
    <row r="12985" spans="14:14" x14ac:dyDescent="0.35">
      <c r="N12985" s="676"/>
    </row>
    <row r="12986" spans="14:14" x14ac:dyDescent="0.35">
      <c r="N12986" s="676"/>
    </row>
    <row r="12987" spans="14:14" x14ac:dyDescent="0.35">
      <c r="N12987" s="676"/>
    </row>
    <row r="12988" spans="14:14" x14ac:dyDescent="0.35">
      <c r="N12988" s="676"/>
    </row>
    <row r="12989" spans="14:14" x14ac:dyDescent="0.35">
      <c r="N12989" s="676"/>
    </row>
    <row r="12990" spans="14:14" x14ac:dyDescent="0.35">
      <c r="N12990" s="676"/>
    </row>
    <row r="12991" spans="14:14" x14ac:dyDescent="0.35">
      <c r="N12991" s="676"/>
    </row>
    <row r="12992" spans="14:14" x14ac:dyDescent="0.35">
      <c r="N12992" s="676"/>
    </row>
    <row r="12993" spans="14:14" x14ac:dyDescent="0.35">
      <c r="N12993" s="676"/>
    </row>
    <row r="12994" spans="14:14" x14ac:dyDescent="0.35">
      <c r="N12994" s="676"/>
    </row>
    <row r="12995" spans="14:14" x14ac:dyDescent="0.35">
      <c r="N12995" s="676"/>
    </row>
    <row r="12996" spans="14:14" x14ac:dyDescent="0.35">
      <c r="N12996" s="676"/>
    </row>
    <row r="12997" spans="14:14" x14ac:dyDescent="0.35">
      <c r="N12997" s="676"/>
    </row>
    <row r="12998" spans="14:14" x14ac:dyDescent="0.35">
      <c r="N12998" s="676"/>
    </row>
    <row r="12999" spans="14:14" x14ac:dyDescent="0.35">
      <c r="N12999" s="676"/>
    </row>
    <row r="13000" spans="14:14" x14ac:dyDescent="0.35">
      <c r="N13000" s="676"/>
    </row>
    <row r="13001" spans="14:14" x14ac:dyDescent="0.35">
      <c r="N13001" s="676"/>
    </row>
    <row r="13002" spans="14:14" x14ac:dyDescent="0.35">
      <c r="N13002" s="676"/>
    </row>
    <row r="13003" spans="14:14" x14ac:dyDescent="0.35">
      <c r="N13003" s="676"/>
    </row>
    <row r="13004" spans="14:14" x14ac:dyDescent="0.35">
      <c r="N13004" s="676"/>
    </row>
    <row r="13005" spans="14:14" x14ac:dyDescent="0.35">
      <c r="N13005" s="676"/>
    </row>
    <row r="13006" spans="14:14" x14ac:dyDescent="0.35">
      <c r="N13006" s="676"/>
    </row>
    <row r="13007" spans="14:14" x14ac:dyDescent="0.35">
      <c r="N13007" s="676"/>
    </row>
    <row r="13008" spans="14:14" x14ac:dyDescent="0.35">
      <c r="N13008" s="676"/>
    </row>
    <row r="13009" spans="14:14" x14ac:dyDescent="0.35">
      <c r="N13009" s="676"/>
    </row>
    <row r="13010" spans="14:14" x14ac:dyDescent="0.35">
      <c r="N13010" s="676"/>
    </row>
    <row r="13011" spans="14:14" x14ac:dyDescent="0.35">
      <c r="N13011" s="676"/>
    </row>
    <row r="13012" spans="14:14" x14ac:dyDescent="0.35">
      <c r="N13012" s="676"/>
    </row>
    <row r="13013" spans="14:14" x14ac:dyDescent="0.35">
      <c r="N13013" s="676"/>
    </row>
    <row r="13014" spans="14:14" x14ac:dyDescent="0.35">
      <c r="N13014" s="676"/>
    </row>
    <row r="13015" spans="14:14" x14ac:dyDescent="0.35">
      <c r="N13015" s="676"/>
    </row>
    <row r="13016" spans="14:14" x14ac:dyDescent="0.35">
      <c r="N13016" s="676"/>
    </row>
    <row r="13017" spans="14:14" x14ac:dyDescent="0.35">
      <c r="N13017" s="676"/>
    </row>
    <row r="13018" spans="14:14" x14ac:dyDescent="0.35">
      <c r="N13018" s="676"/>
    </row>
    <row r="13019" spans="14:14" x14ac:dyDescent="0.35">
      <c r="N13019" s="676"/>
    </row>
    <row r="13020" spans="14:14" x14ac:dyDescent="0.35">
      <c r="N13020" s="676"/>
    </row>
    <row r="13021" spans="14:14" x14ac:dyDescent="0.35">
      <c r="N13021" s="676"/>
    </row>
    <row r="13022" spans="14:14" x14ac:dyDescent="0.35">
      <c r="N13022" s="676"/>
    </row>
    <row r="13023" spans="14:14" x14ac:dyDescent="0.35">
      <c r="N13023" s="676"/>
    </row>
    <row r="13024" spans="14:14" x14ac:dyDescent="0.35">
      <c r="N13024" s="676"/>
    </row>
    <row r="13025" spans="14:14" x14ac:dyDescent="0.35">
      <c r="N13025" s="676"/>
    </row>
    <row r="13026" spans="14:14" x14ac:dyDescent="0.35">
      <c r="N13026" s="676"/>
    </row>
    <row r="13027" spans="14:14" x14ac:dyDescent="0.35">
      <c r="N13027" s="676"/>
    </row>
    <row r="13028" spans="14:14" x14ac:dyDescent="0.35">
      <c r="N13028" s="676"/>
    </row>
    <row r="13029" spans="14:14" x14ac:dyDescent="0.35">
      <c r="N13029" s="676"/>
    </row>
    <row r="13030" spans="14:14" x14ac:dyDescent="0.35">
      <c r="N13030" s="676"/>
    </row>
    <row r="13031" spans="14:14" x14ac:dyDescent="0.35">
      <c r="N13031" s="676"/>
    </row>
    <row r="13032" spans="14:14" x14ac:dyDescent="0.35">
      <c r="N13032" s="676"/>
    </row>
    <row r="13033" spans="14:14" x14ac:dyDescent="0.35">
      <c r="N13033" s="676"/>
    </row>
    <row r="13034" spans="14:14" x14ac:dyDescent="0.35">
      <c r="N13034" s="676"/>
    </row>
    <row r="13035" spans="14:14" x14ac:dyDescent="0.35">
      <c r="N13035" s="676"/>
    </row>
    <row r="13036" spans="14:14" x14ac:dyDescent="0.35">
      <c r="N13036" s="676"/>
    </row>
    <row r="13037" spans="14:14" x14ac:dyDescent="0.35">
      <c r="N13037" s="676"/>
    </row>
    <row r="13038" spans="14:14" x14ac:dyDescent="0.35">
      <c r="N13038" s="676"/>
    </row>
    <row r="13039" spans="14:14" x14ac:dyDescent="0.35">
      <c r="N13039" s="676"/>
    </row>
    <row r="13040" spans="14:14" x14ac:dyDescent="0.35">
      <c r="N13040" s="676"/>
    </row>
    <row r="13041" spans="14:14" x14ac:dyDescent="0.35">
      <c r="N13041" s="676"/>
    </row>
    <row r="13042" spans="14:14" x14ac:dyDescent="0.35">
      <c r="N13042" s="676"/>
    </row>
    <row r="13043" spans="14:14" x14ac:dyDescent="0.35">
      <c r="N13043" s="676"/>
    </row>
    <row r="13044" spans="14:14" x14ac:dyDescent="0.35">
      <c r="N13044" s="676"/>
    </row>
    <row r="13045" spans="14:14" x14ac:dyDescent="0.35">
      <c r="N13045" s="676"/>
    </row>
    <row r="13046" spans="14:14" x14ac:dyDescent="0.35">
      <c r="N13046" s="676"/>
    </row>
    <row r="13047" spans="14:14" x14ac:dyDescent="0.35">
      <c r="N13047" s="676"/>
    </row>
    <row r="13048" spans="14:14" x14ac:dyDescent="0.35">
      <c r="N13048" s="676"/>
    </row>
    <row r="13049" spans="14:14" x14ac:dyDescent="0.35">
      <c r="N13049" s="676"/>
    </row>
    <row r="13050" spans="14:14" x14ac:dyDescent="0.35">
      <c r="N13050" s="676"/>
    </row>
    <row r="13051" spans="14:14" x14ac:dyDescent="0.35">
      <c r="N13051" s="676"/>
    </row>
    <row r="13052" spans="14:14" x14ac:dyDescent="0.35">
      <c r="N13052" s="676"/>
    </row>
    <row r="13053" spans="14:14" x14ac:dyDescent="0.35">
      <c r="N13053" s="676"/>
    </row>
    <row r="13054" spans="14:14" x14ac:dyDescent="0.35">
      <c r="N13054" s="676"/>
    </row>
    <row r="13055" spans="14:14" x14ac:dyDescent="0.35">
      <c r="N13055" s="676"/>
    </row>
    <row r="13056" spans="14:14" x14ac:dyDescent="0.35">
      <c r="N13056" s="676"/>
    </row>
    <row r="13057" spans="14:14" x14ac:dyDescent="0.35">
      <c r="N13057" s="676"/>
    </row>
    <row r="13058" spans="14:14" x14ac:dyDescent="0.35">
      <c r="N13058" s="676"/>
    </row>
    <row r="13059" spans="14:14" x14ac:dyDescent="0.35">
      <c r="N13059" s="676"/>
    </row>
    <row r="13060" spans="14:14" x14ac:dyDescent="0.35">
      <c r="N13060" s="676"/>
    </row>
    <row r="13061" spans="14:14" x14ac:dyDescent="0.35">
      <c r="N13061" s="676"/>
    </row>
    <row r="13062" spans="14:14" x14ac:dyDescent="0.35">
      <c r="N13062" s="676"/>
    </row>
    <row r="13063" spans="14:14" x14ac:dyDescent="0.35">
      <c r="N13063" s="676"/>
    </row>
    <row r="13064" spans="14:14" x14ac:dyDescent="0.35">
      <c r="N13064" s="676"/>
    </row>
    <row r="13065" spans="14:14" x14ac:dyDescent="0.35">
      <c r="N13065" s="676"/>
    </row>
    <row r="13066" spans="14:14" x14ac:dyDescent="0.35">
      <c r="N13066" s="676"/>
    </row>
    <row r="13067" spans="14:14" x14ac:dyDescent="0.35">
      <c r="N13067" s="676"/>
    </row>
    <row r="13068" spans="14:14" x14ac:dyDescent="0.35">
      <c r="N13068" s="676"/>
    </row>
    <row r="13069" spans="14:14" x14ac:dyDescent="0.35">
      <c r="N13069" s="676"/>
    </row>
    <row r="13070" spans="14:14" x14ac:dyDescent="0.35">
      <c r="N13070" s="676"/>
    </row>
    <row r="13071" spans="14:14" x14ac:dyDescent="0.35">
      <c r="N13071" s="676"/>
    </row>
    <row r="13072" spans="14:14" x14ac:dyDescent="0.35">
      <c r="N13072" s="676"/>
    </row>
    <row r="13073" spans="14:14" x14ac:dyDescent="0.35">
      <c r="N13073" s="676"/>
    </row>
    <row r="13074" spans="14:14" x14ac:dyDescent="0.35">
      <c r="N13074" s="676"/>
    </row>
    <row r="13075" spans="14:14" x14ac:dyDescent="0.35">
      <c r="N13075" s="676"/>
    </row>
    <row r="13076" spans="14:14" x14ac:dyDescent="0.35">
      <c r="N13076" s="676"/>
    </row>
    <row r="13077" spans="14:14" x14ac:dyDescent="0.35">
      <c r="N13077" s="676"/>
    </row>
    <row r="13078" spans="14:14" x14ac:dyDescent="0.35">
      <c r="N13078" s="676"/>
    </row>
    <row r="13079" spans="14:14" x14ac:dyDescent="0.35">
      <c r="N13079" s="676"/>
    </row>
    <row r="13080" spans="14:14" x14ac:dyDescent="0.35">
      <c r="N13080" s="676"/>
    </row>
    <row r="13081" spans="14:14" x14ac:dyDescent="0.35">
      <c r="N13081" s="676"/>
    </row>
    <row r="13082" spans="14:14" x14ac:dyDescent="0.35">
      <c r="N13082" s="676"/>
    </row>
    <row r="13083" spans="14:14" x14ac:dyDescent="0.35">
      <c r="N13083" s="676"/>
    </row>
    <row r="13084" spans="14:14" x14ac:dyDescent="0.35">
      <c r="N13084" s="676"/>
    </row>
    <row r="13085" spans="14:14" x14ac:dyDescent="0.35">
      <c r="N13085" s="676"/>
    </row>
    <row r="13086" spans="14:14" x14ac:dyDescent="0.35">
      <c r="N13086" s="676"/>
    </row>
    <row r="13087" spans="14:14" x14ac:dyDescent="0.35">
      <c r="N13087" s="676"/>
    </row>
    <row r="13088" spans="14:14" x14ac:dyDescent="0.35">
      <c r="N13088" s="676"/>
    </row>
    <row r="13089" spans="14:14" x14ac:dyDescent="0.35">
      <c r="N13089" s="676"/>
    </row>
    <row r="13090" spans="14:14" x14ac:dyDescent="0.35">
      <c r="N13090" s="676"/>
    </row>
    <row r="13091" spans="14:14" x14ac:dyDescent="0.35">
      <c r="N13091" s="676"/>
    </row>
    <row r="13092" spans="14:14" x14ac:dyDescent="0.35">
      <c r="N13092" s="676"/>
    </row>
    <row r="13093" spans="14:14" x14ac:dyDescent="0.35">
      <c r="N13093" s="676"/>
    </row>
    <row r="13094" spans="14:14" x14ac:dyDescent="0.35">
      <c r="N13094" s="676"/>
    </row>
    <row r="13095" spans="14:14" x14ac:dyDescent="0.35">
      <c r="N13095" s="676"/>
    </row>
    <row r="13096" spans="14:14" x14ac:dyDescent="0.35">
      <c r="N13096" s="676"/>
    </row>
    <row r="13097" spans="14:14" x14ac:dyDescent="0.35">
      <c r="N13097" s="676"/>
    </row>
    <row r="13098" spans="14:14" x14ac:dyDescent="0.35">
      <c r="N13098" s="676"/>
    </row>
    <row r="13099" spans="14:14" x14ac:dyDescent="0.35">
      <c r="N13099" s="676"/>
    </row>
    <row r="13100" spans="14:14" x14ac:dyDescent="0.35">
      <c r="N13100" s="676"/>
    </row>
    <row r="13101" spans="14:14" x14ac:dyDescent="0.35">
      <c r="N13101" s="676"/>
    </row>
    <row r="13102" spans="14:14" x14ac:dyDescent="0.35">
      <c r="N13102" s="676"/>
    </row>
    <row r="13103" spans="14:14" x14ac:dyDescent="0.35">
      <c r="N13103" s="676"/>
    </row>
    <row r="13104" spans="14:14" x14ac:dyDescent="0.35">
      <c r="N13104" s="676"/>
    </row>
    <row r="13105" spans="14:14" x14ac:dyDescent="0.35">
      <c r="N13105" s="676"/>
    </row>
    <row r="13106" spans="14:14" x14ac:dyDescent="0.35">
      <c r="N13106" s="676"/>
    </row>
    <row r="13107" spans="14:14" x14ac:dyDescent="0.35">
      <c r="N13107" s="676"/>
    </row>
    <row r="13108" spans="14:14" x14ac:dyDescent="0.35">
      <c r="N13108" s="676"/>
    </row>
    <row r="13109" spans="14:14" x14ac:dyDescent="0.35">
      <c r="N13109" s="676"/>
    </row>
    <row r="13110" spans="14:14" x14ac:dyDescent="0.35">
      <c r="N13110" s="676"/>
    </row>
    <row r="13111" spans="14:14" x14ac:dyDescent="0.35">
      <c r="N13111" s="676"/>
    </row>
    <row r="13112" spans="14:14" x14ac:dyDescent="0.35">
      <c r="N13112" s="676"/>
    </row>
    <row r="13113" spans="14:14" x14ac:dyDescent="0.35">
      <c r="N13113" s="676"/>
    </row>
    <row r="13114" spans="14:14" x14ac:dyDescent="0.35">
      <c r="N13114" s="676"/>
    </row>
    <row r="13115" spans="14:14" x14ac:dyDescent="0.35">
      <c r="N13115" s="676"/>
    </row>
    <row r="13116" spans="14:14" x14ac:dyDescent="0.35">
      <c r="N13116" s="676"/>
    </row>
    <row r="13117" spans="14:14" x14ac:dyDescent="0.35">
      <c r="N13117" s="676"/>
    </row>
    <row r="13118" spans="14:14" x14ac:dyDescent="0.35">
      <c r="N13118" s="676"/>
    </row>
    <row r="13119" spans="14:14" x14ac:dyDescent="0.35">
      <c r="N13119" s="676"/>
    </row>
    <row r="13120" spans="14:14" x14ac:dyDescent="0.35">
      <c r="N13120" s="676"/>
    </row>
    <row r="13121" spans="14:14" x14ac:dyDescent="0.35">
      <c r="N13121" s="676"/>
    </row>
    <row r="13122" spans="14:14" x14ac:dyDescent="0.35">
      <c r="N13122" s="676"/>
    </row>
    <row r="13123" spans="14:14" x14ac:dyDescent="0.35">
      <c r="N13123" s="676"/>
    </row>
    <row r="13124" spans="14:14" x14ac:dyDescent="0.35">
      <c r="N13124" s="676"/>
    </row>
    <row r="13125" spans="14:14" x14ac:dyDescent="0.35">
      <c r="N13125" s="676"/>
    </row>
    <row r="13126" spans="14:14" x14ac:dyDescent="0.35">
      <c r="N13126" s="676"/>
    </row>
    <row r="13127" spans="14:14" x14ac:dyDescent="0.35">
      <c r="N13127" s="676"/>
    </row>
    <row r="13128" spans="14:14" x14ac:dyDescent="0.35">
      <c r="N13128" s="676"/>
    </row>
    <row r="13129" spans="14:14" x14ac:dyDescent="0.35">
      <c r="N13129" s="676"/>
    </row>
    <row r="13130" spans="14:14" x14ac:dyDescent="0.35">
      <c r="N13130" s="676"/>
    </row>
    <row r="13131" spans="14:14" x14ac:dyDescent="0.35">
      <c r="N13131" s="676"/>
    </row>
    <row r="13132" spans="14:14" x14ac:dyDescent="0.35">
      <c r="N13132" s="676"/>
    </row>
    <row r="13133" spans="14:14" x14ac:dyDescent="0.35">
      <c r="N13133" s="676"/>
    </row>
    <row r="13134" spans="14:14" x14ac:dyDescent="0.35">
      <c r="N13134" s="676"/>
    </row>
    <row r="13135" spans="14:14" x14ac:dyDescent="0.35">
      <c r="N13135" s="676"/>
    </row>
    <row r="13136" spans="14:14" x14ac:dyDescent="0.35">
      <c r="N13136" s="676"/>
    </row>
    <row r="13137" spans="14:14" x14ac:dyDescent="0.35">
      <c r="N13137" s="676"/>
    </row>
    <row r="13138" spans="14:14" x14ac:dyDescent="0.35">
      <c r="N13138" s="676"/>
    </row>
    <row r="13139" spans="14:14" x14ac:dyDescent="0.35">
      <c r="N13139" s="676"/>
    </row>
    <row r="13140" spans="14:14" x14ac:dyDescent="0.35">
      <c r="N13140" s="676"/>
    </row>
    <row r="13141" spans="14:14" x14ac:dyDescent="0.35">
      <c r="N13141" s="676"/>
    </row>
    <row r="13142" spans="14:14" x14ac:dyDescent="0.35">
      <c r="N13142" s="676"/>
    </row>
    <row r="13143" spans="14:14" x14ac:dyDescent="0.35">
      <c r="N13143" s="676"/>
    </row>
    <row r="13144" spans="14:14" x14ac:dyDescent="0.35">
      <c r="N13144" s="676"/>
    </row>
    <row r="13145" spans="14:14" x14ac:dyDescent="0.35">
      <c r="N13145" s="676"/>
    </row>
    <row r="13146" spans="14:14" x14ac:dyDescent="0.35">
      <c r="N13146" s="676"/>
    </row>
    <row r="13147" spans="14:14" x14ac:dyDescent="0.35">
      <c r="N13147" s="676"/>
    </row>
    <row r="13148" spans="14:14" x14ac:dyDescent="0.35">
      <c r="N13148" s="676"/>
    </row>
    <row r="13149" spans="14:14" x14ac:dyDescent="0.35">
      <c r="N13149" s="676"/>
    </row>
    <row r="13150" spans="14:14" x14ac:dyDescent="0.35">
      <c r="N13150" s="676"/>
    </row>
    <row r="13151" spans="14:14" x14ac:dyDescent="0.35">
      <c r="N13151" s="676"/>
    </row>
    <row r="13152" spans="14:14" x14ac:dyDescent="0.35">
      <c r="N13152" s="676"/>
    </row>
    <row r="13153" spans="14:14" x14ac:dyDescent="0.35">
      <c r="N13153" s="676"/>
    </row>
    <row r="13154" spans="14:14" x14ac:dyDescent="0.35">
      <c r="N13154" s="676"/>
    </row>
    <row r="13155" spans="14:14" x14ac:dyDescent="0.35">
      <c r="N13155" s="676"/>
    </row>
    <row r="13156" spans="14:14" x14ac:dyDescent="0.35">
      <c r="N13156" s="676"/>
    </row>
    <row r="13157" spans="14:14" x14ac:dyDescent="0.35">
      <c r="N13157" s="676"/>
    </row>
    <row r="13158" spans="14:14" x14ac:dyDescent="0.35">
      <c r="N13158" s="676"/>
    </row>
    <row r="13159" spans="14:14" x14ac:dyDescent="0.35">
      <c r="N13159" s="676"/>
    </row>
    <row r="13160" spans="14:14" x14ac:dyDescent="0.35">
      <c r="N13160" s="676"/>
    </row>
    <row r="13161" spans="14:14" x14ac:dyDescent="0.35">
      <c r="N13161" s="676"/>
    </row>
    <row r="13162" spans="14:14" x14ac:dyDescent="0.35">
      <c r="N13162" s="676"/>
    </row>
    <row r="13163" spans="14:14" x14ac:dyDescent="0.35">
      <c r="N13163" s="676"/>
    </row>
    <row r="13164" spans="14:14" x14ac:dyDescent="0.35">
      <c r="N13164" s="676"/>
    </row>
    <row r="13165" spans="14:14" x14ac:dyDescent="0.35">
      <c r="N13165" s="676"/>
    </row>
    <row r="13166" spans="14:14" x14ac:dyDescent="0.35">
      <c r="N13166" s="676"/>
    </row>
    <row r="13167" spans="14:14" x14ac:dyDescent="0.35">
      <c r="N13167" s="676"/>
    </row>
    <row r="13168" spans="14:14" x14ac:dyDescent="0.35">
      <c r="N13168" s="676"/>
    </row>
    <row r="13169" spans="14:14" x14ac:dyDescent="0.35">
      <c r="N13169" s="676"/>
    </row>
    <row r="13170" spans="14:14" x14ac:dyDescent="0.35">
      <c r="N13170" s="676"/>
    </row>
    <row r="13171" spans="14:14" x14ac:dyDescent="0.35">
      <c r="N13171" s="676"/>
    </row>
    <row r="13172" spans="14:14" x14ac:dyDescent="0.35">
      <c r="N13172" s="676"/>
    </row>
    <row r="13173" spans="14:14" x14ac:dyDescent="0.35">
      <c r="N13173" s="676"/>
    </row>
    <row r="13174" spans="14:14" x14ac:dyDescent="0.35">
      <c r="N13174" s="676"/>
    </row>
    <row r="13175" spans="14:14" x14ac:dyDescent="0.35">
      <c r="N13175" s="676"/>
    </row>
    <row r="13176" spans="14:14" x14ac:dyDescent="0.35">
      <c r="N13176" s="676"/>
    </row>
    <row r="13177" spans="14:14" x14ac:dyDescent="0.35">
      <c r="N13177" s="676"/>
    </row>
    <row r="13178" spans="14:14" x14ac:dyDescent="0.35">
      <c r="N13178" s="676"/>
    </row>
    <row r="13179" spans="14:14" x14ac:dyDescent="0.35">
      <c r="N13179" s="676"/>
    </row>
    <row r="13180" spans="14:14" x14ac:dyDescent="0.35">
      <c r="N13180" s="676"/>
    </row>
    <row r="13181" spans="14:14" x14ac:dyDescent="0.35">
      <c r="N13181" s="676"/>
    </row>
    <row r="13182" spans="14:14" x14ac:dyDescent="0.35">
      <c r="N13182" s="676"/>
    </row>
    <row r="13183" spans="14:14" x14ac:dyDescent="0.35">
      <c r="N13183" s="676"/>
    </row>
    <row r="13184" spans="14:14" x14ac:dyDescent="0.35">
      <c r="N13184" s="676"/>
    </row>
    <row r="13185" spans="14:14" x14ac:dyDescent="0.35">
      <c r="N13185" s="676"/>
    </row>
    <row r="13186" spans="14:14" x14ac:dyDescent="0.35">
      <c r="N13186" s="676"/>
    </row>
    <row r="13187" spans="14:14" x14ac:dyDescent="0.35">
      <c r="N13187" s="676"/>
    </row>
    <row r="13188" spans="14:14" x14ac:dyDescent="0.35">
      <c r="N13188" s="676"/>
    </row>
    <row r="13189" spans="14:14" x14ac:dyDescent="0.35">
      <c r="N13189" s="676"/>
    </row>
    <row r="13190" spans="14:14" x14ac:dyDescent="0.35">
      <c r="N13190" s="676"/>
    </row>
    <row r="13191" spans="14:14" x14ac:dyDescent="0.35">
      <c r="N13191" s="676"/>
    </row>
    <row r="13192" spans="14:14" x14ac:dyDescent="0.35">
      <c r="N13192" s="676"/>
    </row>
    <row r="13193" spans="14:14" x14ac:dyDescent="0.35">
      <c r="N13193" s="676"/>
    </row>
    <row r="13194" spans="14:14" x14ac:dyDescent="0.35">
      <c r="N13194" s="676"/>
    </row>
    <row r="13195" spans="14:14" x14ac:dyDescent="0.35">
      <c r="N13195" s="676"/>
    </row>
    <row r="13196" spans="14:14" x14ac:dyDescent="0.35">
      <c r="N13196" s="676"/>
    </row>
    <row r="13197" spans="14:14" x14ac:dyDescent="0.35">
      <c r="N13197" s="676"/>
    </row>
    <row r="13198" spans="14:14" x14ac:dyDescent="0.35">
      <c r="N13198" s="676"/>
    </row>
    <row r="13199" spans="14:14" x14ac:dyDescent="0.35">
      <c r="N13199" s="676"/>
    </row>
    <row r="13200" spans="14:14" x14ac:dyDescent="0.35">
      <c r="N13200" s="676"/>
    </row>
    <row r="13201" spans="14:14" x14ac:dyDescent="0.35">
      <c r="N13201" s="676"/>
    </row>
    <row r="13202" spans="14:14" x14ac:dyDescent="0.35">
      <c r="N13202" s="676"/>
    </row>
    <row r="13203" spans="14:14" x14ac:dyDescent="0.35">
      <c r="N13203" s="676"/>
    </row>
    <row r="13204" spans="14:14" x14ac:dyDescent="0.35">
      <c r="N13204" s="676"/>
    </row>
    <row r="13205" spans="14:14" x14ac:dyDescent="0.35">
      <c r="N13205" s="676"/>
    </row>
    <row r="13206" spans="14:14" x14ac:dyDescent="0.35">
      <c r="N13206" s="676"/>
    </row>
    <row r="13207" spans="14:14" x14ac:dyDescent="0.35">
      <c r="N13207" s="676"/>
    </row>
    <row r="13208" spans="14:14" x14ac:dyDescent="0.35">
      <c r="N13208" s="676"/>
    </row>
    <row r="13209" spans="14:14" x14ac:dyDescent="0.35">
      <c r="N13209" s="676"/>
    </row>
    <row r="13210" spans="14:14" x14ac:dyDescent="0.35">
      <c r="N13210" s="676"/>
    </row>
    <row r="13211" spans="14:14" x14ac:dyDescent="0.35">
      <c r="N13211" s="676"/>
    </row>
    <row r="13212" spans="14:14" x14ac:dyDescent="0.35">
      <c r="N13212" s="676"/>
    </row>
    <row r="13213" spans="14:14" x14ac:dyDescent="0.35">
      <c r="N13213" s="676"/>
    </row>
    <row r="13214" spans="14:14" x14ac:dyDescent="0.35">
      <c r="N13214" s="676"/>
    </row>
    <row r="13215" spans="14:14" x14ac:dyDescent="0.35">
      <c r="N13215" s="676"/>
    </row>
    <row r="13216" spans="14:14" x14ac:dyDescent="0.35">
      <c r="N13216" s="676"/>
    </row>
    <row r="13217" spans="14:14" x14ac:dyDescent="0.35">
      <c r="N13217" s="676"/>
    </row>
    <row r="13218" spans="14:14" x14ac:dyDescent="0.35">
      <c r="N13218" s="676"/>
    </row>
    <row r="13219" spans="14:14" x14ac:dyDescent="0.35">
      <c r="N13219" s="676"/>
    </row>
    <row r="13220" spans="14:14" x14ac:dyDescent="0.35">
      <c r="N13220" s="676"/>
    </row>
    <row r="13221" spans="14:14" x14ac:dyDescent="0.35">
      <c r="N13221" s="676"/>
    </row>
    <row r="13222" spans="14:14" x14ac:dyDescent="0.35">
      <c r="N13222" s="676"/>
    </row>
    <row r="13223" spans="14:14" x14ac:dyDescent="0.35">
      <c r="N13223" s="676"/>
    </row>
    <row r="13224" spans="14:14" x14ac:dyDescent="0.35">
      <c r="N13224" s="676"/>
    </row>
    <row r="13225" spans="14:14" x14ac:dyDescent="0.35">
      <c r="N13225" s="676"/>
    </row>
    <row r="13226" spans="14:14" x14ac:dyDescent="0.35">
      <c r="N13226" s="676"/>
    </row>
    <row r="13227" spans="14:14" x14ac:dyDescent="0.35">
      <c r="N13227" s="676"/>
    </row>
    <row r="13228" spans="14:14" x14ac:dyDescent="0.35">
      <c r="N13228" s="676"/>
    </row>
    <row r="13229" spans="14:14" x14ac:dyDescent="0.35">
      <c r="N13229" s="676"/>
    </row>
    <row r="13230" spans="14:14" x14ac:dyDescent="0.35">
      <c r="N13230" s="676"/>
    </row>
    <row r="13231" spans="14:14" x14ac:dyDescent="0.35">
      <c r="N13231" s="676"/>
    </row>
    <row r="13232" spans="14:14" x14ac:dyDescent="0.35">
      <c r="N13232" s="676"/>
    </row>
    <row r="13233" spans="14:14" x14ac:dyDescent="0.35">
      <c r="N13233" s="676"/>
    </row>
    <row r="13234" spans="14:14" x14ac:dyDescent="0.35">
      <c r="N13234" s="676"/>
    </row>
    <row r="13235" spans="14:14" x14ac:dyDescent="0.35">
      <c r="N13235" s="676"/>
    </row>
    <row r="13236" spans="14:14" x14ac:dyDescent="0.35">
      <c r="N13236" s="676"/>
    </row>
    <row r="13237" spans="14:14" x14ac:dyDescent="0.35">
      <c r="N13237" s="676"/>
    </row>
    <row r="13238" spans="14:14" x14ac:dyDescent="0.35">
      <c r="N13238" s="676"/>
    </row>
    <row r="13239" spans="14:14" x14ac:dyDescent="0.35">
      <c r="N13239" s="676"/>
    </row>
    <row r="13240" spans="14:14" x14ac:dyDescent="0.35">
      <c r="N13240" s="676"/>
    </row>
    <row r="13241" spans="14:14" x14ac:dyDescent="0.35">
      <c r="N13241" s="676"/>
    </row>
    <row r="13242" spans="14:14" x14ac:dyDescent="0.35">
      <c r="N13242" s="676"/>
    </row>
    <row r="13243" spans="14:14" x14ac:dyDescent="0.35">
      <c r="N13243" s="676"/>
    </row>
    <row r="13244" spans="14:14" x14ac:dyDescent="0.35">
      <c r="N13244" s="676"/>
    </row>
    <row r="13245" spans="14:14" x14ac:dyDescent="0.35">
      <c r="N13245" s="676"/>
    </row>
    <row r="13246" spans="14:14" x14ac:dyDescent="0.35">
      <c r="N13246" s="676"/>
    </row>
    <row r="13247" spans="14:14" x14ac:dyDescent="0.35">
      <c r="N13247" s="676"/>
    </row>
    <row r="13248" spans="14:14" x14ac:dyDescent="0.35">
      <c r="N13248" s="676"/>
    </row>
    <row r="13249" spans="14:14" x14ac:dyDescent="0.35">
      <c r="N13249" s="676"/>
    </row>
    <row r="13250" spans="14:14" x14ac:dyDescent="0.35">
      <c r="N13250" s="676"/>
    </row>
    <row r="13251" spans="14:14" x14ac:dyDescent="0.35">
      <c r="N13251" s="676"/>
    </row>
    <row r="13252" spans="14:14" x14ac:dyDescent="0.35">
      <c r="N13252" s="676"/>
    </row>
    <row r="13253" spans="14:14" x14ac:dyDescent="0.35">
      <c r="N13253" s="676"/>
    </row>
    <row r="13254" spans="14:14" x14ac:dyDescent="0.35">
      <c r="N13254" s="676"/>
    </row>
    <row r="13255" spans="14:14" x14ac:dyDescent="0.35">
      <c r="N13255" s="676"/>
    </row>
    <row r="13256" spans="14:14" x14ac:dyDescent="0.35">
      <c r="N13256" s="676"/>
    </row>
    <row r="13257" spans="14:14" x14ac:dyDescent="0.35">
      <c r="N13257" s="676"/>
    </row>
    <row r="13258" spans="14:14" x14ac:dyDescent="0.35">
      <c r="N13258" s="676"/>
    </row>
    <row r="13259" spans="14:14" x14ac:dyDescent="0.35">
      <c r="N13259" s="676"/>
    </row>
    <row r="13260" spans="14:14" x14ac:dyDescent="0.35">
      <c r="N13260" s="676"/>
    </row>
    <row r="13261" spans="14:14" x14ac:dyDescent="0.35">
      <c r="N13261" s="676"/>
    </row>
    <row r="13262" spans="14:14" x14ac:dyDescent="0.35">
      <c r="N13262" s="676"/>
    </row>
    <row r="13263" spans="14:14" x14ac:dyDescent="0.35">
      <c r="N13263" s="676"/>
    </row>
    <row r="13264" spans="14:14" x14ac:dyDescent="0.35">
      <c r="N13264" s="676"/>
    </row>
    <row r="13265" spans="14:14" x14ac:dyDescent="0.35">
      <c r="N13265" s="676"/>
    </row>
    <row r="13266" spans="14:14" x14ac:dyDescent="0.35">
      <c r="N13266" s="676"/>
    </row>
    <row r="13267" spans="14:14" x14ac:dyDescent="0.35">
      <c r="N13267" s="676"/>
    </row>
    <row r="13268" spans="14:14" x14ac:dyDescent="0.35">
      <c r="N13268" s="676"/>
    </row>
    <row r="13269" spans="14:14" x14ac:dyDescent="0.35">
      <c r="N13269" s="676"/>
    </row>
    <row r="13270" spans="14:14" x14ac:dyDescent="0.35">
      <c r="N13270" s="676"/>
    </row>
    <row r="13271" spans="14:14" x14ac:dyDescent="0.35">
      <c r="N13271" s="676"/>
    </row>
    <row r="13272" spans="14:14" x14ac:dyDescent="0.35">
      <c r="N13272" s="676"/>
    </row>
    <row r="13273" spans="14:14" x14ac:dyDescent="0.35">
      <c r="N13273" s="676"/>
    </row>
    <row r="13274" spans="14:14" x14ac:dyDescent="0.35">
      <c r="N13274" s="676"/>
    </row>
    <row r="13275" spans="14:14" x14ac:dyDescent="0.35">
      <c r="N13275" s="676"/>
    </row>
    <row r="13276" spans="14:14" x14ac:dyDescent="0.35">
      <c r="N13276" s="676"/>
    </row>
    <row r="13277" spans="14:14" x14ac:dyDescent="0.35">
      <c r="N13277" s="676"/>
    </row>
    <row r="13278" spans="14:14" x14ac:dyDescent="0.35">
      <c r="N13278" s="676"/>
    </row>
    <row r="13279" spans="14:14" x14ac:dyDescent="0.35">
      <c r="N13279" s="676"/>
    </row>
    <row r="13280" spans="14:14" x14ac:dyDescent="0.35">
      <c r="N13280" s="676"/>
    </row>
    <row r="13281" spans="14:14" x14ac:dyDescent="0.35">
      <c r="N13281" s="676"/>
    </row>
    <row r="13282" spans="14:14" x14ac:dyDescent="0.35">
      <c r="N13282" s="676"/>
    </row>
    <row r="13283" spans="14:14" x14ac:dyDescent="0.35">
      <c r="N13283" s="676"/>
    </row>
    <row r="13284" spans="14:14" x14ac:dyDescent="0.35">
      <c r="N13284" s="676"/>
    </row>
    <row r="13285" spans="14:14" x14ac:dyDescent="0.35">
      <c r="N13285" s="676"/>
    </row>
    <row r="13286" spans="14:14" x14ac:dyDescent="0.35">
      <c r="N13286" s="676"/>
    </row>
    <row r="13287" spans="14:14" x14ac:dyDescent="0.35">
      <c r="N13287" s="676"/>
    </row>
    <row r="13288" spans="14:14" x14ac:dyDescent="0.35">
      <c r="N13288" s="676"/>
    </row>
    <row r="13289" spans="14:14" x14ac:dyDescent="0.35">
      <c r="N13289" s="676"/>
    </row>
    <row r="13290" spans="14:14" x14ac:dyDescent="0.35">
      <c r="N13290" s="676"/>
    </row>
    <row r="13291" spans="14:14" x14ac:dyDescent="0.35">
      <c r="N13291" s="676"/>
    </row>
    <row r="13292" spans="14:14" x14ac:dyDescent="0.35">
      <c r="N13292" s="676"/>
    </row>
    <row r="13293" spans="14:14" x14ac:dyDescent="0.35">
      <c r="N13293" s="676"/>
    </row>
    <row r="13294" spans="14:14" x14ac:dyDescent="0.35">
      <c r="N13294" s="676"/>
    </row>
    <row r="13295" spans="14:14" x14ac:dyDescent="0.35">
      <c r="N13295" s="676"/>
    </row>
    <row r="13296" spans="14:14" x14ac:dyDescent="0.35">
      <c r="N13296" s="676"/>
    </row>
    <row r="13297" spans="14:14" x14ac:dyDescent="0.35">
      <c r="N13297" s="676"/>
    </row>
    <row r="13298" spans="14:14" x14ac:dyDescent="0.35">
      <c r="N13298" s="676"/>
    </row>
    <row r="13299" spans="14:14" x14ac:dyDescent="0.35">
      <c r="N13299" s="676"/>
    </row>
    <row r="13300" spans="14:14" x14ac:dyDescent="0.35">
      <c r="N13300" s="676"/>
    </row>
    <row r="13301" spans="14:14" x14ac:dyDescent="0.35">
      <c r="N13301" s="676"/>
    </row>
    <row r="13302" spans="14:14" x14ac:dyDescent="0.35">
      <c r="N13302" s="676"/>
    </row>
    <row r="13303" spans="14:14" x14ac:dyDescent="0.35">
      <c r="N13303" s="676"/>
    </row>
    <row r="13304" spans="14:14" x14ac:dyDescent="0.35">
      <c r="N13304" s="676"/>
    </row>
    <row r="13305" spans="14:14" x14ac:dyDescent="0.35">
      <c r="N13305" s="676"/>
    </row>
    <row r="13306" spans="14:14" x14ac:dyDescent="0.35">
      <c r="N13306" s="676"/>
    </row>
    <row r="13307" spans="14:14" x14ac:dyDescent="0.35">
      <c r="N13307" s="676"/>
    </row>
    <row r="13308" spans="14:14" x14ac:dyDescent="0.35">
      <c r="N13308" s="676"/>
    </row>
    <row r="13309" spans="14:14" x14ac:dyDescent="0.35">
      <c r="N13309" s="676"/>
    </row>
    <row r="13310" spans="14:14" x14ac:dyDescent="0.35">
      <c r="N13310" s="676"/>
    </row>
    <row r="13311" spans="14:14" x14ac:dyDescent="0.35">
      <c r="N13311" s="676"/>
    </row>
    <row r="13312" spans="14:14" x14ac:dyDescent="0.35">
      <c r="N13312" s="676"/>
    </row>
    <row r="13313" spans="14:14" x14ac:dyDescent="0.35">
      <c r="N13313" s="676"/>
    </row>
    <row r="13314" spans="14:14" x14ac:dyDescent="0.35">
      <c r="N13314" s="676"/>
    </row>
    <row r="13315" spans="14:14" x14ac:dyDescent="0.35">
      <c r="N13315" s="676"/>
    </row>
    <row r="13316" spans="14:14" x14ac:dyDescent="0.35">
      <c r="N13316" s="676"/>
    </row>
    <row r="13317" spans="14:14" x14ac:dyDescent="0.35">
      <c r="N13317" s="676"/>
    </row>
    <row r="13318" spans="14:14" x14ac:dyDescent="0.35">
      <c r="N13318" s="676"/>
    </row>
    <row r="13319" spans="14:14" x14ac:dyDescent="0.35">
      <c r="N13319" s="676"/>
    </row>
    <row r="13320" spans="14:14" x14ac:dyDescent="0.35">
      <c r="N13320" s="676"/>
    </row>
    <row r="13321" spans="14:14" x14ac:dyDescent="0.35">
      <c r="N13321" s="676"/>
    </row>
    <row r="13322" spans="14:14" x14ac:dyDescent="0.35">
      <c r="N13322" s="676"/>
    </row>
    <row r="13323" spans="14:14" x14ac:dyDescent="0.35">
      <c r="N13323" s="676"/>
    </row>
    <row r="13324" spans="14:14" x14ac:dyDescent="0.35">
      <c r="N13324" s="676"/>
    </row>
    <row r="13325" spans="14:14" x14ac:dyDescent="0.35">
      <c r="N13325" s="676"/>
    </row>
    <row r="13326" spans="14:14" x14ac:dyDescent="0.35">
      <c r="N13326" s="676"/>
    </row>
    <row r="13327" spans="14:14" x14ac:dyDescent="0.35">
      <c r="N13327" s="676"/>
    </row>
    <row r="13328" spans="14:14" x14ac:dyDescent="0.35">
      <c r="N13328" s="676"/>
    </row>
    <row r="13329" spans="14:14" x14ac:dyDescent="0.35">
      <c r="N13329" s="676"/>
    </row>
    <row r="13330" spans="14:14" x14ac:dyDescent="0.35">
      <c r="N13330" s="676"/>
    </row>
    <row r="13331" spans="14:14" x14ac:dyDescent="0.35">
      <c r="N13331" s="676"/>
    </row>
    <row r="13332" spans="14:14" x14ac:dyDescent="0.35">
      <c r="N13332" s="676"/>
    </row>
    <row r="13333" spans="14:14" x14ac:dyDescent="0.35">
      <c r="N13333" s="676"/>
    </row>
    <row r="13334" spans="14:14" x14ac:dyDescent="0.35">
      <c r="N13334" s="676"/>
    </row>
    <row r="13335" spans="14:14" x14ac:dyDescent="0.35">
      <c r="N13335" s="676"/>
    </row>
    <row r="13336" spans="14:14" x14ac:dyDescent="0.35">
      <c r="N13336" s="676"/>
    </row>
    <row r="13337" spans="14:14" x14ac:dyDescent="0.35">
      <c r="N13337" s="676"/>
    </row>
    <row r="13338" spans="14:14" x14ac:dyDescent="0.35">
      <c r="N13338" s="676"/>
    </row>
    <row r="13339" spans="14:14" x14ac:dyDescent="0.35">
      <c r="N13339" s="676"/>
    </row>
    <row r="13340" spans="14:14" x14ac:dyDescent="0.35">
      <c r="N13340" s="676"/>
    </row>
    <row r="13341" spans="14:14" x14ac:dyDescent="0.35">
      <c r="N13341" s="676"/>
    </row>
    <row r="13342" spans="14:14" x14ac:dyDescent="0.35">
      <c r="N13342" s="676"/>
    </row>
    <row r="13343" spans="14:14" x14ac:dyDescent="0.35">
      <c r="N13343" s="676"/>
    </row>
    <row r="13344" spans="14:14" x14ac:dyDescent="0.35">
      <c r="N13344" s="676"/>
    </row>
    <row r="13345" spans="14:14" x14ac:dyDescent="0.35">
      <c r="N13345" s="676"/>
    </row>
    <row r="13346" spans="14:14" x14ac:dyDescent="0.35">
      <c r="N13346" s="676"/>
    </row>
    <row r="13347" spans="14:14" x14ac:dyDescent="0.35">
      <c r="N13347" s="676"/>
    </row>
    <row r="13348" spans="14:14" x14ac:dyDescent="0.35">
      <c r="N13348" s="676"/>
    </row>
    <row r="13349" spans="14:14" x14ac:dyDescent="0.35">
      <c r="N13349" s="676"/>
    </row>
    <row r="13350" spans="14:14" x14ac:dyDescent="0.35">
      <c r="N13350" s="676"/>
    </row>
    <row r="13351" spans="14:14" x14ac:dyDescent="0.35">
      <c r="N13351" s="676"/>
    </row>
    <row r="13352" spans="14:14" x14ac:dyDescent="0.35">
      <c r="N13352" s="676"/>
    </row>
    <row r="13353" spans="14:14" x14ac:dyDescent="0.35">
      <c r="N13353" s="676"/>
    </row>
    <row r="13354" spans="14:14" x14ac:dyDescent="0.35">
      <c r="N13354" s="676"/>
    </row>
    <row r="13355" spans="14:14" x14ac:dyDescent="0.35">
      <c r="N13355" s="676"/>
    </row>
    <row r="13356" spans="14:14" x14ac:dyDescent="0.35">
      <c r="N13356" s="676"/>
    </row>
    <row r="13357" spans="14:14" x14ac:dyDescent="0.35">
      <c r="N13357" s="676"/>
    </row>
    <row r="13358" spans="14:14" x14ac:dyDescent="0.35">
      <c r="N13358" s="676"/>
    </row>
    <row r="13359" spans="14:14" x14ac:dyDescent="0.35">
      <c r="N13359" s="676"/>
    </row>
    <row r="13360" spans="14:14" x14ac:dyDescent="0.35">
      <c r="N13360" s="676"/>
    </row>
    <row r="13361" spans="14:14" x14ac:dyDescent="0.35">
      <c r="N13361" s="676"/>
    </row>
    <row r="13362" spans="14:14" x14ac:dyDescent="0.35">
      <c r="N13362" s="676"/>
    </row>
    <row r="13363" spans="14:14" x14ac:dyDescent="0.35">
      <c r="N13363" s="676"/>
    </row>
    <row r="13364" spans="14:14" x14ac:dyDescent="0.35">
      <c r="N13364" s="676"/>
    </row>
    <row r="13365" spans="14:14" x14ac:dyDescent="0.35">
      <c r="N13365" s="676"/>
    </row>
    <row r="13366" spans="14:14" x14ac:dyDescent="0.35">
      <c r="N13366" s="676"/>
    </row>
    <row r="13367" spans="14:14" x14ac:dyDescent="0.35">
      <c r="N13367" s="676"/>
    </row>
    <row r="13368" spans="14:14" x14ac:dyDescent="0.35">
      <c r="N13368" s="676"/>
    </row>
    <row r="13369" spans="14:14" x14ac:dyDescent="0.35">
      <c r="N13369" s="676"/>
    </row>
    <row r="13370" spans="14:14" x14ac:dyDescent="0.35">
      <c r="N13370" s="676"/>
    </row>
    <row r="13371" spans="14:14" x14ac:dyDescent="0.35">
      <c r="N13371" s="676"/>
    </row>
    <row r="13372" spans="14:14" x14ac:dyDescent="0.35">
      <c r="N13372" s="676"/>
    </row>
    <row r="13373" spans="14:14" x14ac:dyDescent="0.35">
      <c r="N13373" s="676"/>
    </row>
    <row r="13374" spans="14:14" x14ac:dyDescent="0.35">
      <c r="N13374" s="676"/>
    </row>
    <row r="13375" spans="14:14" x14ac:dyDescent="0.35">
      <c r="N13375" s="676"/>
    </row>
    <row r="13376" spans="14:14" x14ac:dyDescent="0.35">
      <c r="N13376" s="676"/>
    </row>
    <row r="13377" spans="14:14" x14ac:dyDescent="0.35">
      <c r="N13377" s="676"/>
    </row>
    <row r="13378" spans="14:14" x14ac:dyDescent="0.35">
      <c r="N13378" s="676"/>
    </row>
    <row r="13379" spans="14:14" x14ac:dyDescent="0.35">
      <c r="N13379" s="676"/>
    </row>
    <row r="13380" spans="14:14" x14ac:dyDescent="0.35">
      <c r="N13380" s="676"/>
    </row>
    <row r="13381" spans="14:14" x14ac:dyDescent="0.35">
      <c r="N13381" s="676"/>
    </row>
    <row r="13382" spans="14:14" x14ac:dyDescent="0.35">
      <c r="N13382" s="676"/>
    </row>
    <row r="13383" spans="14:14" x14ac:dyDescent="0.35">
      <c r="N13383" s="676"/>
    </row>
    <row r="13384" spans="14:14" x14ac:dyDescent="0.35">
      <c r="N13384" s="676"/>
    </row>
    <row r="13385" spans="14:14" x14ac:dyDescent="0.35">
      <c r="N13385" s="676"/>
    </row>
    <row r="13386" spans="14:14" x14ac:dyDescent="0.35">
      <c r="N13386" s="676"/>
    </row>
    <row r="13387" spans="14:14" x14ac:dyDescent="0.35">
      <c r="N13387" s="676"/>
    </row>
    <row r="13388" spans="14:14" x14ac:dyDescent="0.35">
      <c r="N13388" s="676"/>
    </row>
    <row r="13389" spans="14:14" x14ac:dyDescent="0.35">
      <c r="N13389" s="676"/>
    </row>
    <row r="13390" spans="14:14" x14ac:dyDescent="0.35">
      <c r="N13390" s="676"/>
    </row>
    <row r="13391" spans="14:14" x14ac:dyDescent="0.35">
      <c r="N13391" s="676"/>
    </row>
    <row r="13392" spans="14:14" x14ac:dyDescent="0.35">
      <c r="N13392" s="676"/>
    </row>
    <row r="13393" spans="14:14" x14ac:dyDescent="0.35">
      <c r="N13393" s="676"/>
    </row>
    <row r="13394" spans="14:14" x14ac:dyDescent="0.35">
      <c r="N13394" s="676"/>
    </row>
    <row r="13395" spans="14:14" x14ac:dyDescent="0.35">
      <c r="N13395" s="676"/>
    </row>
    <row r="13396" spans="14:14" x14ac:dyDescent="0.35">
      <c r="N13396" s="676"/>
    </row>
    <row r="13397" spans="14:14" x14ac:dyDescent="0.35">
      <c r="N13397" s="676"/>
    </row>
    <row r="13398" spans="14:14" x14ac:dyDescent="0.35">
      <c r="N13398" s="676"/>
    </row>
    <row r="13399" spans="14:14" x14ac:dyDescent="0.35">
      <c r="N13399" s="676"/>
    </row>
    <row r="13400" spans="14:14" x14ac:dyDescent="0.35">
      <c r="N13400" s="676"/>
    </row>
    <row r="13401" spans="14:14" x14ac:dyDescent="0.35">
      <c r="N13401" s="676"/>
    </row>
    <row r="13402" spans="14:14" x14ac:dyDescent="0.35">
      <c r="N13402" s="676"/>
    </row>
    <row r="13403" spans="14:14" x14ac:dyDescent="0.35">
      <c r="N13403" s="676"/>
    </row>
    <row r="13404" spans="14:14" x14ac:dyDescent="0.35">
      <c r="N13404" s="676"/>
    </row>
    <row r="13405" spans="14:14" x14ac:dyDescent="0.35">
      <c r="N13405" s="676"/>
    </row>
    <row r="13406" spans="14:14" x14ac:dyDescent="0.35">
      <c r="N13406" s="676"/>
    </row>
    <row r="13407" spans="14:14" x14ac:dyDescent="0.35">
      <c r="N13407" s="676"/>
    </row>
    <row r="13408" spans="14:14" x14ac:dyDescent="0.35">
      <c r="N13408" s="676"/>
    </row>
    <row r="13409" spans="14:14" x14ac:dyDescent="0.35">
      <c r="N13409" s="676"/>
    </row>
    <row r="13410" spans="14:14" x14ac:dyDescent="0.35">
      <c r="N13410" s="676"/>
    </row>
    <row r="13411" spans="14:14" x14ac:dyDescent="0.35">
      <c r="N13411" s="676"/>
    </row>
    <row r="13412" spans="14:14" x14ac:dyDescent="0.35">
      <c r="N13412" s="676"/>
    </row>
    <row r="13413" spans="14:14" x14ac:dyDescent="0.35">
      <c r="N13413" s="676"/>
    </row>
    <row r="13414" spans="14:14" x14ac:dyDescent="0.35">
      <c r="N13414" s="676"/>
    </row>
    <row r="13415" spans="14:14" x14ac:dyDescent="0.35">
      <c r="N13415" s="676"/>
    </row>
    <row r="13416" spans="14:14" x14ac:dyDescent="0.35">
      <c r="N13416" s="676"/>
    </row>
    <row r="13417" spans="14:14" x14ac:dyDescent="0.35">
      <c r="N13417" s="676"/>
    </row>
    <row r="13418" spans="14:14" x14ac:dyDescent="0.35">
      <c r="N13418" s="676"/>
    </row>
    <row r="13419" spans="14:14" x14ac:dyDescent="0.35">
      <c r="N13419" s="676"/>
    </row>
    <row r="13420" spans="14:14" x14ac:dyDescent="0.35">
      <c r="N13420" s="676"/>
    </row>
    <row r="13421" spans="14:14" x14ac:dyDescent="0.35">
      <c r="N13421" s="676"/>
    </row>
    <row r="13422" spans="14:14" x14ac:dyDescent="0.35">
      <c r="N13422" s="676"/>
    </row>
    <row r="13423" spans="14:14" x14ac:dyDescent="0.35">
      <c r="N13423" s="676"/>
    </row>
    <row r="13424" spans="14:14" x14ac:dyDescent="0.35">
      <c r="N13424" s="676"/>
    </row>
    <row r="13425" spans="14:14" x14ac:dyDescent="0.35">
      <c r="N13425" s="676"/>
    </row>
    <row r="13426" spans="14:14" x14ac:dyDescent="0.35">
      <c r="N13426" s="676"/>
    </row>
    <row r="13427" spans="14:14" x14ac:dyDescent="0.35">
      <c r="N13427" s="676"/>
    </row>
    <row r="13428" spans="14:14" x14ac:dyDescent="0.35">
      <c r="N13428" s="676"/>
    </row>
    <row r="13429" spans="14:14" x14ac:dyDescent="0.35">
      <c r="N13429" s="676"/>
    </row>
    <row r="13430" spans="14:14" x14ac:dyDescent="0.35">
      <c r="N13430" s="676"/>
    </row>
    <row r="13431" spans="14:14" x14ac:dyDescent="0.35">
      <c r="N13431" s="676"/>
    </row>
    <row r="13432" spans="14:14" x14ac:dyDescent="0.35">
      <c r="N13432" s="676"/>
    </row>
    <row r="13433" spans="14:14" x14ac:dyDescent="0.35">
      <c r="N13433" s="676"/>
    </row>
    <row r="13434" spans="14:14" x14ac:dyDescent="0.35">
      <c r="N13434" s="676"/>
    </row>
    <row r="13435" spans="14:14" x14ac:dyDescent="0.35">
      <c r="N13435" s="676"/>
    </row>
    <row r="13436" spans="14:14" x14ac:dyDescent="0.35">
      <c r="N13436" s="676"/>
    </row>
    <row r="13437" spans="14:14" x14ac:dyDescent="0.35">
      <c r="N13437" s="676"/>
    </row>
    <row r="13438" spans="14:14" x14ac:dyDescent="0.35">
      <c r="N13438" s="676"/>
    </row>
    <row r="13439" spans="14:14" x14ac:dyDescent="0.35">
      <c r="N13439" s="676"/>
    </row>
    <row r="13440" spans="14:14" x14ac:dyDescent="0.35">
      <c r="N13440" s="676"/>
    </row>
    <row r="13441" spans="14:14" x14ac:dyDescent="0.35">
      <c r="N13441" s="676"/>
    </row>
    <row r="13442" spans="14:14" x14ac:dyDescent="0.35">
      <c r="N13442" s="676"/>
    </row>
    <row r="13443" spans="14:14" x14ac:dyDescent="0.35">
      <c r="N13443" s="676"/>
    </row>
    <row r="13444" spans="14:14" x14ac:dyDescent="0.35">
      <c r="N13444" s="676"/>
    </row>
    <row r="13445" spans="14:14" x14ac:dyDescent="0.35">
      <c r="N13445" s="676"/>
    </row>
    <row r="13446" spans="14:14" x14ac:dyDescent="0.35">
      <c r="N13446" s="676"/>
    </row>
    <row r="13447" spans="14:14" x14ac:dyDescent="0.35">
      <c r="N13447" s="676"/>
    </row>
    <row r="13448" spans="14:14" x14ac:dyDescent="0.35">
      <c r="N13448" s="676"/>
    </row>
    <row r="13449" spans="14:14" x14ac:dyDescent="0.35">
      <c r="N13449" s="676"/>
    </row>
    <row r="13450" spans="14:14" x14ac:dyDescent="0.35">
      <c r="N13450" s="676"/>
    </row>
    <row r="13451" spans="14:14" x14ac:dyDescent="0.35">
      <c r="N13451" s="676"/>
    </row>
    <row r="13452" spans="14:14" x14ac:dyDescent="0.35">
      <c r="N13452" s="676"/>
    </row>
    <row r="13453" spans="14:14" x14ac:dyDescent="0.35">
      <c r="N13453" s="676"/>
    </row>
    <row r="13454" spans="14:14" x14ac:dyDescent="0.35">
      <c r="N13454" s="676"/>
    </row>
    <row r="13455" spans="14:14" x14ac:dyDescent="0.35">
      <c r="N13455" s="676"/>
    </row>
    <row r="13456" spans="14:14" x14ac:dyDescent="0.35">
      <c r="N13456" s="676"/>
    </row>
    <row r="13457" spans="14:14" x14ac:dyDescent="0.35">
      <c r="N13457" s="676"/>
    </row>
    <row r="13458" spans="14:14" x14ac:dyDescent="0.35">
      <c r="N13458" s="676"/>
    </row>
    <row r="13459" spans="14:14" x14ac:dyDescent="0.35">
      <c r="N13459" s="676"/>
    </row>
    <row r="13460" spans="14:14" x14ac:dyDescent="0.35">
      <c r="N13460" s="676"/>
    </row>
    <row r="13461" spans="14:14" x14ac:dyDescent="0.35">
      <c r="N13461" s="676"/>
    </row>
    <row r="13462" spans="14:14" x14ac:dyDescent="0.35">
      <c r="N13462" s="676"/>
    </row>
    <row r="13463" spans="14:14" x14ac:dyDescent="0.35">
      <c r="N13463" s="676"/>
    </row>
    <row r="13464" spans="14:14" x14ac:dyDescent="0.35">
      <c r="N13464" s="676"/>
    </row>
    <row r="13465" spans="14:14" x14ac:dyDescent="0.35">
      <c r="N13465" s="676"/>
    </row>
    <row r="13466" spans="14:14" x14ac:dyDescent="0.35">
      <c r="N13466" s="676"/>
    </row>
    <row r="13467" spans="14:14" x14ac:dyDescent="0.35">
      <c r="N13467" s="676"/>
    </row>
    <row r="13468" spans="14:14" x14ac:dyDescent="0.35">
      <c r="N13468" s="676"/>
    </row>
    <row r="13469" spans="14:14" x14ac:dyDescent="0.35">
      <c r="N13469" s="676"/>
    </row>
    <row r="13470" spans="14:14" x14ac:dyDescent="0.35">
      <c r="N13470" s="676"/>
    </row>
    <row r="13471" spans="14:14" x14ac:dyDescent="0.35">
      <c r="N13471" s="676"/>
    </row>
    <row r="13472" spans="14:14" x14ac:dyDescent="0.35">
      <c r="N13472" s="676"/>
    </row>
    <row r="13473" spans="14:14" x14ac:dyDescent="0.35">
      <c r="N13473" s="676"/>
    </row>
    <row r="13474" spans="14:14" x14ac:dyDescent="0.35">
      <c r="N13474" s="676"/>
    </row>
    <row r="13475" spans="14:14" x14ac:dyDescent="0.35">
      <c r="N13475" s="676"/>
    </row>
    <row r="13476" spans="14:14" x14ac:dyDescent="0.35">
      <c r="N13476" s="676"/>
    </row>
    <row r="13477" spans="14:14" x14ac:dyDescent="0.35">
      <c r="N13477" s="676"/>
    </row>
    <row r="13478" spans="14:14" x14ac:dyDescent="0.35">
      <c r="N13478" s="676"/>
    </row>
    <row r="13479" spans="14:14" x14ac:dyDescent="0.35">
      <c r="N13479" s="676"/>
    </row>
    <row r="13480" spans="14:14" x14ac:dyDescent="0.35">
      <c r="N13480" s="676"/>
    </row>
    <row r="13481" spans="14:14" x14ac:dyDescent="0.35">
      <c r="N13481" s="676"/>
    </row>
    <row r="13482" spans="14:14" x14ac:dyDescent="0.35">
      <c r="N13482" s="676"/>
    </row>
    <row r="13483" spans="14:14" x14ac:dyDescent="0.35">
      <c r="N13483" s="676"/>
    </row>
    <row r="13484" spans="14:14" x14ac:dyDescent="0.35">
      <c r="N13484" s="676"/>
    </row>
    <row r="13485" spans="14:14" x14ac:dyDescent="0.35">
      <c r="N13485" s="676"/>
    </row>
    <row r="13486" spans="14:14" x14ac:dyDescent="0.35">
      <c r="N13486" s="676"/>
    </row>
    <row r="13487" spans="14:14" x14ac:dyDescent="0.35">
      <c r="N13487" s="676"/>
    </row>
    <row r="13488" spans="14:14" x14ac:dyDescent="0.35">
      <c r="N13488" s="676"/>
    </row>
    <row r="13489" spans="14:14" x14ac:dyDescent="0.35">
      <c r="N13489" s="676"/>
    </row>
    <row r="13490" spans="14:14" x14ac:dyDescent="0.35">
      <c r="N13490" s="676"/>
    </row>
    <row r="13491" spans="14:14" x14ac:dyDescent="0.35">
      <c r="N13491" s="676"/>
    </row>
    <row r="13492" spans="14:14" x14ac:dyDescent="0.35">
      <c r="N13492" s="676"/>
    </row>
    <row r="13493" spans="14:14" x14ac:dyDescent="0.35">
      <c r="N13493" s="676"/>
    </row>
    <row r="13494" spans="14:14" x14ac:dyDescent="0.35">
      <c r="N13494" s="676"/>
    </row>
    <row r="13495" spans="14:14" x14ac:dyDescent="0.35">
      <c r="N13495" s="676"/>
    </row>
    <row r="13496" spans="14:14" x14ac:dyDescent="0.35">
      <c r="N13496" s="676"/>
    </row>
    <row r="13497" spans="14:14" x14ac:dyDescent="0.35">
      <c r="N13497" s="676"/>
    </row>
    <row r="13498" spans="14:14" x14ac:dyDescent="0.35">
      <c r="N13498" s="676"/>
    </row>
    <row r="13499" spans="14:14" x14ac:dyDescent="0.35">
      <c r="N13499" s="676"/>
    </row>
    <row r="13500" spans="14:14" x14ac:dyDescent="0.35">
      <c r="N13500" s="676"/>
    </row>
    <row r="13501" spans="14:14" x14ac:dyDescent="0.35">
      <c r="N13501" s="676"/>
    </row>
    <row r="13502" spans="14:14" x14ac:dyDescent="0.35">
      <c r="N13502" s="676"/>
    </row>
    <row r="13503" spans="14:14" x14ac:dyDescent="0.35">
      <c r="N13503" s="676"/>
    </row>
    <row r="13504" spans="14:14" x14ac:dyDescent="0.35">
      <c r="N13504" s="676"/>
    </row>
    <row r="13505" spans="14:14" x14ac:dyDescent="0.35">
      <c r="N13505" s="676"/>
    </row>
    <row r="13506" spans="14:14" x14ac:dyDescent="0.35">
      <c r="N13506" s="676"/>
    </row>
    <row r="13507" spans="14:14" x14ac:dyDescent="0.35">
      <c r="N13507" s="676"/>
    </row>
    <row r="13508" spans="14:14" x14ac:dyDescent="0.35">
      <c r="N13508" s="676"/>
    </row>
    <row r="13509" spans="14:14" x14ac:dyDescent="0.35">
      <c r="N13509" s="676"/>
    </row>
    <row r="13510" spans="14:14" x14ac:dyDescent="0.35">
      <c r="N13510" s="676"/>
    </row>
    <row r="13511" spans="14:14" x14ac:dyDescent="0.35">
      <c r="N13511" s="676"/>
    </row>
    <row r="13512" spans="14:14" x14ac:dyDescent="0.35">
      <c r="N13512" s="676"/>
    </row>
    <row r="13513" spans="14:14" x14ac:dyDescent="0.35">
      <c r="N13513" s="676"/>
    </row>
    <row r="13514" spans="14:14" x14ac:dyDescent="0.35">
      <c r="N13514" s="676"/>
    </row>
    <row r="13515" spans="14:14" x14ac:dyDescent="0.35">
      <c r="N13515" s="676"/>
    </row>
    <row r="13516" spans="14:14" x14ac:dyDescent="0.35">
      <c r="N13516" s="676"/>
    </row>
    <row r="13517" spans="14:14" x14ac:dyDescent="0.35">
      <c r="N13517" s="676"/>
    </row>
    <row r="13518" spans="14:14" x14ac:dyDescent="0.35">
      <c r="N13518" s="676"/>
    </row>
    <row r="13519" spans="14:14" x14ac:dyDescent="0.35">
      <c r="N13519" s="676"/>
    </row>
    <row r="13520" spans="14:14" x14ac:dyDescent="0.35">
      <c r="N13520" s="676"/>
    </row>
    <row r="13521" spans="14:14" x14ac:dyDescent="0.35">
      <c r="N13521" s="676"/>
    </row>
    <row r="13522" spans="14:14" x14ac:dyDescent="0.35">
      <c r="N13522" s="676"/>
    </row>
    <row r="13523" spans="14:14" x14ac:dyDescent="0.35">
      <c r="N13523" s="676"/>
    </row>
    <row r="13524" spans="14:14" x14ac:dyDescent="0.35">
      <c r="N13524" s="676"/>
    </row>
    <row r="13525" spans="14:14" x14ac:dyDescent="0.35">
      <c r="N13525" s="676"/>
    </row>
    <row r="13526" spans="14:14" x14ac:dyDescent="0.35">
      <c r="N13526" s="676"/>
    </row>
    <row r="13527" spans="14:14" x14ac:dyDescent="0.35">
      <c r="N13527" s="676"/>
    </row>
    <row r="13528" spans="14:14" x14ac:dyDescent="0.35">
      <c r="N13528" s="676"/>
    </row>
    <row r="13529" spans="14:14" x14ac:dyDescent="0.35">
      <c r="N13529" s="676"/>
    </row>
    <row r="13530" spans="14:14" x14ac:dyDescent="0.35">
      <c r="N13530" s="676"/>
    </row>
    <row r="13531" spans="14:14" x14ac:dyDescent="0.35">
      <c r="N13531" s="676"/>
    </row>
    <row r="13532" spans="14:14" x14ac:dyDescent="0.35">
      <c r="N13532" s="676"/>
    </row>
    <row r="13533" spans="14:14" x14ac:dyDescent="0.35">
      <c r="N13533" s="676"/>
    </row>
    <row r="13534" spans="14:14" x14ac:dyDescent="0.35">
      <c r="N13534" s="676"/>
    </row>
    <row r="13535" spans="14:14" x14ac:dyDescent="0.35">
      <c r="N13535" s="676"/>
    </row>
    <row r="13536" spans="14:14" x14ac:dyDescent="0.35">
      <c r="N13536" s="676"/>
    </row>
    <row r="13537" spans="14:14" x14ac:dyDescent="0.35">
      <c r="N13537" s="676"/>
    </row>
    <row r="13538" spans="14:14" x14ac:dyDescent="0.35">
      <c r="N13538" s="676"/>
    </row>
    <row r="13539" spans="14:14" x14ac:dyDescent="0.35">
      <c r="N13539" s="676"/>
    </row>
    <row r="13540" spans="14:14" x14ac:dyDescent="0.35">
      <c r="N13540" s="676"/>
    </row>
    <row r="13541" spans="14:14" x14ac:dyDescent="0.35">
      <c r="N13541" s="676"/>
    </row>
    <row r="13542" spans="14:14" x14ac:dyDescent="0.35">
      <c r="N13542" s="676"/>
    </row>
    <row r="13543" spans="14:14" x14ac:dyDescent="0.35">
      <c r="N13543" s="676"/>
    </row>
    <row r="13544" spans="14:14" x14ac:dyDescent="0.35">
      <c r="N13544" s="676"/>
    </row>
    <row r="13545" spans="14:14" x14ac:dyDescent="0.35">
      <c r="N13545" s="676"/>
    </row>
    <row r="13546" spans="14:14" x14ac:dyDescent="0.35">
      <c r="N13546" s="676"/>
    </row>
    <row r="13547" spans="14:14" x14ac:dyDescent="0.35">
      <c r="N13547" s="676"/>
    </row>
    <row r="13548" spans="14:14" x14ac:dyDescent="0.35">
      <c r="N13548" s="676"/>
    </row>
    <row r="13549" spans="14:14" x14ac:dyDescent="0.35">
      <c r="N13549" s="676"/>
    </row>
    <row r="13550" spans="14:14" x14ac:dyDescent="0.35">
      <c r="N13550" s="676"/>
    </row>
    <row r="13551" spans="14:14" x14ac:dyDescent="0.35">
      <c r="N13551" s="676"/>
    </row>
    <row r="13552" spans="14:14" x14ac:dyDescent="0.35">
      <c r="N13552" s="676"/>
    </row>
    <row r="13553" spans="14:14" x14ac:dyDescent="0.35">
      <c r="N13553" s="676"/>
    </row>
    <row r="13554" spans="14:14" x14ac:dyDescent="0.35">
      <c r="N13554" s="676"/>
    </row>
    <row r="13555" spans="14:14" x14ac:dyDescent="0.35">
      <c r="N13555" s="676"/>
    </row>
    <row r="13556" spans="14:14" x14ac:dyDescent="0.35">
      <c r="N13556" s="676"/>
    </row>
    <row r="13557" spans="14:14" x14ac:dyDescent="0.35">
      <c r="N13557" s="676"/>
    </row>
    <row r="13558" spans="14:14" x14ac:dyDescent="0.35">
      <c r="N13558" s="676"/>
    </row>
    <row r="13559" spans="14:14" x14ac:dyDescent="0.35">
      <c r="N13559" s="676"/>
    </row>
    <row r="13560" spans="14:14" x14ac:dyDescent="0.35">
      <c r="N13560" s="676"/>
    </row>
    <row r="13561" spans="14:14" x14ac:dyDescent="0.35">
      <c r="N13561" s="676"/>
    </row>
    <row r="13562" spans="14:14" x14ac:dyDescent="0.35">
      <c r="N13562" s="676"/>
    </row>
    <row r="13563" spans="14:14" x14ac:dyDescent="0.35">
      <c r="N13563" s="676"/>
    </row>
    <row r="13564" spans="14:14" x14ac:dyDescent="0.35">
      <c r="N13564" s="676"/>
    </row>
    <row r="13565" spans="14:14" x14ac:dyDescent="0.35">
      <c r="N13565" s="676"/>
    </row>
    <row r="13566" spans="14:14" x14ac:dyDescent="0.35">
      <c r="N13566" s="676"/>
    </row>
    <row r="13567" spans="14:14" x14ac:dyDescent="0.35">
      <c r="N13567" s="676"/>
    </row>
    <row r="13568" spans="14:14" x14ac:dyDescent="0.35">
      <c r="N13568" s="676"/>
    </row>
    <row r="13569" spans="14:14" x14ac:dyDescent="0.35">
      <c r="N13569" s="676"/>
    </row>
    <row r="13570" spans="14:14" x14ac:dyDescent="0.35">
      <c r="N13570" s="676"/>
    </row>
    <row r="13571" spans="14:14" x14ac:dyDescent="0.35">
      <c r="N13571" s="676"/>
    </row>
    <row r="13572" spans="14:14" x14ac:dyDescent="0.35">
      <c r="N13572" s="676"/>
    </row>
    <row r="13573" spans="14:14" x14ac:dyDescent="0.35">
      <c r="N13573" s="676"/>
    </row>
    <row r="13574" spans="14:14" x14ac:dyDescent="0.35">
      <c r="N13574" s="676"/>
    </row>
    <row r="13575" spans="14:14" x14ac:dyDescent="0.35">
      <c r="N13575" s="676"/>
    </row>
    <row r="13576" spans="14:14" x14ac:dyDescent="0.35">
      <c r="N13576" s="676"/>
    </row>
    <row r="13577" spans="14:14" x14ac:dyDescent="0.35">
      <c r="N13577" s="676"/>
    </row>
    <row r="13578" spans="14:14" x14ac:dyDescent="0.35">
      <c r="N13578" s="676"/>
    </row>
    <row r="13579" spans="14:14" x14ac:dyDescent="0.35">
      <c r="N13579" s="676"/>
    </row>
    <row r="13580" spans="14:14" x14ac:dyDescent="0.35">
      <c r="N13580" s="676"/>
    </row>
    <row r="13581" spans="14:14" x14ac:dyDescent="0.35">
      <c r="N13581" s="676"/>
    </row>
    <row r="13582" spans="14:14" x14ac:dyDescent="0.35">
      <c r="N13582" s="676"/>
    </row>
    <row r="13583" spans="14:14" x14ac:dyDescent="0.35">
      <c r="N13583" s="676"/>
    </row>
    <row r="13584" spans="14:14" x14ac:dyDescent="0.35">
      <c r="N13584" s="676"/>
    </row>
    <row r="13585" spans="14:14" x14ac:dyDescent="0.35">
      <c r="N13585" s="676"/>
    </row>
    <row r="13586" spans="14:14" x14ac:dyDescent="0.35">
      <c r="N13586" s="676"/>
    </row>
    <row r="13587" spans="14:14" x14ac:dyDescent="0.35">
      <c r="N13587" s="676"/>
    </row>
    <row r="13588" spans="14:14" x14ac:dyDescent="0.35">
      <c r="N13588" s="676"/>
    </row>
    <row r="13589" spans="14:14" x14ac:dyDescent="0.35">
      <c r="N13589" s="676"/>
    </row>
    <row r="13590" spans="14:14" x14ac:dyDescent="0.35">
      <c r="N13590" s="676"/>
    </row>
    <row r="13591" spans="14:14" x14ac:dyDescent="0.35">
      <c r="N13591" s="676"/>
    </row>
    <row r="13592" spans="14:14" x14ac:dyDescent="0.35">
      <c r="N13592" s="676"/>
    </row>
    <row r="13593" spans="14:14" x14ac:dyDescent="0.35">
      <c r="N13593" s="676"/>
    </row>
    <row r="13594" spans="14:14" x14ac:dyDescent="0.35">
      <c r="N13594" s="676"/>
    </row>
    <row r="13595" spans="14:14" x14ac:dyDescent="0.35">
      <c r="N13595" s="676"/>
    </row>
    <row r="13596" spans="14:14" x14ac:dyDescent="0.35">
      <c r="N13596" s="676"/>
    </row>
    <row r="13597" spans="14:14" x14ac:dyDescent="0.35">
      <c r="N13597" s="676"/>
    </row>
    <row r="13598" spans="14:14" x14ac:dyDescent="0.35">
      <c r="N13598" s="676"/>
    </row>
    <row r="13599" spans="14:14" x14ac:dyDescent="0.35">
      <c r="N13599" s="676"/>
    </row>
    <row r="13600" spans="14:14" x14ac:dyDescent="0.35">
      <c r="N13600" s="676"/>
    </row>
    <row r="13601" spans="14:14" x14ac:dyDescent="0.35">
      <c r="N13601" s="676"/>
    </row>
    <row r="13602" spans="14:14" x14ac:dyDescent="0.35">
      <c r="N13602" s="676"/>
    </row>
    <row r="13603" spans="14:14" x14ac:dyDescent="0.35">
      <c r="N13603" s="676"/>
    </row>
    <row r="13604" spans="14:14" x14ac:dyDescent="0.35">
      <c r="N13604" s="676"/>
    </row>
    <row r="13605" spans="14:14" x14ac:dyDescent="0.35">
      <c r="N13605" s="676"/>
    </row>
    <row r="13606" spans="14:14" x14ac:dyDescent="0.35">
      <c r="N13606" s="676"/>
    </row>
    <row r="13607" spans="14:14" x14ac:dyDescent="0.35">
      <c r="N13607" s="676"/>
    </row>
    <row r="13608" spans="14:14" x14ac:dyDescent="0.35">
      <c r="N13608" s="676"/>
    </row>
    <row r="13609" spans="14:14" x14ac:dyDescent="0.35">
      <c r="N13609" s="676"/>
    </row>
    <row r="13610" spans="14:14" x14ac:dyDescent="0.35">
      <c r="N13610" s="676"/>
    </row>
    <row r="13611" spans="14:14" x14ac:dyDescent="0.35">
      <c r="N13611" s="676"/>
    </row>
    <row r="13612" spans="14:14" x14ac:dyDescent="0.35">
      <c r="N13612" s="676"/>
    </row>
    <row r="13613" spans="14:14" x14ac:dyDescent="0.35">
      <c r="N13613" s="676"/>
    </row>
    <row r="13614" spans="14:14" x14ac:dyDescent="0.35">
      <c r="N13614" s="676"/>
    </row>
    <row r="13615" spans="14:14" x14ac:dyDescent="0.35">
      <c r="N13615" s="676"/>
    </row>
    <row r="13616" spans="14:14" x14ac:dyDescent="0.35">
      <c r="N13616" s="676"/>
    </row>
    <row r="13617" spans="14:14" x14ac:dyDescent="0.35">
      <c r="N13617" s="676"/>
    </row>
    <row r="13618" spans="14:14" x14ac:dyDescent="0.35">
      <c r="N13618" s="676"/>
    </row>
    <row r="13619" spans="14:14" x14ac:dyDescent="0.35">
      <c r="N13619" s="676"/>
    </row>
    <row r="13620" spans="14:14" x14ac:dyDescent="0.35">
      <c r="N13620" s="676"/>
    </row>
    <row r="13621" spans="14:14" x14ac:dyDescent="0.35">
      <c r="N13621" s="676"/>
    </row>
    <row r="13622" spans="14:14" x14ac:dyDescent="0.35">
      <c r="N13622" s="676"/>
    </row>
    <row r="13623" spans="14:14" x14ac:dyDescent="0.35">
      <c r="N13623" s="676"/>
    </row>
    <row r="13624" spans="14:14" x14ac:dyDescent="0.35">
      <c r="N13624" s="676"/>
    </row>
    <row r="13625" spans="14:14" x14ac:dyDescent="0.35">
      <c r="N13625" s="676"/>
    </row>
    <row r="13626" spans="14:14" x14ac:dyDescent="0.35">
      <c r="N13626" s="676"/>
    </row>
    <row r="13627" spans="14:14" x14ac:dyDescent="0.35">
      <c r="N13627" s="676"/>
    </row>
    <row r="13628" spans="14:14" x14ac:dyDescent="0.35">
      <c r="N13628" s="676"/>
    </row>
    <row r="13629" spans="14:14" x14ac:dyDescent="0.35">
      <c r="N13629" s="676"/>
    </row>
    <row r="13630" spans="14:14" x14ac:dyDescent="0.35">
      <c r="N13630" s="676"/>
    </row>
    <row r="13631" spans="14:14" x14ac:dyDescent="0.35">
      <c r="N13631" s="676"/>
    </row>
    <row r="13632" spans="14:14" x14ac:dyDescent="0.35">
      <c r="N13632" s="676"/>
    </row>
    <row r="13633" spans="14:14" x14ac:dyDescent="0.35">
      <c r="N13633" s="676"/>
    </row>
    <row r="13634" spans="14:14" x14ac:dyDescent="0.35">
      <c r="N13634" s="676"/>
    </row>
    <row r="13635" spans="14:14" x14ac:dyDescent="0.35">
      <c r="N13635" s="676"/>
    </row>
    <row r="13636" spans="14:14" x14ac:dyDescent="0.35">
      <c r="N13636" s="676"/>
    </row>
    <row r="13637" spans="14:14" x14ac:dyDescent="0.35">
      <c r="N13637" s="676"/>
    </row>
    <row r="13638" spans="14:14" x14ac:dyDescent="0.35">
      <c r="N13638" s="676"/>
    </row>
    <row r="13639" spans="14:14" x14ac:dyDescent="0.35">
      <c r="N13639" s="676"/>
    </row>
    <row r="13640" spans="14:14" x14ac:dyDescent="0.35">
      <c r="N13640" s="676"/>
    </row>
    <row r="13641" spans="14:14" x14ac:dyDescent="0.35">
      <c r="N13641" s="676"/>
    </row>
    <row r="13642" spans="14:14" x14ac:dyDescent="0.35">
      <c r="N13642" s="676"/>
    </row>
    <row r="13643" spans="14:14" x14ac:dyDescent="0.35">
      <c r="N13643" s="676"/>
    </row>
    <row r="13644" spans="14:14" x14ac:dyDescent="0.35">
      <c r="N13644" s="676"/>
    </row>
    <row r="13645" spans="14:14" x14ac:dyDescent="0.35">
      <c r="N13645" s="676"/>
    </row>
    <row r="13646" spans="14:14" x14ac:dyDescent="0.35">
      <c r="N13646" s="676"/>
    </row>
    <row r="13647" spans="14:14" x14ac:dyDescent="0.35">
      <c r="N13647" s="676"/>
    </row>
    <row r="13648" spans="14:14" x14ac:dyDescent="0.35">
      <c r="N13648" s="676"/>
    </row>
    <row r="13649" spans="14:14" x14ac:dyDescent="0.35">
      <c r="N13649" s="676"/>
    </row>
    <row r="13650" spans="14:14" x14ac:dyDescent="0.35">
      <c r="N13650" s="676"/>
    </row>
    <row r="13651" spans="14:14" x14ac:dyDescent="0.35">
      <c r="N13651" s="676"/>
    </row>
    <row r="13652" spans="14:14" x14ac:dyDescent="0.35">
      <c r="N13652" s="676"/>
    </row>
    <row r="13653" spans="14:14" x14ac:dyDescent="0.35">
      <c r="N13653" s="676"/>
    </row>
    <row r="13654" spans="14:14" x14ac:dyDescent="0.35">
      <c r="N13654" s="676"/>
    </row>
    <row r="13655" spans="14:14" x14ac:dyDescent="0.35">
      <c r="N13655" s="676"/>
    </row>
    <row r="13656" spans="14:14" x14ac:dyDescent="0.35">
      <c r="N13656" s="676"/>
    </row>
    <row r="13657" spans="14:14" x14ac:dyDescent="0.35">
      <c r="N13657" s="676"/>
    </row>
    <row r="13658" spans="14:14" x14ac:dyDescent="0.35">
      <c r="N13658" s="676"/>
    </row>
    <row r="13659" spans="14:14" x14ac:dyDescent="0.35">
      <c r="N13659" s="676"/>
    </row>
    <row r="13660" spans="14:14" x14ac:dyDescent="0.35">
      <c r="N13660" s="676"/>
    </row>
    <row r="13661" spans="14:14" x14ac:dyDescent="0.35">
      <c r="N13661" s="676"/>
    </row>
    <row r="13662" spans="14:14" x14ac:dyDescent="0.35">
      <c r="N13662" s="676"/>
    </row>
    <row r="13663" spans="14:14" x14ac:dyDescent="0.35">
      <c r="N13663" s="676"/>
    </row>
    <row r="13664" spans="14:14" x14ac:dyDescent="0.35">
      <c r="N13664" s="676"/>
    </row>
    <row r="13665" spans="14:14" x14ac:dyDescent="0.35">
      <c r="N13665" s="676"/>
    </row>
    <row r="13666" spans="14:14" x14ac:dyDescent="0.35">
      <c r="N13666" s="676"/>
    </row>
    <row r="13667" spans="14:14" x14ac:dyDescent="0.35">
      <c r="N13667" s="676"/>
    </row>
    <row r="13668" spans="14:14" x14ac:dyDescent="0.35">
      <c r="N13668" s="676"/>
    </row>
    <row r="13669" spans="14:14" x14ac:dyDescent="0.35">
      <c r="N13669" s="676"/>
    </row>
    <row r="13670" spans="14:14" x14ac:dyDescent="0.35">
      <c r="N13670" s="676"/>
    </row>
    <row r="13671" spans="14:14" x14ac:dyDescent="0.35">
      <c r="N13671" s="676"/>
    </row>
    <row r="13672" spans="14:14" x14ac:dyDescent="0.35">
      <c r="N13672" s="676"/>
    </row>
    <row r="13673" spans="14:14" x14ac:dyDescent="0.35">
      <c r="N13673" s="676"/>
    </row>
    <row r="13674" spans="14:14" x14ac:dyDescent="0.35">
      <c r="N13674" s="676"/>
    </row>
    <row r="13675" spans="14:14" x14ac:dyDescent="0.35">
      <c r="N13675" s="676"/>
    </row>
    <row r="13676" spans="14:14" x14ac:dyDescent="0.35">
      <c r="N13676" s="676"/>
    </row>
    <row r="13677" spans="14:14" x14ac:dyDescent="0.35">
      <c r="N13677" s="676"/>
    </row>
    <row r="13678" spans="14:14" x14ac:dyDescent="0.35">
      <c r="N13678" s="676"/>
    </row>
    <row r="13679" spans="14:14" x14ac:dyDescent="0.35">
      <c r="N13679" s="676"/>
    </row>
    <row r="13680" spans="14:14" x14ac:dyDescent="0.35">
      <c r="N13680" s="676"/>
    </row>
    <row r="13681" spans="14:14" x14ac:dyDescent="0.35">
      <c r="N13681" s="676"/>
    </row>
    <row r="13682" spans="14:14" x14ac:dyDescent="0.35">
      <c r="N13682" s="676"/>
    </row>
    <row r="13683" spans="14:14" x14ac:dyDescent="0.35">
      <c r="N13683" s="676"/>
    </row>
    <row r="13684" spans="14:14" x14ac:dyDescent="0.35">
      <c r="N13684" s="676"/>
    </row>
    <row r="13685" spans="14:14" x14ac:dyDescent="0.35">
      <c r="N13685" s="676"/>
    </row>
    <row r="13686" spans="14:14" x14ac:dyDescent="0.35">
      <c r="N13686" s="676"/>
    </row>
    <row r="13687" spans="14:14" x14ac:dyDescent="0.35">
      <c r="N13687" s="676"/>
    </row>
    <row r="13688" spans="14:14" x14ac:dyDescent="0.35">
      <c r="N13688" s="676"/>
    </row>
    <row r="13689" spans="14:14" x14ac:dyDescent="0.35">
      <c r="N13689" s="676"/>
    </row>
    <row r="13690" spans="14:14" x14ac:dyDescent="0.35">
      <c r="N13690" s="676"/>
    </row>
    <row r="13691" spans="14:14" x14ac:dyDescent="0.35">
      <c r="N13691" s="676"/>
    </row>
    <row r="13692" spans="14:14" x14ac:dyDescent="0.35">
      <c r="N13692" s="676"/>
    </row>
    <row r="13693" spans="14:14" x14ac:dyDescent="0.35">
      <c r="N13693" s="676"/>
    </row>
    <row r="13694" spans="14:14" x14ac:dyDescent="0.35">
      <c r="N13694" s="676"/>
    </row>
    <row r="13695" spans="14:14" x14ac:dyDescent="0.35">
      <c r="N13695" s="676"/>
    </row>
    <row r="13696" spans="14:14" x14ac:dyDescent="0.35">
      <c r="N13696" s="676"/>
    </row>
    <row r="13697" spans="14:14" x14ac:dyDescent="0.35">
      <c r="N13697" s="676"/>
    </row>
    <row r="13698" spans="14:14" x14ac:dyDescent="0.35">
      <c r="N13698" s="676"/>
    </row>
    <row r="13699" spans="14:14" x14ac:dyDescent="0.35">
      <c r="N13699" s="676"/>
    </row>
    <row r="13700" spans="14:14" x14ac:dyDescent="0.35">
      <c r="N13700" s="676"/>
    </row>
    <row r="13701" spans="14:14" x14ac:dyDescent="0.35">
      <c r="N13701" s="676"/>
    </row>
    <row r="13702" spans="14:14" x14ac:dyDescent="0.35">
      <c r="N13702" s="676"/>
    </row>
    <row r="13703" spans="14:14" x14ac:dyDescent="0.35">
      <c r="N13703" s="676"/>
    </row>
    <row r="13704" spans="14:14" x14ac:dyDescent="0.35">
      <c r="N13704" s="676"/>
    </row>
    <row r="13705" spans="14:14" x14ac:dyDescent="0.35">
      <c r="N13705" s="676"/>
    </row>
    <row r="13706" spans="14:14" x14ac:dyDescent="0.35">
      <c r="N13706" s="676"/>
    </row>
    <row r="13707" spans="14:14" x14ac:dyDescent="0.35">
      <c r="N13707" s="676"/>
    </row>
    <row r="13708" spans="14:14" x14ac:dyDescent="0.35">
      <c r="N13708" s="676"/>
    </row>
    <row r="13709" spans="14:14" x14ac:dyDescent="0.35">
      <c r="N13709" s="676"/>
    </row>
    <row r="13710" spans="14:14" x14ac:dyDescent="0.35">
      <c r="N13710" s="676"/>
    </row>
    <row r="13711" spans="14:14" x14ac:dyDescent="0.35">
      <c r="N13711" s="676"/>
    </row>
    <row r="13712" spans="14:14" x14ac:dyDescent="0.35">
      <c r="N13712" s="676"/>
    </row>
    <row r="13713" spans="14:14" x14ac:dyDescent="0.35">
      <c r="N13713" s="676"/>
    </row>
    <row r="13714" spans="14:14" x14ac:dyDescent="0.35">
      <c r="N13714" s="676"/>
    </row>
    <row r="13715" spans="14:14" x14ac:dyDescent="0.35">
      <c r="N13715" s="676"/>
    </row>
    <row r="13716" spans="14:14" x14ac:dyDescent="0.35">
      <c r="N13716" s="676"/>
    </row>
    <row r="13717" spans="14:14" x14ac:dyDescent="0.35">
      <c r="N13717" s="676"/>
    </row>
    <row r="13718" spans="14:14" x14ac:dyDescent="0.35">
      <c r="N13718" s="676"/>
    </row>
    <row r="13719" spans="14:14" x14ac:dyDescent="0.35">
      <c r="N13719" s="676"/>
    </row>
    <row r="13720" spans="14:14" x14ac:dyDescent="0.35">
      <c r="N13720" s="676"/>
    </row>
    <row r="13721" spans="14:14" x14ac:dyDescent="0.35">
      <c r="N13721" s="676"/>
    </row>
    <row r="13722" spans="14:14" x14ac:dyDescent="0.35">
      <c r="N13722" s="676"/>
    </row>
    <row r="13723" spans="14:14" x14ac:dyDescent="0.35">
      <c r="N13723" s="676"/>
    </row>
    <row r="13724" spans="14:14" x14ac:dyDescent="0.35">
      <c r="N13724" s="676"/>
    </row>
    <row r="13725" spans="14:14" x14ac:dyDescent="0.35">
      <c r="N13725" s="676"/>
    </row>
    <row r="13726" spans="14:14" x14ac:dyDescent="0.35">
      <c r="N13726" s="676"/>
    </row>
    <row r="13727" spans="14:14" x14ac:dyDescent="0.35">
      <c r="N13727" s="676"/>
    </row>
    <row r="13728" spans="14:14" x14ac:dyDescent="0.35">
      <c r="N13728" s="676"/>
    </row>
    <row r="13729" spans="14:14" x14ac:dyDescent="0.35">
      <c r="N13729" s="676"/>
    </row>
    <row r="13730" spans="14:14" x14ac:dyDescent="0.35">
      <c r="N13730" s="676"/>
    </row>
    <row r="13731" spans="14:14" x14ac:dyDescent="0.35">
      <c r="N13731" s="676"/>
    </row>
    <row r="13732" spans="14:14" x14ac:dyDescent="0.35">
      <c r="N13732" s="676"/>
    </row>
    <row r="13733" spans="14:14" x14ac:dyDescent="0.35">
      <c r="N13733" s="676"/>
    </row>
    <row r="13734" spans="14:14" x14ac:dyDescent="0.35">
      <c r="N13734" s="676"/>
    </row>
    <row r="13735" spans="14:14" x14ac:dyDescent="0.35">
      <c r="N13735" s="676"/>
    </row>
    <row r="13736" spans="14:14" x14ac:dyDescent="0.35">
      <c r="N13736" s="676"/>
    </row>
    <row r="13737" spans="14:14" x14ac:dyDescent="0.35">
      <c r="N13737" s="676"/>
    </row>
    <row r="13738" spans="14:14" x14ac:dyDescent="0.35">
      <c r="N13738" s="676"/>
    </row>
    <row r="13739" spans="14:14" x14ac:dyDescent="0.35">
      <c r="N13739" s="676"/>
    </row>
    <row r="13740" spans="14:14" x14ac:dyDescent="0.35">
      <c r="N13740" s="676"/>
    </row>
    <row r="13741" spans="14:14" x14ac:dyDescent="0.35">
      <c r="N13741" s="676"/>
    </row>
    <row r="13742" spans="14:14" x14ac:dyDescent="0.35">
      <c r="N13742" s="676"/>
    </row>
    <row r="13743" spans="14:14" x14ac:dyDescent="0.35">
      <c r="N13743" s="676"/>
    </row>
    <row r="13744" spans="14:14" x14ac:dyDescent="0.35">
      <c r="N13744" s="676"/>
    </row>
    <row r="13745" spans="14:14" x14ac:dyDescent="0.35">
      <c r="N13745" s="676"/>
    </row>
    <row r="13746" spans="14:14" x14ac:dyDescent="0.35">
      <c r="N13746" s="676"/>
    </row>
    <row r="13747" spans="14:14" x14ac:dyDescent="0.35">
      <c r="N13747" s="676"/>
    </row>
    <row r="13748" spans="14:14" x14ac:dyDescent="0.35">
      <c r="N13748" s="676"/>
    </row>
    <row r="13749" spans="14:14" x14ac:dyDescent="0.35">
      <c r="N13749" s="676"/>
    </row>
    <row r="13750" spans="14:14" x14ac:dyDescent="0.35">
      <c r="N13750" s="676"/>
    </row>
    <row r="13751" spans="14:14" x14ac:dyDescent="0.35">
      <c r="N13751" s="676"/>
    </row>
    <row r="13752" spans="14:14" x14ac:dyDescent="0.35">
      <c r="N13752" s="676"/>
    </row>
    <row r="13753" spans="14:14" x14ac:dyDescent="0.35">
      <c r="N13753" s="676"/>
    </row>
    <row r="13754" spans="14:14" x14ac:dyDescent="0.35">
      <c r="N13754" s="676"/>
    </row>
    <row r="13755" spans="14:14" x14ac:dyDescent="0.35">
      <c r="N13755" s="676"/>
    </row>
    <row r="13756" spans="14:14" x14ac:dyDescent="0.35">
      <c r="N13756" s="676"/>
    </row>
    <row r="13757" spans="14:14" x14ac:dyDescent="0.35">
      <c r="N13757" s="676"/>
    </row>
    <row r="13758" spans="14:14" x14ac:dyDescent="0.35">
      <c r="N13758" s="676"/>
    </row>
    <row r="13759" spans="14:14" x14ac:dyDescent="0.35">
      <c r="N13759" s="676"/>
    </row>
    <row r="13760" spans="14:14" x14ac:dyDescent="0.35">
      <c r="N13760" s="676"/>
    </row>
    <row r="13761" spans="14:14" x14ac:dyDescent="0.35">
      <c r="N13761" s="676"/>
    </row>
    <row r="13762" spans="14:14" x14ac:dyDescent="0.35">
      <c r="N13762" s="676"/>
    </row>
    <row r="13763" spans="14:14" x14ac:dyDescent="0.35">
      <c r="N13763" s="676"/>
    </row>
    <row r="13764" spans="14:14" x14ac:dyDescent="0.35">
      <c r="N13764" s="676"/>
    </row>
    <row r="13765" spans="14:14" x14ac:dyDescent="0.35">
      <c r="N13765" s="676"/>
    </row>
    <row r="13766" spans="14:14" x14ac:dyDescent="0.35">
      <c r="N13766" s="676"/>
    </row>
    <row r="13767" spans="14:14" x14ac:dyDescent="0.35">
      <c r="N13767" s="676"/>
    </row>
    <row r="13768" spans="14:14" x14ac:dyDescent="0.35">
      <c r="N13768" s="676"/>
    </row>
    <row r="13769" spans="14:14" x14ac:dyDescent="0.35">
      <c r="N13769" s="676"/>
    </row>
    <row r="13770" spans="14:14" x14ac:dyDescent="0.35">
      <c r="N13770" s="676"/>
    </row>
    <row r="13771" spans="14:14" x14ac:dyDescent="0.35">
      <c r="N13771" s="676"/>
    </row>
    <row r="13772" spans="14:14" x14ac:dyDescent="0.35">
      <c r="N13772" s="676"/>
    </row>
    <row r="13773" spans="14:14" x14ac:dyDescent="0.35">
      <c r="N13773" s="676"/>
    </row>
    <row r="13774" spans="14:14" x14ac:dyDescent="0.35">
      <c r="N13774" s="676"/>
    </row>
    <row r="13775" spans="14:14" x14ac:dyDescent="0.35">
      <c r="N13775" s="676"/>
    </row>
    <row r="13776" spans="14:14" x14ac:dyDescent="0.35">
      <c r="N13776" s="676"/>
    </row>
    <row r="13777" spans="14:14" x14ac:dyDescent="0.35">
      <c r="N13777" s="676"/>
    </row>
    <row r="13778" spans="14:14" x14ac:dyDescent="0.35">
      <c r="N13778" s="676"/>
    </row>
    <row r="13779" spans="14:14" x14ac:dyDescent="0.35">
      <c r="N13779" s="676"/>
    </row>
    <row r="13780" spans="14:14" x14ac:dyDescent="0.35">
      <c r="N13780" s="676"/>
    </row>
    <row r="13781" spans="14:14" x14ac:dyDescent="0.35">
      <c r="N13781" s="676"/>
    </row>
    <row r="13782" spans="14:14" x14ac:dyDescent="0.35">
      <c r="N13782" s="676"/>
    </row>
    <row r="13783" spans="14:14" x14ac:dyDescent="0.35">
      <c r="N13783" s="676"/>
    </row>
    <row r="13784" spans="14:14" x14ac:dyDescent="0.35">
      <c r="N13784" s="676"/>
    </row>
    <row r="13785" spans="14:14" x14ac:dyDescent="0.35">
      <c r="N13785" s="676"/>
    </row>
    <row r="13786" spans="14:14" x14ac:dyDescent="0.35">
      <c r="N13786" s="676"/>
    </row>
    <row r="13787" spans="14:14" x14ac:dyDescent="0.35">
      <c r="N13787" s="676"/>
    </row>
    <row r="13788" spans="14:14" x14ac:dyDescent="0.35">
      <c r="N13788" s="676"/>
    </row>
    <row r="13789" spans="14:14" x14ac:dyDescent="0.35">
      <c r="N13789" s="676"/>
    </row>
    <row r="13790" spans="14:14" x14ac:dyDescent="0.35">
      <c r="N13790" s="676"/>
    </row>
    <row r="13791" spans="14:14" x14ac:dyDescent="0.35">
      <c r="N13791" s="676"/>
    </row>
    <row r="13792" spans="14:14" x14ac:dyDescent="0.35">
      <c r="N13792" s="676"/>
    </row>
    <row r="13793" spans="14:14" x14ac:dyDescent="0.35">
      <c r="N13793" s="676"/>
    </row>
    <row r="13794" spans="14:14" x14ac:dyDescent="0.35">
      <c r="N13794" s="676"/>
    </row>
    <row r="13795" spans="14:14" x14ac:dyDescent="0.35">
      <c r="N13795" s="676"/>
    </row>
    <row r="13796" spans="14:14" x14ac:dyDescent="0.35">
      <c r="N13796" s="676"/>
    </row>
    <row r="13797" spans="14:14" x14ac:dyDescent="0.35">
      <c r="N13797" s="676"/>
    </row>
    <row r="13798" spans="14:14" x14ac:dyDescent="0.35">
      <c r="N13798" s="676"/>
    </row>
    <row r="13799" spans="14:14" x14ac:dyDescent="0.35">
      <c r="N13799" s="676"/>
    </row>
    <row r="13800" spans="14:14" x14ac:dyDescent="0.35">
      <c r="N13800" s="676"/>
    </row>
    <row r="13801" spans="14:14" x14ac:dyDescent="0.35">
      <c r="N13801" s="676"/>
    </row>
    <row r="13802" spans="14:14" x14ac:dyDescent="0.35">
      <c r="N13802" s="676"/>
    </row>
    <row r="13803" spans="14:14" x14ac:dyDescent="0.35">
      <c r="N13803" s="676"/>
    </row>
    <row r="13804" spans="14:14" x14ac:dyDescent="0.35">
      <c r="N13804" s="676"/>
    </row>
    <row r="13805" spans="14:14" x14ac:dyDescent="0.35">
      <c r="N13805" s="676"/>
    </row>
    <row r="13806" spans="14:14" x14ac:dyDescent="0.35">
      <c r="N13806" s="676"/>
    </row>
    <row r="13807" spans="14:14" x14ac:dyDescent="0.35">
      <c r="N13807" s="676"/>
    </row>
    <row r="13808" spans="14:14" x14ac:dyDescent="0.35">
      <c r="N13808" s="676"/>
    </row>
    <row r="13809" spans="14:14" x14ac:dyDescent="0.35">
      <c r="N13809" s="676"/>
    </row>
    <row r="13810" spans="14:14" x14ac:dyDescent="0.35">
      <c r="N13810" s="676"/>
    </row>
    <row r="13811" spans="14:14" x14ac:dyDescent="0.35">
      <c r="N13811" s="676"/>
    </row>
    <row r="13812" spans="14:14" x14ac:dyDescent="0.35">
      <c r="N13812" s="676"/>
    </row>
    <row r="13813" spans="14:14" x14ac:dyDescent="0.35">
      <c r="N13813" s="676"/>
    </row>
    <row r="13814" spans="14:14" x14ac:dyDescent="0.35">
      <c r="N13814" s="676"/>
    </row>
    <row r="13815" spans="14:14" x14ac:dyDescent="0.35">
      <c r="N13815" s="676"/>
    </row>
    <row r="13816" spans="14:14" x14ac:dyDescent="0.35">
      <c r="N13816" s="676"/>
    </row>
    <row r="13817" spans="14:14" x14ac:dyDescent="0.35">
      <c r="N13817" s="676"/>
    </row>
    <row r="13818" spans="14:14" x14ac:dyDescent="0.35">
      <c r="N13818" s="676"/>
    </row>
    <row r="13819" spans="14:14" x14ac:dyDescent="0.35">
      <c r="N13819" s="676"/>
    </row>
    <row r="13820" spans="14:14" x14ac:dyDescent="0.35">
      <c r="N13820" s="676"/>
    </row>
    <row r="13821" spans="14:14" x14ac:dyDescent="0.35">
      <c r="N13821" s="676"/>
    </row>
    <row r="13822" spans="14:14" x14ac:dyDescent="0.35">
      <c r="N13822" s="676"/>
    </row>
    <row r="13823" spans="14:14" x14ac:dyDescent="0.35">
      <c r="N13823" s="676"/>
    </row>
    <row r="13824" spans="14:14" x14ac:dyDescent="0.35">
      <c r="N13824" s="676"/>
    </row>
    <row r="13825" spans="14:14" x14ac:dyDescent="0.35">
      <c r="N13825" s="676"/>
    </row>
    <row r="13826" spans="14:14" x14ac:dyDescent="0.35">
      <c r="N13826" s="676"/>
    </row>
    <row r="13827" spans="14:14" x14ac:dyDescent="0.35">
      <c r="N13827" s="676"/>
    </row>
    <row r="13828" spans="14:14" x14ac:dyDescent="0.35">
      <c r="N13828" s="676"/>
    </row>
    <row r="13829" spans="14:14" x14ac:dyDescent="0.35">
      <c r="N13829" s="676"/>
    </row>
    <row r="13830" spans="14:14" x14ac:dyDescent="0.35">
      <c r="N13830" s="676"/>
    </row>
    <row r="13831" spans="14:14" x14ac:dyDescent="0.35">
      <c r="N13831" s="676"/>
    </row>
    <row r="13832" spans="14:14" x14ac:dyDescent="0.35">
      <c r="N13832" s="676"/>
    </row>
    <row r="13833" spans="14:14" x14ac:dyDescent="0.35">
      <c r="N13833" s="676"/>
    </row>
    <row r="13834" spans="14:14" x14ac:dyDescent="0.35">
      <c r="N13834" s="676"/>
    </row>
    <row r="13835" spans="14:14" x14ac:dyDescent="0.35">
      <c r="N13835" s="676"/>
    </row>
    <row r="13836" spans="14:14" x14ac:dyDescent="0.35">
      <c r="N13836" s="676"/>
    </row>
    <row r="13837" spans="14:14" x14ac:dyDescent="0.35">
      <c r="N13837" s="676"/>
    </row>
    <row r="13838" spans="14:14" x14ac:dyDescent="0.35">
      <c r="N13838" s="676"/>
    </row>
    <row r="13839" spans="14:14" x14ac:dyDescent="0.35">
      <c r="N13839" s="676"/>
    </row>
    <row r="13840" spans="14:14" x14ac:dyDescent="0.35">
      <c r="N13840" s="676"/>
    </row>
    <row r="13841" spans="14:14" x14ac:dyDescent="0.35">
      <c r="N13841" s="676"/>
    </row>
    <row r="13842" spans="14:14" x14ac:dyDescent="0.35">
      <c r="N13842" s="676"/>
    </row>
    <row r="13843" spans="14:14" x14ac:dyDescent="0.35">
      <c r="N13843" s="676"/>
    </row>
    <row r="13844" spans="14:14" x14ac:dyDescent="0.35">
      <c r="N13844" s="676"/>
    </row>
    <row r="13845" spans="14:14" x14ac:dyDescent="0.35">
      <c r="N13845" s="676"/>
    </row>
    <row r="13846" spans="14:14" x14ac:dyDescent="0.35">
      <c r="N13846" s="676"/>
    </row>
    <row r="13847" spans="14:14" x14ac:dyDescent="0.35">
      <c r="N13847" s="676"/>
    </row>
    <row r="13848" spans="14:14" x14ac:dyDescent="0.35">
      <c r="N13848" s="676"/>
    </row>
    <row r="13849" spans="14:14" x14ac:dyDescent="0.35">
      <c r="N13849" s="676"/>
    </row>
    <row r="13850" spans="14:14" x14ac:dyDescent="0.35">
      <c r="N13850" s="676"/>
    </row>
    <row r="13851" spans="14:14" x14ac:dyDescent="0.35">
      <c r="N13851" s="676"/>
    </row>
    <row r="13852" spans="14:14" x14ac:dyDescent="0.35">
      <c r="N13852" s="676"/>
    </row>
    <row r="13853" spans="14:14" x14ac:dyDescent="0.35">
      <c r="N13853" s="676"/>
    </row>
    <row r="13854" spans="14:14" x14ac:dyDescent="0.35">
      <c r="N13854" s="676"/>
    </row>
    <row r="13855" spans="14:14" x14ac:dyDescent="0.35">
      <c r="N13855" s="676"/>
    </row>
    <row r="13856" spans="14:14" x14ac:dyDescent="0.35">
      <c r="N13856" s="676"/>
    </row>
    <row r="13857" spans="14:14" x14ac:dyDescent="0.35">
      <c r="N13857" s="676"/>
    </row>
    <row r="13858" spans="14:14" x14ac:dyDescent="0.35">
      <c r="N13858" s="676"/>
    </row>
    <row r="13859" spans="14:14" x14ac:dyDescent="0.35">
      <c r="N13859" s="676"/>
    </row>
    <row r="13860" spans="14:14" x14ac:dyDescent="0.35">
      <c r="N13860" s="676"/>
    </row>
    <row r="13861" spans="14:14" x14ac:dyDescent="0.35">
      <c r="N13861" s="676"/>
    </row>
    <row r="13862" spans="14:14" x14ac:dyDescent="0.35">
      <c r="N13862" s="676"/>
    </row>
    <row r="13863" spans="14:14" x14ac:dyDescent="0.35">
      <c r="N13863" s="676"/>
    </row>
    <row r="13864" spans="14:14" x14ac:dyDescent="0.35">
      <c r="N13864" s="676"/>
    </row>
    <row r="13865" spans="14:14" x14ac:dyDescent="0.35">
      <c r="N13865" s="676"/>
    </row>
    <row r="13866" spans="14:14" x14ac:dyDescent="0.35">
      <c r="N13866" s="676"/>
    </row>
    <row r="13867" spans="14:14" x14ac:dyDescent="0.35">
      <c r="N13867" s="676"/>
    </row>
    <row r="13868" spans="14:14" x14ac:dyDescent="0.35">
      <c r="N13868" s="676"/>
    </row>
    <row r="13869" spans="14:14" x14ac:dyDescent="0.35">
      <c r="N13869" s="676"/>
    </row>
    <row r="13870" spans="14:14" x14ac:dyDescent="0.35">
      <c r="N13870" s="676"/>
    </row>
    <row r="13871" spans="14:14" x14ac:dyDescent="0.35">
      <c r="N13871" s="676"/>
    </row>
    <row r="13872" spans="14:14" x14ac:dyDescent="0.35">
      <c r="N13872" s="676"/>
    </row>
    <row r="13873" spans="14:14" x14ac:dyDescent="0.35">
      <c r="N13873" s="676"/>
    </row>
    <row r="13874" spans="14:14" x14ac:dyDescent="0.35">
      <c r="N13874" s="676"/>
    </row>
    <row r="13875" spans="14:14" x14ac:dyDescent="0.35">
      <c r="N13875" s="676"/>
    </row>
    <row r="13876" spans="14:14" x14ac:dyDescent="0.35">
      <c r="N13876" s="676"/>
    </row>
    <row r="13877" spans="14:14" x14ac:dyDescent="0.35">
      <c r="N13877" s="676"/>
    </row>
    <row r="13878" spans="14:14" x14ac:dyDescent="0.35">
      <c r="N13878" s="676"/>
    </row>
    <row r="13879" spans="14:14" x14ac:dyDescent="0.35">
      <c r="N13879" s="676"/>
    </row>
    <row r="13880" spans="14:14" x14ac:dyDescent="0.35">
      <c r="N13880" s="676"/>
    </row>
    <row r="13881" spans="14:14" x14ac:dyDescent="0.35">
      <c r="N13881" s="676"/>
    </row>
    <row r="13882" spans="14:14" x14ac:dyDescent="0.35">
      <c r="N13882" s="676"/>
    </row>
    <row r="13883" spans="14:14" x14ac:dyDescent="0.35">
      <c r="N13883" s="676"/>
    </row>
    <row r="13884" spans="14:14" x14ac:dyDescent="0.35">
      <c r="N13884" s="676"/>
    </row>
    <row r="13885" spans="14:14" x14ac:dyDescent="0.35">
      <c r="N13885" s="676"/>
    </row>
    <row r="13886" spans="14:14" x14ac:dyDescent="0.35">
      <c r="N13886" s="676"/>
    </row>
    <row r="13887" spans="14:14" x14ac:dyDescent="0.35">
      <c r="N13887" s="676"/>
    </row>
    <row r="13888" spans="14:14" x14ac:dyDescent="0.35">
      <c r="N13888" s="676"/>
    </row>
    <row r="13889" spans="14:14" x14ac:dyDescent="0.35">
      <c r="N13889" s="676"/>
    </row>
    <row r="13890" spans="14:14" x14ac:dyDescent="0.35">
      <c r="N13890" s="676"/>
    </row>
    <row r="13891" spans="14:14" x14ac:dyDescent="0.35">
      <c r="N13891" s="676"/>
    </row>
    <row r="13892" spans="14:14" x14ac:dyDescent="0.35">
      <c r="N13892" s="676"/>
    </row>
    <row r="13893" spans="14:14" x14ac:dyDescent="0.35">
      <c r="N13893" s="676"/>
    </row>
    <row r="13894" spans="14:14" x14ac:dyDescent="0.35">
      <c r="N13894" s="676"/>
    </row>
    <row r="13895" spans="14:14" x14ac:dyDescent="0.35">
      <c r="N13895" s="676"/>
    </row>
    <row r="13896" spans="14:14" x14ac:dyDescent="0.35">
      <c r="N13896" s="676"/>
    </row>
    <row r="13897" spans="14:14" x14ac:dyDescent="0.35">
      <c r="N13897" s="676"/>
    </row>
    <row r="13898" spans="14:14" x14ac:dyDescent="0.35">
      <c r="N13898" s="676"/>
    </row>
    <row r="13899" spans="14:14" x14ac:dyDescent="0.35">
      <c r="N13899" s="676"/>
    </row>
    <row r="13900" spans="14:14" x14ac:dyDescent="0.35">
      <c r="N13900" s="676"/>
    </row>
    <row r="13901" spans="14:14" x14ac:dyDescent="0.35">
      <c r="N13901" s="676"/>
    </row>
    <row r="13902" spans="14:14" x14ac:dyDescent="0.35">
      <c r="N13902" s="676"/>
    </row>
    <row r="13903" spans="14:14" x14ac:dyDescent="0.35">
      <c r="N13903" s="676"/>
    </row>
    <row r="13904" spans="14:14" x14ac:dyDescent="0.35">
      <c r="N13904" s="676"/>
    </row>
    <row r="13905" spans="14:14" x14ac:dyDescent="0.35">
      <c r="N13905" s="676"/>
    </row>
    <row r="13906" spans="14:14" x14ac:dyDescent="0.35">
      <c r="N13906" s="676"/>
    </row>
    <row r="13907" spans="14:14" x14ac:dyDescent="0.35">
      <c r="N13907" s="676"/>
    </row>
    <row r="13908" spans="14:14" x14ac:dyDescent="0.35">
      <c r="N13908" s="676"/>
    </row>
    <row r="13909" spans="14:14" x14ac:dyDescent="0.35">
      <c r="N13909" s="676"/>
    </row>
    <row r="13910" spans="14:14" x14ac:dyDescent="0.35">
      <c r="N13910" s="676"/>
    </row>
    <row r="13911" spans="14:14" x14ac:dyDescent="0.35">
      <c r="N13911" s="676"/>
    </row>
    <row r="13912" spans="14:14" x14ac:dyDescent="0.35">
      <c r="N13912" s="676"/>
    </row>
    <row r="13913" spans="14:14" x14ac:dyDescent="0.35">
      <c r="N13913" s="676"/>
    </row>
    <row r="13914" spans="14:14" x14ac:dyDescent="0.35">
      <c r="N13914" s="676"/>
    </row>
    <row r="13915" spans="14:14" x14ac:dyDescent="0.35">
      <c r="N13915" s="676"/>
    </row>
    <row r="13916" spans="14:14" x14ac:dyDescent="0.35">
      <c r="N13916" s="676"/>
    </row>
    <row r="13917" spans="14:14" x14ac:dyDescent="0.35">
      <c r="N13917" s="676"/>
    </row>
    <row r="13918" spans="14:14" x14ac:dyDescent="0.35">
      <c r="N13918" s="676"/>
    </row>
    <row r="13919" spans="14:14" x14ac:dyDescent="0.35">
      <c r="N13919" s="676"/>
    </row>
    <row r="13920" spans="14:14" x14ac:dyDescent="0.35">
      <c r="N13920" s="676"/>
    </row>
    <row r="13921" spans="14:14" x14ac:dyDescent="0.35">
      <c r="N13921" s="676"/>
    </row>
    <row r="13922" spans="14:14" x14ac:dyDescent="0.35">
      <c r="N13922" s="676"/>
    </row>
    <row r="13923" spans="14:14" x14ac:dyDescent="0.35">
      <c r="N13923" s="676"/>
    </row>
    <row r="13924" spans="14:14" x14ac:dyDescent="0.35">
      <c r="N13924" s="676"/>
    </row>
    <row r="13925" spans="14:14" x14ac:dyDescent="0.35">
      <c r="N13925" s="676"/>
    </row>
    <row r="13926" spans="14:14" x14ac:dyDescent="0.35">
      <c r="N13926" s="676"/>
    </row>
    <row r="13927" spans="14:14" x14ac:dyDescent="0.35">
      <c r="N13927" s="676"/>
    </row>
    <row r="13928" spans="14:14" x14ac:dyDescent="0.35">
      <c r="N13928" s="676"/>
    </row>
    <row r="13929" spans="14:14" x14ac:dyDescent="0.35">
      <c r="N13929" s="676"/>
    </row>
    <row r="13930" spans="14:14" x14ac:dyDescent="0.35">
      <c r="N13930" s="676"/>
    </row>
    <row r="13931" spans="14:14" x14ac:dyDescent="0.35">
      <c r="N13931" s="676"/>
    </row>
    <row r="13932" spans="14:14" x14ac:dyDescent="0.35">
      <c r="N13932" s="676"/>
    </row>
    <row r="13933" spans="14:14" x14ac:dyDescent="0.35">
      <c r="N13933" s="676"/>
    </row>
    <row r="13934" spans="14:14" x14ac:dyDescent="0.35">
      <c r="N13934" s="676"/>
    </row>
    <row r="13935" spans="14:14" x14ac:dyDescent="0.35">
      <c r="N13935" s="676"/>
    </row>
    <row r="13936" spans="14:14" x14ac:dyDescent="0.35">
      <c r="N13936" s="676"/>
    </row>
    <row r="13937" spans="14:14" x14ac:dyDescent="0.35">
      <c r="N13937" s="676"/>
    </row>
    <row r="13938" spans="14:14" x14ac:dyDescent="0.35">
      <c r="N13938" s="676"/>
    </row>
    <row r="13939" spans="14:14" x14ac:dyDescent="0.35">
      <c r="N13939" s="676"/>
    </row>
    <row r="13940" spans="14:14" x14ac:dyDescent="0.35">
      <c r="N13940" s="676"/>
    </row>
    <row r="13941" spans="14:14" x14ac:dyDescent="0.35">
      <c r="N13941" s="676"/>
    </row>
    <row r="13942" spans="14:14" x14ac:dyDescent="0.35">
      <c r="N13942" s="676"/>
    </row>
    <row r="13943" spans="14:14" x14ac:dyDescent="0.35">
      <c r="N13943" s="676"/>
    </row>
    <row r="13944" spans="14:14" x14ac:dyDescent="0.35">
      <c r="N13944" s="676"/>
    </row>
    <row r="13945" spans="14:14" x14ac:dyDescent="0.35">
      <c r="N13945" s="676"/>
    </row>
    <row r="13946" spans="14:14" x14ac:dyDescent="0.35">
      <c r="N13946" s="676"/>
    </row>
    <row r="13947" spans="14:14" x14ac:dyDescent="0.35">
      <c r="N13947" s="676"/>
    </row>
    <row r="13948" spans="14:14" x14ac:dyDescent="0.35">
      <c r="N13948" s="676"/>
    </row>
    <row r="13949" spans="14:14" x14ac:dyDescent="0.35">
      <c r="N13949" s="676"/>
    </row>
    <row r="13950" spans="14:14" x14ac:dyDescent="0.35">
      <c r="N13950" s="676"/>
    </row>
    <row r="13951" spans="14:14" x14ac:dyDescent="0.35">
      <c r="N13951" s="676"/>
    </row>
    <row r="13952" spans="14:14" x14ac:dyDescent="0.35">
      <c r="N13952" s="676"/>
    </row>
    <row r="13953" spans="14:14" x14ac:dyDescent="0.35">
      <c r="N13953" s="676"/>
    </row>
    <row r="13954" spans="14:14" x14ac:dyDescent="0.35">
      <c r="N13954" s="676"/>
    </row>
    <row r="13955" spans="14:14" x14ac:dyDescent="0.35">
      <c r="N13955" s="676"/>
    </row>
    <row r="13956" spans="14:14" x14ac:dyDescent="0.35">
      <c r="N13956" s="676"/>
    </row>
    <row r="13957" spans="14:14" x14ac:dyDescent="0.35">
      <c r="N13957" s="676"/>
    </row>
    <row r="13958" spans="14:14" x14ac:dyDescent="0.35">
      <c r="N13958" s="676"/>
    </row>
    <row r="13959" spans="14:14" x14ac:dyDescent="0.35">
      <c r="N13959" s="676"/>
    </row>
    <row r="13960" spans="14:14" x14ac:dyDescent="0.35">
      <c r="N13960" s="676"/>
    </row>
    <row r="13961" spans="14:14" x14ac:dyDescent="0.35">
      <c r="N13961" s="676"/>
    </row>
    <row r="13962" spans="14:14" x14ac:dyDescent="0.35">
      <c r="N13962" s="676"/>
    </row>
    <row r="13963" spans="14:14" x14ac:dyDescent="0.35">
      <c r="N13963" s="676"/>
    </row>
    <row r="13964" spans="14:14" x14ac:dyDescent="0.35">
      <c r="N13964" s="676"/>
    </row>
    <row r="13965" spans="14:14" x14ac:dyDescent="0.35">
      <c r="N13965" s="676"/>
    </row>
    <row r="13966" spans="14:14" x14ac:dyDescent="0.35">
      <c r="N13966" s="676"/>
    </row>
    <row r="13967" spans="14:14" x14ac:dyDescent="0.35">
      <c r="N13967" s="676"/>
    </row>
    <row r="13968" spans="14:14" x14ac:dyDescent="0.35">
      <c r="N13968" s="676"/>
    </row>
    <row r="13969" spans="14:14" x14ac:dyDescent="0.35">
      <c r="N13969" s="676"/>
    </row>
    <row r="13970" spans="14:14" x14ac:dyDescent="0.35">
      <c r="N13970" s="676"/>
    </row>
    <row r="13971" spans="14:14" x14ac:dyDescent="0.35">
      <c r="N13971" s="676"/>
    </row>
    <row r="13972" spans="14:14" x14ac:dyDescent="0.35">
      <c r="N13972" s="676"/>
    </row>
    <row r="13973" spans="14:14" x14ac:dyDescent="0.35">
      <c r="N13973" s="676"/>
    </row>
    <row r="13974" spans="14:14" x14ac:dyDescent="0.35">
      <c r="N13974" s="676"/>
    </row>
    <row r="13975" spans="14:14" x14ac:dyDescent="0.35">
      <c r="N13975" s="676"/>
    </row>
    <row r="13976" spans="14:14" x14ac:dyDescent="0.35">
      <c r="N13976" s="676"/>
    </row>
    <row r="13977" spans="14:14" x14ac:dyDescent="0.35">
      <c r="N13977" s="676"/>
    </row>
    <row r="13978" spans="14:14" x14ac:dyDescent="0.35">
      <c r="N13978" s="676"/>
    </row>
    <row r="13979" spans="14:14" x14ac:dyDescent="0.35">
      <c r="N13979" s="676"/>
    </row>
    <row r="13980" spans="14:14" x14ac:dyDescent="0.35">
      <c r="N13980" s="676"/>
    </row>
    <row r="13981" spans="14:14" x14ac:dyDescent="0.35">
      <c r="N13981" s="676"/>
    </row>
    <row r="13982" spans="14:14" x14ac:dyDescent="0.35">
      <c r="N13982" s="676"/>
    </row>
    <row r="13983" spans="14:14" x14ac:dyDescent="0.35">
      <c r="N13983" s="676"/>
    </row>
    <row r="13984" spans="14:14" x14ac:dyDescent="0.35">
      <c r="N13984" s="676"/>
    </row>
    <row r="13985" spans="14:14" x14ac:dyDescent="0.35">
      <c r="N13985" s="676"/>
    </row>
    <row r="13986" spans="14:14" x14ac:dyDescent="0.35">
      <c r="N13986" s="676"/>
    </row>
    <row r="13987" spans="14:14" x14ac:dyDescent="0.35">
      <c r="N13987" s="676"/>
    </row>
    <row r="13988" spans="14:14" x14ac:dyDescent="0.35">
      <c r="N13988" s="676"/>
    </row>
    <row r="13989" spans="14:14" x14ac:dyDescent="0.35">
      <c r="N13989" s="676"/>
    </row>
    <row r="13990" spans="14:14" x14ac:dyDescent="0.35">
      <c r="N13990" s="676"/>
    </row>
    <row r="13991" spans="14:14" x14ac:dyDescent="0.35">
      <c r="N13991" s="676"/>
    </row>
    <row r="13992" spans="14:14" x14ac:dyDescent="0.35">
      <c r="N13992" s="676"/>
    </row>
    <row r="13993" spans="14:14" x14ac:dyDescent="0.35">
      <c r="N13993" s="676"/>
    </row>
    <row r="13994" spans="14:14" x14ac:dyDescent="0.35">
      <c r="N13994" s="676"/>
    </row>
    <row r="13995" spans="14:14" x14ac:dyDescent="0.35">
      <c r="N13995" s="676"/>
    </row>
    <row r="13996" spans="14:14" x14ac:dyDescent="0.35">
      <c r="N13996" s="676"/>
    </row>
    <row r="13997" spans="14:14" x14ac:dyDescent="0.35">
      <c r="N13997" s="676"/>
    </row>
    <row r="13998" spans="14:14" x14ac:dyDescent="0.35">
      <c r="N13998" s="676"/>
    </row>
    <row r="13999" spans="14:14" x14ac:dyDescent="0.35">
      <c r="N13999" s="676"/>
    </row>
    <row r="14000" spans="14:14" x14ac:dyDescent="0.35">
      <c r="N14000" s="676"/>
    </row>
    <row r="14001" spans="14:14" x14ac:dyDescent="0.35">
      <c r="N14001" s="676"/>
    </row>
    <row r="14002" spans="14:14" x14ac:dyDescent="0.35">
      <c r="N14002" s="676"/>
    </row>
    <row r="14003" spans="14:14" x14ac:dyDescent="0.35">
      <c r="N14003" s="676"/>
    </row>
    <row r="14004" spans="14:14" x14ac:dyDescent="0.35">
      <c r="N14004" s="676"/>
    </row>
    <row r="14005" spans="14:14" x14ac:dyDescent="0.35">
      <c r="N14005" s="676"/>
    </row>
    <row r="14006" spans="14:14" x14ac:dyDescent="0.35">
      <c r="N14006" s="676"/>
    </row>
    <row r="14007" spans="14:14" x14ac:dyDescent="0.35">
      <c r="N14007" s="676"/>
    </row>
    <row r="14008" spans="14:14" x14ac:dyDescent="0.35">
      <c r="N14008" s="676"/>
    </row>
    <row r="14009" spans="14:14" x14ac:dyDescent="0.35">
      <c r="N14009" s="676"/>
    </row>
    <row r="14010" spans="14:14" x14ac:dyDescent="0.35">
      <c r="N14010" s="676"/>
    </row>
    <row r="14011" spans="14:14" x14ac:dyDescent="0.35">
      <c r="N14011" s="676"/>
    </row>
    <row r="14012" spans="14:14" x14ac:dyDescent="0.35">
      <c r="N14012" s="676"/>
    </row>
    <row r="14013" spans="14:14" x14ac:dyDescent="0.35">
      <c r="N14013" s="676"/>
    </row>
    <row r="14014" spans="14:14" x14ac:dyDescent="0.35">
      <c r="N14014" s="676"/>
    </row>
    <row r="14015" spans="14:14" x14ac:dyDescent="0.35">
      <c r="N14015" s="676"/>
    </row>
    <row r="14016" spans="14:14" x14ac:dyDescent="0.35">
      <c r="N14016" s="676"/>
    </row>
    <row r="14017" spans="14:14" x14ac:dyDescent="0.35">
      <c r="N14017" s="676"/>
    </row>
    <row r="14018" spans="14:14" x14ac:dyDescent="0.35">
      <c r="N14018" s="676"/>
    </row>
    <row r="14019" spans="14:14" x14ac:dyDescent="0.35">
      <c r="N14019" s="676"/>
    </row>
    <row r="14020" spans="14:14" x14ac:dyDescent="0.35">
      <c r="N14020" s="676"/>
    </row>
    <row r="14021" spans="14:14" x14ac:dyDescent="0.35">
      <c r="N14021" s="676"/>
    </row>
    <row r="14022" spans="14:14" x14ac:dyDescent="0.35">
      <c r="N14022" s="676"/>
    </row>
    <row r="14023" spans="14:14" x14ac:dyDescent="0.35">
      <c r="N14023" s="676"/>
    </row>
    <row r="14024" spans="14:14" x14ac:dyDescent="0.35">
      <c r="N14024" s="676"/>
    </row>
    <row r="14025" spans="14:14" x14ac:dyDescent="0.35">
      <c r="N14025" s="676"/>
    </row>
    <row r="14026" spans="14:14" x14ac:dyDescent="0.35">
      <c r="N14026" s="676"/>
    </row>
    <row r="14027" spans="14:14" x14ac:dyDescent="0.35">
      <c r="N14027" s="676"/>
    </row>
    <row r="14028" spans="14:14" x14ac:dyDescent="0.35">
      <c r="N14028" s="676"/>
    </row>
    <row r="14029" spans="14:14" x14ac:dyDescent="0.35">
      <c r="N14029" s="676"/>
    </row>
    <row r="14030" spans="14:14" x14ac:dyDescent="0.35">
      <c r="N14030" s="676"/>
    </row>
    <row r="14031" spans="14:14" x14ac:dyDescent="0.35">
      <c r="N14031" s="676"/>
    </row>
    <row r="14032" spans="14:14" x14ac:dyDescent="0.35">
      <c r="N14032" s="676"/>
    </row>
    <row r="14033" spans="14:14" x14ac:dyDescent="0.35">
      <c r="N14033" s="676"/>
    </row>
    <row r="14034" spans="14:14" x14ac:dyDescent="0.35">
      <c r="N14034" s="676"/>
    </row>
    <row r="14035" spans="14:14" x14ac:dyDescent="0.35">
      <c r="N14035" s="676"/>
    </row>
    <row r="14036" spans="14:14" x14ac:dyDescent="0.35">
      <c r="N14036" s="676"/>
    </row>
    <row r="14037" spans="14:14" x14ac:dyDescent="0.35">
      <c r="N14037" s="676"/>
    </row>
    <row r="14038" spans="14:14" x14ac:dyDescent="0.35">
      <c r="N14038" s="676"/>
    </row>
    <row r="14039" spans="14:14" x14ac:dyDescent="0.35">
      <c r="N14039" s="676"/>
    </row>
    <row r="14040" spans="14:14" x14ac:dyDescent="0.35">
      <c r="N14040" s="676"/>
    </row>
    <row r="14041" spans="14:14" x14ac:dyDescent="0.35">
      <c r="N14041" s="676"/>
    </row>
    <row r="14042" spans="14:14" x14ac:dyDescent="0.35">
      <c r="N14042" s="676"/>
    </row>
    <row r="14043" spans="14:14" x14ac:dyDescent="0.35">
      <c r="N14043" s="676"/>
    </row>
    <row r="14044" spans="14:14" x14ac:dyDescent="0.35">
      <c r="N14044" s="676"/>
    </row>
    <row r="14045" spans="14:14" x14ac:dyDescent="0.35">
      <c r="N14045" s="676"/>
    </row>
    <row r="14046" spans="14:14" x14ac:dyDescent="0.35">
      <c r="N14046" s="676"/>
    </row>
    <row r="14047" spans="14:14" x14ac:dyDescent="0.35">
      <c r="N14047" s="676"/>
    </row>
    <row r="14048" spans="14:14" x14ac:dyDescent="0.35">
      <c r="N14048" s="676"/>
    </row>
    <row r="14049" spans="14:14" x14ac:dyDescent="0.35">
      <c r="N14049" s="676"/>
    </row>
    <row r="14050" spans="14:14" x14ac:dyDescent="0.35">
      <c r="N14050" s="676"/>
    </row>
    <row r="14051" spans="14:14" x14ac:dyDescent="0.35">
      <c r="N14051" s="676"/>
    </row>
    <row r="14052" spans="14:14" x14ac:dyDescent="0.35">
      <c r="N14052" s="676"/>
    </row>
    <row r="14053" spans="14:14" x14ac:dyDescent="0.35">
      <c r="N14053" s="676"/>
    </row>
    <row r="14054" spans="14:14" x14ac:dyDescent="0.35">
      <c r="N14054" s="676"/>
    </row>
    <row r="14055" spans="14:14" x14ac:dyDescent="0.35">
      <c r="N14055" s="676"/>
    </row>
    <row r="14056" spans="14:14" x14ac:dyDescent="0.35">
      <c r="N14056" s="676"/>
    </row>
    <row r="14057" spans="14:14" x14ac:dyDescent="0.35">
      <c r="N14057" s="676"/>
    </row>
    <row r="14058" spans="14:14" x14ac:dyDescent="0.35">
      <c r="N14058" s="676"/>
    </row>
    <row r="14059" spans="14:14" x14ac:dyDescent="0.35">
      <c r="N14059" s="676"/>
    </row>
    <row r="14060" spans="14:14" x14ac:dyDescent="0.35">
      <c r="N14060" s="676"/>
    </row>
    <row r="14061" spans="14:14" x14ac:dyDescent="0.35">
      <c r="N14061" s="676"/>
    </row>
    <row r="14062" spans="14:14" x14ac:dyDescent="0.35">
      <c r="N14062" s="676"/>
    </row>
    <row r="14063" spans="14:14" x14ac:dyDescent="0.35">
      <c r="N14063" s="676"/>
    </row>
    <row r="14064" spans="14:14" x14ac:dyDescent="0.35">
      <c r="N14064" s="676"/>
    </row>
    <row r="14065" spans="14:14" x14ac:dyDescent="0.35">
      <c r="N14065" s="676"/>
    </row>
    <row r="14066" spans="14:14" x14ac:dyDescent="0.35">
      <c r="N14066" s="676"/>
    </row>
    <row r="14067" spans="14:14" x14ac:dyDescent="0.35">
      <c r="N14067" s="676"/>
    </row>
    <row r="14068" spans="14:14" x14ac:dyDescent="0.35">
      <c r="N14068" s="676"/>
    </row>
    <row r="14069" spans="14:14" x14ac:dyDescent="0.35">
      <c r="N14069" s="676"/>
    </row>
    <row r="14070" spans="14:14" x14ac:dyDescent="0.35">
      <c r="N14070" s="676"/>
    </row>
    <row r="14071" spans="14:14" x14ac:dyDescent="0.35">
      <c r="N14071" s="676"/>
    </row>
    <row r="14072" spans="14:14" x14ac:dyDescent="0.35">
      <c r="N14072" s="676"/>
    </row>
    <row r="14073" spans="14:14" x14ac:dyDescent="0.35">
      <c r="N14073" s="676"/>
    </row>
    <row r="14074" spans="14:14" x14ac:dyDescent="0.35">
      <c r="N14074" s="676"/>
    </row>
    <row r="14075" spans="14:14" x14ac:dyDescent="0.35">
      <c r="N14075" s="676"/>
    </row>
    <row r="14076" spans="14:14" x14ac:dyDescent="0.35">
      <c r="N14076" s="676"/>
    </row>
    <row r="14077" spans="14:14" x14ac:dyDescent="0.35">
      <c r="N14077" s="676"/>
    </row>
    <row r="14078" spans="14:14" x14ac:dyDescent="0.35">
      <c r="N14078" s="676"/>
    </row>
    <row r="14079" spans="14:14" x14ac:dyDescent="0.35">
      <c r="N14079" s="676"/>
    </row>
    <row r="14080" spans="14:14" x14ac:dyDescent="0.35">
      <c r="N14080" s="676"/>
    </row>
    <row r="14081" spans="14:14" x14ac:dyDescent="0.35">
      <c r="N14081" s="676"/>
    </row>
    <row r="14082" spans="14:14" x14ac:dyDescent="0.35">
      <c r="N14082" s="676"/>
    </row>
    <row r="14083" spans="14:14" x14ac:dyDescent="0.35">
      <c r="N14083" s="676"/>
    </row>
    <row r="14084" spans="14:14" x14ac:dyDescent="0.35">
      <c r="N14084" s="676"/>
    </row>
    <row r="14085" spans="14:14" x14ac:dyDescent="0.35">
      <c r="N14085" s="676"/>
    </row>
    <row r="14086" spans="14:14" x14ac:dyDescent="0.35">
      <c r="N14086" s="676"/>
    </row>
    <row r="14087" spans="14:14" x14ac:dyDescent="0.35">
      <c r="N14087" s="676"/>
    </row>
    <row r="14088" spans="14:14" x14ac:dyDescent="0.35">
      <c r="N14088" s="676"/>
    </row>
    <row r="14089" spans="14:14" x14ac:dyDescent="0.35">
      <c r="N14089" s="676"/>
    </row>
    <row r="14090" spans="14:14" x14ac:dyDescent="0.35">
      <c r="N14090" s="676"/>
    </row>
    <row r="14091" spans="14:14" x14ac:dyDescent="0.35">
      <c r="N14091" s="676"/>
    </row>
    <row r="14092" spans="14:14" x14ac:dyDescent="0.35">
      <c r="N14092" s="676"/>
    </row>
    <row r="14093" spans="14:14" x14ac:dyDescent="0.35">
      <c r="N14093" s="676"/>
    </row>
    <row r="14094" spans="14:14" x14ac:dyDescent="0.35">
      <c r="N14094" s="676"/>
    </row>
    <row r="14095" spans="14:14" x14ac:dyDescent="0.35">
      <c r="N14095" s="676"/>
    </row>
    <row r="14096" spans="14:14" x14ac:dyDescent="0.35">
      <c r="N14096" s="676"/>
    </row>
    <row r="14097" spans="14:14" x14ac:dyDescent="0.35">
      <c r="N14097" s="676"/>
    </row>
    <row r="14098" spans="14:14" x14ac:dyDescent="0.35">
      <c r="N14098" s="676"/>
    </row>
    <row r="14099" spans="14:14" x14ac:dyDescent="0.35">
      <c r="N14099" s="676"/>
    </row>
    <row r="14100" spans="14:14" x14ac:dyDescent="0.35">
      <c r="N14100" s="676"/>
    </row>
    <row r="14101" spans="14:14" x14ac:dyDescent="0.35">
      <c r="N14101" s="676"/>
    </row>
    <row r="14102" spans="14:14" x14ac:dyDescent="0.35">
      <c r="N14102" s="676"/>
    </row>
    <row r="14103" spans="14:14" x14ac:dyDescent="0.35">
      <c r="N14103" s="676"/>
    </row>
    <row r="14104" spans="14:14" x14ac:dyDescent="0.35">
      <c r="N14104" s="676"/>
    </row>
    <row r="14105" spans="14:14" x14ac:dyDescent="0.35">
      <c r="N14105" s="676"/>
    </row>
    <row r="14106" spans="14:14" x14ac:dyDescent="0.35">
      <c r="N14106" s="676"/>
    </row>
    <row r="14107" spans="14:14" x14ac:dyDescent="0.35">
      <c r="N14107" s="676"/>
    </row>
    <row r="14108" spans="14:14" x14ac:dyDescent="0.35">
      <c r="N14108" s="676"/>
    </row>
    <row r="14109" spans="14:14" x14ac:dyDescent="0.35">
      <c r="N14109" s="676"/>
    </row>
    <row r="14110" spans="14:14" x14ac:dyDescent="0.35">
      <c r="N14110" s="676"/>
    </row>
    <row r="14111" spans="14:14" x14ac:dyDescent="0.35">
      <c r="N14111" s="676"/>
    </row>
    <row r="14112" spans="14:14" x14ac:dyDescent="0.35">
      <c r="N14112" s="676"/>
    </row>
    <row r="14113" spans="14:14" x14ac:dyDescent="0.35">
      <c r="N14113" s="676"/>
    </row>
    <row r="14114" spans="14:14" x14ac:dyDescent="0.35">
      <c r="N14114" s="676"/>
    </row>
    <row r="14115" spans="14:14" x14ac:dyDescent="0.35">
      <c r="N14115" s="676"/>
    </row>
    <row r="14116" spans="14:14" x14ac:dyDescent="0.35">
      <c r="N14116" s="676"/>
    </row>
    <row r="14117" spans="14:14" x14ac:dyDescent="0.35">
      <c r="N14117" s="676"/>
    </row>
    <row r="14118" spans="14:14" x14ac:dyDescent="0.35">
      <c r="N14118" s="676"/>
    </row>
    <row r="14119" spans="14:14" x14ac:dyDescent="0.35">
      <c r="N14119" s="676"/>
    </row>
    <row r="14120" spans="14:14" x14ac:dyDescent="0.35">
      <c r="N14120" s="676"/>
    </row>
    <row r="14121" spans="14:14" x14ac:dyDescent="0.35">
      <c r="N14121" s="676"/>
    </row>
    <row r="14122" spans="14:14" x14ac:dyDescent="0.35">
      <c r="N14122" s="676"/>
    </row>
    <row r="14123" spans="14:14" x14ac:dyDescent="0.35">
      <c r="N14123" s="676"/>
    </row>
    <row r="14124" spans="14:14" x14ac:dyDescent="0.35">
      <c r="N14124" s="676"/>
    </row>
    <row r="14125" spans="14:14" x14ac:dyDescent="0.35">
      <c r="N14125" s="676"/>
    </row>
    <row r="14126" spans="14:14" x14ac:dyDescent="0.35">
      <c r="N14126" s="676"/>
    </row>
    <row r="14127" spans="14:14" x14ac:dyDescent="0.35">
      <c r="N14127" s="676"/>
    </row>
    <row r="14128" spans="14:14" x14ac:dyDescent="0.35">
      <c r="N14128" s="676"/>
    </row>
    <row r="14129" spans="14:14" x14ac:dyDescent="0.35">
      <c r="N14129" s="676"/>
    </row>
    <row r="14130" spans="14:14" x14ac:dyDescent="0.35">
      <c r="N14130" s="676"/>
    </row>
    <row r="14131" spans="14:14" x14ac:dyDescent="0.35">
      <c r="N14131" s="676"/>
    </row>
    <row r="14132" spans="14:14" x14ac:dyDescent="0.35">
      <c r="N14132" s="676"/>
    </row>
    <row r="14133" spans="14:14" x14ac:dyDescent="0.35">
      <c r="N14133" s="676"/>
    </row>
    <row r="14134" spans="14:14" x14ac:dyDescent="0.35">
      <c r="N14134" s="676"/>
    </row>
    <row r="14135" spans="14:14" x14ac:dyDescent="0.35">
      <c r="N14135" s="676"/>
    </row>
    <row r="14136" spans="14:14" x14ac:dyDescent="0.35">
      <c r="N14136" s="676"/>
    </row>
    <row r="14137" spans="14:14" x14ac:dyDescent="0.35">
      <c r="N14137" s="676"/>
    </row>
    <row r="14138" spans="14:14" x14ac:dyDescent="0.35">
      <c r="N14138" s="676"/>
    </row>
    <row r="14139" spans="14:14" x14ac:dyDescent="0.35">
      <c r="N14139" s="676"/>
    </row>
    <row r="14140" spans="14:14" x14ac:dyDescent="0.35">
      <c r="N14140" s="676"/>
    </row>
    <row r="14141" spans="14:14" x14ac:dyDescent="0.35">
      <c r="N14141" s="676"/>
    </row>
    <row r="14142" spans="14:14" x14ac:dyDescent="0.35">
      <c r="N14142" s="676"/>
    </row>
    <row r="14143" spans="14:14" x14ac:dyDescent="0.35">
      <c r="N14143" s="676"/>
    </row>
    <row r="14144" spans="14:14" x14ac:dyDescent="0.35">
      <c r="N14144" s="676"/>
    </row>
    <row r="14145" spans="14:14" x14ac:dyDescent="0.35">
      <c r="N14145" s="676"/>
    </row>
    <row r="14146" spans="14:14" x14ac:dyDescent="0.35">
      <c r="N14146" s="676"/>
    </row>
    <row r="14147" spans="14:14" x14ac:dyDescent="0.35">
      <c r="N14147" s="676"/>
    </row>
    <row r="14148" spans="14:14" x14ac:dyDescent="0.35">
      <c r="N14148" s="676"/>
    </row>
    <row r="14149" spans="14:14" x14ac:dyDescent="0.35">
      <c r="N14149" s="676"/>
    </row>
    <row r="14150" spans="14:14" x14ac:dyDescent="0.35">
      <c r="N14150" s="676"/>
    </row>
    <row r="14151" spans="14:14" x14ac:dyDescent="0.35">
      <c r="N14151" s="676"/>
    </row>
    <row r="14152" spans="14:14" x14ac:dyDescent="0.35">
      <c r="N14152" s="676"/>
    </row>
    <row r="14153" spans="14:14" x14ac:dyDescent="0.35">
      <c r="N14153" s="676"/>
    </row>
    <row r="14154" spans="14:14" x14ac:dyDescent="0.35">
      <c r="N14154" s="676"/>
    </row>
    <row r="14155" spans="14:14" x14ac:dyDescent="0.35">
      <c r="N14155" s="676"/>
    </row>
    <row r="14156" spans="14:14" x14ac:dyDescent="0.35">
      <c r="N14156" s="676"/>
    </row>
    <row r="14157" spans="14:14" x14ac:dyDescent="0.35">
      <c r="N14157" s="676"/>
    </row>
    <row r="14158" spans="14:14" x14ac:dyDescent="0.35">
      <c r="N14158" s="676"/>
    </row>
    <row r="14159" spans="14:14" x14ac:dyDescent="0.35">
      <c r="N14159" s="676"/>
    </row>
    <row r="14160" spans="14:14" x14ac:dyDescent="0.35">
      <c r="N14160" s="676"/>
    </row>
    <row r="14161" spans="14:14" x14ac:dyDescent="0.35">
      <c r="N14161" s="676"/>
    </row>
    <row r="14162" spans="14:14" x14ac:dyDescent="0.35">
      <c r="N14162" s="676"/>
    </row>
    <row r="14163" spans="14:14" x14ac:dyDescent="0.35">
      <c r="N14163" s="676"/>
    </row>
    <row r="14164" spans="14:14" x14ac:dyDescent="0.35">
      <c r="N14164" s="676"/>
    </row>
    <row r="14165" spans="14:14" x14ac:dyDescent="0.35">
      <c r="N14165" s="676"/>
    </row>
    <row r="14166" spans="14:14" x14ac:dyDescent="0.35">
      <c r="N14166" s="676"/>
    </row>
    <row r="14167" spans="14:14" x14ac:dyDescent="0.35">
      <c r="N14167" s="676"/>
    </row>
    <row r="14168" spans="14:14" x14ac:dyDescent="0.35">
      <c r="N14168" s="676"/>
    </row>
    <row r="14169" spans="14:14" x14ac:dyDescent="0.35">
      <c r="N14169" s="676"/>
    </row>
    <row r="14170" spans="14:14" x14ac:dyDescent="0.35">
      <c r="N14170" s="676"/>
    </row>
    <row r="14171" spans="14:14" x14ac:dyDescent="0.35">
      <c r="N14171" s="676"/>
    </row>
    <row r="14172" spans="14:14" x14ac:dyDescent="0.35">
      <c r="N14172" s="676"/>
    </row>
    <row r="14173" spans="14:14" x14ac:dyDescent="0.35">
      <c r="N14173" s="676"/>
    </row>
    <row r="14174" spans="14:14" x14ac:dyDescent="0.35">
      <c r="N14174" s="676"/>
    </row>
    <row r="14175" spans="14:14" x14ac:dyDescent="0.35">
      <c r="N14175" s="676"/>
    </row>
    <row r="14176" spans="14:14" x14ac:dyDescent="0.35">
      <c r="N14176" s="676"/>
    </row>
    <row r="14177" spans="14:14" x14ac:dyDescent="0.35">
      <c r="N14177" s="676"/>
    </row>
    <row r="14178" spans="14:14" x14ac:dyDescent="0.35">
      <c r="N14178" s="676"/>
    </row>
    <row r="14179" spans="14:14" x14ac:dyDescent="0.35">
      <c r="N14179" s="676"/>
    </row>
    <row r="14180" spans="14:14" x14ac:dyDescent="0.35">
      <c r="N14180" s="676"/>
    </row>
    <row r="14181" spans="14:14" x14ac:dyDescent="0.35">
      <c r="N14181" s="676"/>
    </row>
    <row r="14182" spans="14:14" x14ac:dyDescent="0.35">
      <c r="N14182" s="676"/>
    </row>
    <row r="14183" spans="14:14" x14ac:dyDescent="0.35">
      <c r="N14183" s="676"/>
    </row>
    <row r="14184" spans="14:14" x14ac:dyDescent="0.35">
      <c r="N14184" s="676"/>
    </row>
    <row r="14185" spans="14:14" x14ac:dyDescent="0.35">
      <c r="N14185" s="676"/>
    </row>
    <row r="14186" spans="14:14" x14ac:dyDescent="0.35">
      <c r="N14186" s="676"/>
    </row>
    <row r="14187" spans="14:14" x14ac:dyDescent="0.35">
      <c r="N14187" s="676"/>
    </row>
    <row r="14188" spans="14:14" x14ac:dyDescent="0.35">
      <c r="N14188" s="676"/>
    </row>
    <row r="14189" spans="14:14" x14ac:dyDescent="0.35">
      <c r="N14189" s="676"/>
    </row>
    <row r="14190" spans="14:14" x14ac:dyDescent="0.35">
      <c r="N14190" s="676"/>
    </row>
    <row r="14191" spans="14:14" x14ac:dyDescent="0.35">
      <c r="N14191" s="676"/>
    </row>
    <row r="14192" spans="14:14" x14ac:dyDescent="0.35">
      <c r="N14192" s="676"/>
    </row>
    <row r="14193" spans="14:14" x14ac:dyDescent="0.35">
      <c r="N14193" s="676"/>
    </row>
    <row r="14194" spans="14:14" x14ac:dyDescent="0.35">
      <c r="N14194" s="676"/>
    </row>
    <row r="14195" spans="14:14" x14ac:dyDescent="0.35">
      <c r="N14195" s="676"/>
    </row>
    <row r="14196" spans="14:14" x14ac:dyDescent="0.35">
      <c r="N14196" s="676"/>
    </row>
    <row r="14197" spans="14:14" x14ac:dyDescent="0.35">
      <c r="N14197" s="676"/>
    </row>
    <row r="14198" spans="14:14" x14ac:dyDescent="0.35">
      <c r="N14198" s="676"/>
    </row>
    <row r="14199" spans="14:14" x14ac:dyDescent="0.35">
      <c r="N14199" s="676"/>
    </row>
    <row r="14200" spans="14:14" x14ac:dyDescent="0.35">
      <c r="N14200" s="676"/>
    </row>
    <row r="14201" spans="14:14" x14ac:dyDescent="0.35">
      <c r="N14201" s="676"/>
    </row>
    <row r="14202" spans="14:14" x14ac:dyDescent="0.35">
      <c r="N14202" s="676"/>
    </row>
    <row r="14203" spans="14:14" x14ac:dyDescent="0.35">
      <c r="N14203" s="676"/>
    </row>
    <row r="14204" spans="14:14" x14ac:dyDescent="0.35">
      <c r="N14204" s="676"/>
    </row>
    <row r="14205" spans="14:14" x14ac:dyDescent="0.35">
      <c r="N14205" s="676"/>
    </row>
    <row r="14206" spans="14:14" x14ac:dyDescent="0.35">
      <c r="N14206" s="676"/>
    </row>
    <row r="14207" spans="14:14" x14ac:dyDescent="0.35">
      <c r="N14207" s="676"/>
    </row>
    <row r="14208" spans="14:14" x14ac:dyDescent="0.35">
      <c r="N14208" s="676"/>
    </row>
    <row r="14209" spans="14:14" x14ac:dyDescent="0.35">
      <c r="N14209" s="676"/>
    </row>
    <row r="14210" spans="14:14" x14ac:dyDescent="0.35">
      <c r="N14210" s="676"/>
    </row>
    <row r="14211" spans="14:14" x14ac:dyDescent="0.35">
      <c r="N14211" s="676"/>
    </row>
    <row r="14212" spans="14:14" x14ac:dyDescent="0.35">
      <c r="N14212" s="676"/>
    </row>
    <row r="14213" spans="14:14" x14ac:dyDescent="0.35">
      <c r="N14213" s="676"/>
    </row>
    <row r="14214" spans="14:14" x14ac:dyDescent="0.35">
      <c r="N14214" s="676"/>
    </row>
    <row r="14215" spans="14:14" x14ac:dyDescent="0.35">
      <c r="N14215" s="676"/>
    </row>
    <row r="14216" spans="14:14" x14ac:dyDescent="0.35">
      <c r="N14216" s="676"/>
    </row>
    <row r="14217" spans="14:14" x14ac:dyDescent="0.35">
      <c r="N14217" s="676"/>
    </row>
    <row r="14218" spans="14:14" x14ac:dyDescent="0.35">
      <c r="N14218" s="676"/>
    </row>
    <row r="14219" spans="14:14" x14ac:dyDescent="0.35">
      <c r="N14219" s="676"/>
    </row>
    <row r="14220" spans="14:14" x14ac:dyDescent="0.35">
      <c r="N14220" s="676"/>
    </row>
    <row r="14221" spans="14:14" x14ac:dyDescent="0.35">
      <c r="N14221" s="676"/>
    </row>
    <row r="14222" spans="14:14" x14ac:dyDescent="0.35">
      <c r="N14222" s="676"/>
    </row>
    <row r="14223" spans="14:14" x14ac:dyDescent="0.35">
      <c r="N14223" s="676"/>
    </row>
    <row r="14224" spans="14:14" x14ac:dyDescent="0.35">
      <c r="N14224" s="676"/>
    </row>
    <row r="14225" spans="14:14" x14ac:dyDescent="0.35">
      <c r="N14225" s="676"/>
    </row>
    <row r="14226" spans="14:14" x14ac:dyDescent="0.35">
      <c r="N14226" s="676"/>
    </row>
    <row r="14227" spans="14:14" x14ac:dyDescent="0.35">
      <c r="N14227" s="676"/>
    </row>
    <row r="14228" spans="14:14" x14ac:dyDescent="0.35">
      <c r="N14228" s="676"/>
    </row>
    <row r="14229" spans="14:14" x14ac:dyDescent="0.35">
      <c r="N14229" s="676"/>
    </row>
    <row r="14230" spans="14:14" x14ac:dyDescent="0.35">
      <c r="N14230" s="676"/>
    </row>
    <row r="14231" spans="14:14" x14ac:dyDescent="0.35">
      <c r="N14231" s="676"/>
    </row>
    <row r="14232" spans="14:14" x14ac:dyDescent="0.35">
      <c r="N14232" s="676"/>
    </row>
    <row r="14233" spans="14:14" x14ac:dyDescent="0.35">
      <c r="N14233" s="676"/>
    </row>
    <row r="14234" spans="14:14" x14ac:dyDescent="0.35">
      <c r="N14234" s="676"/>
    </row>
    <row r="14235" spans="14:14" x14ac:dyDescent="0.35">
      <c r="N14235" s="676"/>
    </row>
    <row r="14236" spans="14:14" x14ac:dyDescent="0.35">
      <c r="N14236" s="676"/>
    </row>
    <row r="14237" spans="14:14" x14ac:dyDescent="0.35">
      <c r="N14237" s="676"/>
    </row>
    <row r="14238" spans="14:14" x14ac:dyDescent="0.35">
      <c r="N14238" s="676"/>
    </row>
    <row r="14239" spans="14:14" x14ac:dyDescent="0.35">
      <c r="N14239" s="676"/>
    </row>
    <row r="14240" spans="14:14" x14ac:dyDescent="0.35">
      <c r="N14240" s="676"/>
    </row>
    <row r="14241" spans="14:14" x14ac:dyDescent="0.35">
      <c r="N14241" s="676"/>
    </row>
    <row r="14242" spans="14:14" x14ac:dyDescent="0.35">
      <c r="N14242" s="676"/>
    </row>
    <row r="14243" spans="14:14" x14ac:dyDescent="0.35">
      <c r="N14243" s="676"/>
    </row>
    <row r="14244" spans="14:14" x14ac:dyDescent="0.35">
      <c r="N14244" s="676"/>
    </row>
    <row r="14245" spans="14:14" x14ac:dyDescent="0.35">
      <c r="N14245" s="676"/>
    </row>
    <row r="14246" spans="14:14" x14ac:dyDescent="0.35">
      <c r="N14246" s="676"/>
    </row>
    <row r="14247" spans="14:14" x14ac:dyDescent="0.35">
      <c r="N14247" s="676"/>
    </row>
    <row r="14248" spans="14:14" x14ac:dyDescent="0.35">
      <c r="N14248" s="676"/>
    </row>
    <row r="14249" spans="14:14" x14ac:dyDescent="0.35">
      <c r="N14249" s="676"/>
    </row>
    <row r="14250" spans="14:14" x14ac:dyDescent="0.35">
      <c r="N14250" s="676"/>
    </row>
    <row r="14251" spans="14:14" x14ac:dyDescent="0.35">
      <c r="N14251" s="676"/>
    </row>
    <row r="14252" spans="14:14" x14ac:dyDescent="0.35">
      <c r="N14252" s="676"/>
    </row>
    <row r="14253" spans="14:14" x14ac:dyDescent="0.35">
      <c r="N14253" s="676"/>
    </row>
    <row r="14254" spans="14:14" x14ac:dyDescent="0.35">
      <c r="N14254" s="676"/>
    </row>
    <row r="14255" spans="14:14" x14ac:dyDescent="0.35">
      <c r="N14255" s="676"/>
    </row>
    <row r="14256" spans="14:14" x14ac:dyDescent="0.35">
      <c r="N14256" s="676"/>
    </row>
    <row r="14257" spans="14:14" x14ac:dyDescent="0.35">
      <c r="N14257" s="676"/>
    </row>
    <row r="14258" spans="14:14" x14ac:dyDescent="0.35">
      <c r="N14258" s="676"/>
    </row>
    <row r="14259" spans="14:14" x14ac:dyDescent="0.35">
      <c r="N14259" s="676"/>
    </row>
    <row r="14260" spans="14:14" x14ac:dyDescent="0.35">
      <c r="N14260" s="676"/>
    </row>
    <row r="14261" spans="14:14" x14ac:dyDescent="0.35">
      <c r="N14261" s="676"/>
    </row>
    <row r="14262" spans="14:14" x14ac:dyDescent="0.35">
      <c r="N14262" s="676"/>
    </row>
    <row r="14263" spans="14:14" x14ac:dyDescent="0.35">
      <c r="N14263" s="676"/>
    </row>
    <row r="14264" spans="14:14" x14ac:dyDescent="0.35">
      <c r="N14264" s="676"/>
    </row>
    <row r="14265" spans="14:14" x14ac:dyDescent="0.35">
      <c r="N14265" s="676"/>
    </row>
    <row r="14266" spans="14:14" x14ac:dyDescent="0.35">
      <c r="N14266" s="676"/>
    </row>
    <row r="14267" spans="14:14" x14ac:dyDescent="0.35">
      <c r="N14267" s="676"/>
    </row>
    <row r="14268" spans="14:14" x14ac:dyDescent="0.35">
      <c r="N14268" s="676"/>
    </row>
    <row r="14269" spans="14:14" x14ac:dyDescent="0.35">
      <c r="N14269" s="676"/>
    </row>
    <row r="14270" spans="14:14" x14ac:dyDescent="0.35">
      <c r="N14270" s="676"/>
    </row>
    <row r="14271" spans="14:14" x14ac:dyDescent="0.35">
      <c r="N14271" s="676"/>
    </row>
    <row r="14272" spans="14:14" x14ac:dyDescent="0.35">
      <c r="N14272" s="676"/>
    </row>
    <row r="14273" spans="14:14" x14ac:dyDescent="0.35">
      <c r="N14273" s="676"/>
    </row>
    <row r="14274" spans="14:14" x14ac:dyDescent="0.35">
      <c r="N14274" s="676"/>
    </row>
    <row r="14275" spans="14:14" x14ac:dyDescent="0.35">
      <c r="N14275" s="676"/>
    </row>
    <row r="14276" spans="14:14" x14ac:dyDescent="0.35">
      <c r="N14276" s="676"/>
    </row>
    <row r="14277" spans="14:14" x14ac:dyDescent="0.35">
      <c r="N14277" s="676"/>
    </row>
    <row r="14278" spans="14:14" x14ac:dyDescent="0.35">
      <c r="N14278" s="676"/>
    </row>
    <row r="14279" spans="14:14" x14ac:dyDescent="0.35">
      <c r="N14279" s="676"/>
    </row>
    <row r="14280" spans="14:14" x14ac:dyDescent="0.35">
      <c r="N14280" s="676"/>
    </row>
    <row r="14281" spans="14:14" x14ac:dyDescent="0.35">
      <c r="N14281" s="676"/>
    </row>
    <row r="14282" spans="14:14" x14ac:dyDescent="0.35">
      <c r="N14282" s="676"/>
    </row>
    <row r="14283" spans="14:14" x14ac:dyDescent="0.35">
      <c r="N14283" s="676"/>
    </row>
    <row r="14284" spans="14:14" x14ac:dyDescent="0.35">
      <c r="N14284" s="676"/>
    </row>
    <row r="14285" spans="14:14" x14ac:dyDescent="0.35">
      <c r="N14285" s="676"/>
    </row>
    <row r="14286" spans="14:14" x14ac:dyDescent="0.35">
      <c r="N14286" s="676"/>
    </row>
    <row r="14287" spans="14:14" x14ac:dyDescent="0.35">
      <c r="N14287" s="676"/>
    </row>
    <row r="14288" spans="14:14" x14ac:dyDescent="0.35">
      <c r="N14288" s="676"/>
    </row>
    <row r="14289" spans="14:14" x14ac:dyDescent="0.35">
      <c r="N14289" s="676"/>
    </row>
    <row r="14290" spans="14:14" x14ac:dyDescent="0.35">
      <c r="N14290" s="676"/>
    </row>
    <row r="14291" spans="14:14" x14ac:dyDescent="0.35">
      <c r="N14291" s="676"/>
    </row>
    <row r="14292" spans="14:14" x14ac:dyDescent="0.35">
      <c r="N14292" s="676"/>
    </row>
    <row r="14293" spans="14:14" x14ac:dyDescent="0.35">
      <c r="N14293" s="676"/>
    </row>
    <row r="14294" spans="14:14" x14ac:dyDescent="0.35">
      <c r="N14294" s="676"/>
    </row>
    <row r="14295" spans="14:14" x14ac:dyDescent="0.35">
      <c r="N14295" s="676"/>
    </row>
    <row r="14296" spans="14:14" x14ac:dyDescent="0.35">
      <c r="N14296" s="676"/>
    </row>
    <row r="14297" spans="14:14" x14ac:dyDescent="0.35">
      <c r="N14297" s="676"/>
    </row>
    <row r="14298" spans="14:14" x14ac:dyDescent="0.35">
      <c r="N14298" s="676"/>
    </row>
    <row r="14299" spans="14:14" x14ac:dyDescent="0.35">
      <c r="N14299" s="676"/>
    </row>
    <row r="14300" spans="14:14" x14ac:dyDescent="0.35">
      <c r="N14300" s="676"/>
    </row>
    <row r="14301" spans="14:14" x14ac:dyDescent="0.35">
      <c r="N14301" s="676"/>
    </row>
    <row r="14302" spans="14:14" x14ac:dyDescent="0.35">
      <c r="N14302" s="676"/>
    </row>
    <row r="14303" spans="14:14" x14ac:dyDescent="0.35">
      <c r="N14303" s="676"/>
    </row>
    <row r="14304" spans="14:14" x14ac:dyDescent="0.35">
      <c r="N14304" s="676"/>
    </row>
    <row r="14305" spans="14:14" x14ac:dyDescent="0.35">
      <c r="N14305" s="676"/>
    </row>
    <row r="14306" spans="14:14" x14ac:dyDescent="0.35">
      <c r="N14306" s="676"/>
    </row>
    <row r="14307" spans="14:14" x14ac:dyDescent="0.35">
      <c r="N14307" s="676"/>
    </row>
    <row r="14308" spans="14:14" x14ac:dyDescent="0.35">
      <c r="N14308" s="676"/>
    </row>
    <row r="14309" spans="14:14" x14ac:dyDescent="0.35">
      <c r="N14309" s="676"/>
    </row>
    <row r="14310" spans="14:14" x14ac:dyDescent="0.35">
      <c r="N14310" s="676"/>
    </row>
    <row r="14311" spans="14:14" x14ac:dyDescent="0.35">
      <c r="N14311" s="676"/>
    </row>
    <row r="14312" spans="14:14" x14ac:dyDescent="0.35">
      <c r="N14312" s="676"/>
    </row>
    <row r="14313" spans="14:14" x14ac:dyDescent="0.35">
      <c r="N14313" s="676"/>
    </row>
    <row r="14314" spans="14:14" x14ac:dyDescent="0.35">
      <c r="N14314" s="676"/>
    </row>
    <row r="14315" spans="14:14" x14ac:dyDescent="0.35">
      <c r="N14315" s="676"/>
    </row>
    <row r="14316" spans="14:14" x14ac:dyDescent="0.35">
      <c r="N14316" s="676"/>
    </row>
    <row r="14317" spans="14:14" x14ac:dyDescent="0.35">
      <c r="N14317" s="676"/>
    </row>
    <row r="14318" spans="14:14" x14ac:dyDescent="0.35">
      <c r="N14318" s="676"/>
    </row>
    <row r="14319" spans="14:14" x14ac:dyDescent="0.35">
      <c r="N14319" s="676"/>
    </row>
    <row r="14320" spans="14:14" x14ac:dyDescent="0.35">
      <c r="N14320" s="676"/>
    </row>
    <row r="14321" spans="14:14" x14ac:dyDescent="0.35">
      <c r="N14321" s="676"/>
    </row>
    <row r="14322" spans="14:14" x14ac:dyDescent="0.35">
      <c r="N14322" s="676"/>
    </row>
    <row r="14323" spans="14:14" x14ac:dyDescent="0.35">
      <c r="N14323" s="676"/>
    </row>
    <row r="14324" spans="14:14" x14ac:dyDescent="0.35">
      <c r="N14324" s="676"/>
    </row>
    <row r="14325" spans="14:14" x14ac:dyDescent="0.35">
      <c r="N14325" s="676"/>
    </row>
    <row r="14326" spans="14:14" x14ac:dyDescent="0.35">
      <c r="N14326" s="676"/>
    </row>
    <row r="14327" spans="14:14" x14ac:dyDescent="0.35">
      <c r="N14327" s="676"/>
    </row>
    <row r="14328" spans="14:14" x14ac:dyDescent="0.35">
      <c r="N14328" s="676"/>
    </row>
    <row r="14329" spans="14:14" x14ac:dyDescent="0.35">
      <c r="N14329" s="676"/>
    </row>
    <row r="14330" spans="14:14" x14ac:dyDescent="0.35">
      <c r="N14330" s="676"/>
    </row>
    <row r="14331" spans="14:14" x14ac:dyDescent="0.35">
      <c r="N14331" s="676"/>
    </row>
    <row r="14332" spans="14:14" x14ac:dyDescent="0.35">
      <c r="N14332" s="676"/>
    </row>
    <row r="14333" spans="14:14" x14ac:dyDescent="0.35">
      <c r="N14333" s="676"/>
    </row>
    <row r="14334" spans="14:14" x14ac:dyDescent="0.35">
      <c r="N14334" s="676"/>
    </row>
    <row r="14335" spans="14:14" x14ac:dyDescent="0.35">
      <c r="N14335" s="676"/>
    </row>
    <row r="14336" spans="14:14" x14ac:dyDescent="0.35">
      <c r="N14336" s="676"/>
    </row>
    <row r="14337" spans="14:14" x14ac:dyDescent="0.35">
      <c r="N14337" s="676"/>
    </row>
    <row r="14338" spans="14:14" x14ac:dyDescent="0.35">
      <c r="N14338" s="676"/>
    </row>
    <row r="14339" spans="14:14" x14ac:dyDescent="0.35">
      <c r="N14339" s="676"/>
    </row>
    <row r="14340" spans="14:14" x14ac:dyDescent="0.35">
      <c r="N14340" s="676"/>
    </row>
    <row r="14341" spans="14:14" x14ac:dyDescent="0.35">
      <c r="N14341" s="676"/>
    </row>
    <row r="14342" spans="14:14" x14ac:dyDescent="0.35">
      <c r="N14342" s="676"/>
    </row>
    <row r="14343" spans="14:14" x14ac:dyDescent="0.35">
      <c r="N14343" s="676"/>
    </row>
    <row r="14344" spans="14:14" x14ac:dyDescent="0.35">
      <c r="N14344" s="676"/>
    </row>
    <row r="14345" spans="14:14" x14ac:dyDescent="0.35">
      <c r="N14345" s="676"/>
    </row>
    <row r="14346" spans="14:14" x14ac:dyDescent="0.35">
      <c r="N14346" s="676"/>
    </row>
    <row r="14347" spans="14:14" x14ac:dyDescent="0.35">
      <c r="N14347" s="676"/>
    </row>
    <row r="14348" spans="14:14" x14ac:dyDescent="0.35">
      <c r="N14348" s="676"/>
    </row>
    <row r="14349" spans="14:14" x14ac:dyDescent="0.35">
      <c r="N14349" s="676"/>
    </row>
    <row r="14350" spans="14:14" x14ac:dyDescent="0.35">
      <c r="N14350" s="676"/>
    </row>
    <row r="14351" spans="14:14" x14ac:dyDescent="0.35">
      <c r="N14351" s="676"/>
    </row>
    <row r="14352" spans="14:14" x14ac:dyDescent="0.35">
      <c r="N14352" s="676"/>
    </row>
    <row r="14353" spans="14:14" x14ac:dyDescent="0.35">
      <c r="N14353" s="676"/>
    </row>
    <row r="14354" spans="14:14" x14ac:dyDescent="0.35">
      <c r="N14354" s="676"/>
    </row>
    <row r="14355" spans="14:14" x14ac:dyDescent="0.35">
      <c r="N14355" s="676"/>
    </row>
    <row r="14356" spans="14:14" x14ac:dyDescent="0.35">
      <c r="N14356" s="676"/>
    </row>
    <row r="14357" spans="14:14" x14ac:dyDescent="0.35">
      <c r="N14357" s="676"/>
    </row>
    <row r="14358" spans="14:14" x14ac:dyDescent="0.35">
      <c r="N14358" s="676"/>
    </row>
    <row r="14359" spans="14:14" x14ac:dyDescent="0.35">
      <c r="N14359" s="676"/>
    </row>
    <row r="14360" spans="14:14" x14ac:dyDescent="0.35">
      <c r="N14360" s="676"/>
    </row>
    <row r="14361" spans="14:14" x14ac:dyDescent="0.35">
      <c r="N14361" s="676"/>
    </row>
    <row r="14362" spans="14:14" x14ac:dyDescent="0.35">
      <c r="N14362" s="676"/>
    </row>
    <row r="14363" spans="14:14" x14ac:dyDescent="0.35">
      <c r="N14363" s="676"/>
    </row>
    <row r="14364" spans="14:14" x14ac:dyDescent="0.35">
      <c r="N14364" s="676"/>
    </row>
    <row r="14365" spans="14:14" x14ac:dyDescent="0.35">
      <c r="N14365" s="676"/>
    </row>
    <row r="14366" spans="14:14" x14ac:dyDescent="0.35">
      <c r="N14366" s="676"/>
    </row>
    <row r="14367" spans="14:14" x14ac:dyDescent="0.35">
      <c r="N14367" s="676"/>
    </row>
    <row r="14368" spans="14:14" x14ac:dyDescent="0.35">
      <c r="N14368" s="676"/>
    </row>
    <row r="14369" spans="14:14" x14ac:dyDescent="0.35">
      <c r="N14369" s="676"/>
    </row>
    <row r="14370" spans="14:14" x14ac:dyDescent="0.35">
      <c r="N14370" s="676"/>
    </row>
    <row r="14371" spans="14:14" x14ac:dyDescent="0.35">
      <c r="N14371" s="676"/>
    </row>
    <row r="14372" spans="14:14" x14ac:dyDescent="0.35">
      <c r="N14372" s="676"/>
    </row>
    <row r="14373" spans="14:14" x14ac:dyDescent="0.35">
      <c r="N14373" s="676"/>
    </row>
    <row r="14374" spans="14:14" x14ac:dyDescent="0.35">
      <c r="N14374" s="676"/>
    </row>
    <row r="14375" spans="14:14" x14ac:dyDescent="0.35">
      <c r="N14375" s="676"/>
    </row>
    <row r="14376" spans="14:14" x14ac:dyDescent="0.35">
      <c r="N14376" s="676"/>
    </row>
    <row r="14377" spans="14:14" x14ac:dyDescent="0.35">
      <c r="N14377" s="676"/>
    </row>
    <row r="14378" spans="14:14" x14ac:dyDescent="0.35">
      <c r="N14378" s="676"/>
    </row>
    <row r="14379" spans="14:14" x14ac:dyDescent="0.35">
      <c r="N14379" s="676"/>
    </row>
    <row r="14380" spans="14:14" x14ac:dyDescent="0.35">
      <c r="N14380" s="676"/>
    </row>
    <row r="14381" spans="14:14" x14ac:dyDescent="0.35">
      <c r="N14381" s="676"/>
    </row>
    <row r="14382" spans="14:14" x14ac:dyDescent="0.35">
      <c r="N14382" s="676"/>
    </row>
    <row r="14383" spans="14:14" x14ac:dyDescent="0.35">
      <c r="N14383" s="676"/>
    </row>
    <row r="14384" spans="14:14" x14ac:dyDescent="0.35">
      <c r="N14384" s="676"/>
    </row>
    <row r="14385" spans="14:14" x14ac:dyDescent="0.35">
      <c r="N14385" s="676"/>
    </row>
    <row r="14386" spans="14:14" x14ac:dyDescent="0.35">
      <c r="N14386" s="676"/>
    </row>
    <row r="14387" spans="14:14" x14ac:dyDescent="0.35">
      <c r="N14387" s="676"/>
    </row>
    <row r="14388" spans="14:14" x14ac:dyDescent="0.35">
      <c r="N14388" s="676"/>
    </row>
    <row r="14389" spans="14:14" x14ac:dyDescent="0.35">
      <c r="N14389" s="676"/>
    </row>
    <row r="14390" spans="14:14" x14ac:dyDescent="0.35">
      <c r="N14390" s="676"/>
    </row>
    <row r="14391" spans="14:14" x14ac:dyDescent="0.35">
      <c r="N14391" s="676"/>
    </row>
    <row r="14392" spans="14:14" x14ac:dyDescent="0.35">
      <c r="N14392" s="676"/>
    </row>
    <row r="14393" spans="14:14" x14ac:dyDescent="0.35">
      <c r="N14393" s="676"/>
    </row>
    <row r="14394" spans="14:14" x14ac:dyDescent="0.35">
      <c r="N14394" s="676"/>
    </row>
    <row r="14395" spans="14:14" x14ac:dyDescent="0.35">
      <c r="N14395" s="676"/>
    </row>
    <row r="14396" spans="14:14" x14ac:dyDescent="0.35">
      <c r="N14396" s="676"/>
    </row>
    <row r="14397" spans="14:14" x14ac:dyDescent="0.35">
      <c r="N14397" s="676"/>
    </row>
    <row r="14398" spans="14:14" x14ac:dyDescent="0.35">
      <c r="N14398" s="676"/>
    </row>
    <row r="14399" spans="14:14" x14ac:dyDescent="0.35">
      <c r="N14399" s="676"/>
    </row>
    <row r="14400" spans="14:14" x14ac:dyDescent="0.35">
      <c r="N14400" s="676"/>
    </row>
    <row r="14401" spans="14:14" x14ac:dyDescent="0.35">
      <c r="N14401" s="676"/>
    </row>
    <row r="14402" spans="14:14" x14ac:dyDescent="0.35">
      <c r="N14402" s="676"/>
    </row>
    <row r="14403" spans="14:14" x14ac:dyDescent="0.35">
      <c r="N14403" s="676"/>
    </row>
    <row r="14404" spans="14:14" x14ac:dyDescent="0.35">
      <c r="N14404" s="676"/>
    </row>
    <row r="14405" spans="14:14" x14ac:dyDescent="0.35">
      <c r="N14405" s="676"/>
    </row>
    <row r="14406" spans="14:14" x14ac:dyDescent="0.35">
      <c r="N14406" s="676"/>
    </row>
    <row r="14407" spans="14:14" x14ac:dyDescent="0.35">
      <c r="N14407" s="676"/>
    </row>
    <row r="14408" spans="14:14" x14ac:dyDescent="0.35">
      <c r="N14408" s="676"/>
    </row>
    <row r="14409" spans="14:14" x14ac:dyDescent="0.35">
      <c r="N14409" s="676"/>
    </row>
    <row r="14410" spans="14:14" x14ac:dyDescent="0.35">
      <c r="N14410" s="676"/>
    </row>
    <row r="14411" spans="14:14" x14ac:dyDescent="0.35">
      <c r="N14411" s="676"/>
    </row>
    <row r="14412" spans="14:14" x14ac:dyDescent="0.35">
      <c r="N14412" s="676"/>
    </row>
    <row r="14413" spans="14:14" x14ac:dyDescent="0.35">
      <c r="N14413" s="676"/>
    </row>
    <row r="14414" spans="14:14" x14ac:dyDescent="0.35">
      <c r="N14414" s="676"/>
    </row>
    <row r="14415" spans="14:14" x14ac:dyDescent="0.35">
      <c r="N14415" s="676"/>
    </row>
    <row r="14416" spans="14:14" x14ac:dyDescent="0.35">
      <c r="N14416" s="676"/>
    </row>
    <row r="14417" spans="14:14" x14ac:dyDescent="0.35">
      <c r="N14417" s="676"/>
    </row>
    <row r="14418" spans="14:14" x14ac:dyDescent="0.35">
      <c r="N14418" s="676"/>
    </row>
    <row r="14419" spans="14:14" x14ac:dyDescent="0.35">
      <c r="N14419" s="676"/>
    </row>
    <row r="14420" spans="14:14" x14ac:dyDescent="0.35">
      <c r="N14420" s="676"/>
    </row>
    <row r="14421" spans="14:14" x14ac:dyDescent="0.35">
      <c r="N14421" s="676"/>
    </row>
    <row r="14422" spans="14:14" x14ac:dyDescent="0.35">
      <c r="N14422" s="676"/>
    </row>
    <row r="14423" spans="14:14" x14ac:dyDescent="0.35">
      <c r="N14423" s="676"/>
    </row>
    <row r="14424" spans="14:14" x14ac:dyDescent="0.35">
      <c r="N14424" s="676"/>
    </row>
    <row r="14425" spans="14:14" x14ac:dyDescent="0.35">
      <c r="N14425" s="676"/>
    </row>
    <row r="14426" spans="14:14" x14ac:dyDescent="0.35">
      <c r="N14426" s="676"/>
    </row>
    <row r="14427" spans="14:14" x14ac:dyDescent="0.35">
      <c r="N14427" s="676"/>
    </row>
    <row r="14428" spans="14:14" x14ac:dyDescent="0.35">
      <c r="N14428" s="676"/>
    </row>
    <row r="14429" spans="14:14" x14ac:dyDescent="0.35">
      <c r="N14429" s="676"/>
    </row>
    <row r="14430" spans="14:14" x14ac:dyDescent="0.35">
      <c r="N14430" s="676"/>
    </row>
    <row r="14431" spans="14:14" x14ac:dyDescent="0.35">
      <c r="N14431" s="676"/>
    </row>
    <row r="14432" spans="14:14" x14ac:dyDescent="0.35">
      <c r="N14432" s="676"/>
    </row>
    <row r="14433" spans="14:14" x14ac:dyDescent="0.35">
      <c r="N14433" s="676"/>
    </row>
    <row r="14434" spans="14:14" x14ac:dyDescent="0.35">
      <c r="N14434" s="676"/>
    </row>
    <row r="14435" spans="14:14" x14ac:dyDescent="0.35">
      <c r="N14435" s="676"/>
    </row>
    <row r="14436" spans="14:14" x14ac:dyDescent="0.35">
      <c r="N14436" s="676"/>
    </row>
    <row r="14437" spans="14:14" x14ac:dyDescent="0.35">
      <c r="N14437" s="676"/>
    </row>
    <row r="14438" spans="14:14" x14ac:dyDescent="0.35">
      <c r="N14438" s="676"/>
    </row>
    <row r="14439" spans="14:14" x14ac:dyDescent="0.35">
      <c r="N14439" s="676"/>
    </row>
    <row r="14440" spans="14:14" x14ac:dyDescent="0.35">
      <c r="N14440" s="676"/>
    </row>
    <row r="14441" spans="14:14" x14ac:dyDescent="0.35">
      <c r="N14441" s="676"/>
    </row>
    <row r="14442" spans="14:14" x14ac:dyDescent="0.35">
      <c r="N14442" s="676"/>
    </row>
    <row r="14443" spans="14:14" x14ac:dyDescent="0.35">
      <c r="N14443" s="676"/>
    </row>
    <row r="14444" spans="14:14" x14ac:dyDescent="0.35">
      <c r="N14444" s="676"/>
    </row>
    <row r="14445" spans="14:14" x14ac:dyDescent="0.35">
      <c r="N14445" s="676"/>
    </row>
    <row r="14446" spans="14:14" x14ac:dyDescent="0.35">
      <c r="N14446" s="676"/>
    </row>
    <row r="14447" spans="14:14" x14ac:dyDescent="0.35">
      <c r="N14447" s="676"/>
    </row>
    <row r="14448" spans="14:14" x14ac:dyDescent="0.35">
      <c r="N14448" s="676"/>
    </row>
    <row r="14449" spans="14:14" x14ac:dyDescent="0.35">
      <c r="N14449" s="676"/>
    </row>
    <row r="14450" spans="14:14" x14ac:dyDescent="0.35">
      <c r="N14450" s="676"/>
    </row>
    <row r="14451" spans="14:14" x14ac:dyDescent="0.35">
      <c r="N14451" s="676"/>
    </row>
    <row r="14452" spans="14:14" x14ac:dyDescent="0.35">
      <c r="N14452" s="676"/>
    </row>
    <row r="14453" spans="14:14" x14ac:dyDescent="0.35">
      <c r="N14453" s="676"/>
    </row>
    <row r="14454" spans="14:14" x14ac:dyDescent="0.35">
      <c r="N14454" s="676"/>
    </row>
    <row r="14455" spans="14:14" x14ac:dyDescent="0.35">
      <c r="N14455" s="676"/>
    </row>
    <row r="14456" spans="14:14" x14ac:dyDescent="0.35">
      <c r="N14456" s="676"/>
    </row>
    <row r="14457" spans="14:14" x14ac:dyDescent="0.35">
      <c r="N14457" s="676"/>
    </row>
    <row r="14458" spans="14:14" x14ac:dyDescent="0.35">
      <c r="N14458" s="676"/>
    </row>
    <row r="14459" spans="14:14" x14ac:dyDescent="0.35">
      <c r="N14459" s="676"/>
    </row>
    <row r="14460" spans="14:14" x14ac:dyDescent="0.35">
      <c r="N14460" s="676"/>
    </row>
    <row r="14461" spans="14:14" x14ac:dyDescent="0.35">
      <c r="N14461" s="676"/>
    </row>
    <row r="14462" spans="14:14" x14ac:dyDescent="0.35">
      <c r="N14462" s="676"/>
    </row>
    <row r="14463" spans="14:14" x14ac:dyDescent="0.35">
      <c r="N14463" s="676"/>
    </row>
    <row r="14464" spans="14:14" x14ac:dyDescent="0.35">
      <c r="N14464" s="676"/>
    </row>
    <row r="14465" spans="14:14" x14ac:dyDescent="0.35">
      <c r="N14465" s="676"/>
    </row>
    <row r="14466" spans="14:14" x14ac:dyDescent="0.35">
      <c r="N14466" s="676"/>
    </row>
    <row r="14467" spans="14:14" x14ac:dyDescent="0.35">
      <c r="N14467" s="676"/>
    </row>
    <row r="14468" spans="14:14" x14ac:dyDescent="0.35">
      <c r="N14468" s="676"/>
    </row>
    <row r="14469" spans="14:14" x14ac:dyDescent="0.35">
      <c r="N14469" s="676"/>
    </row>
    <row r="14470" spans="14:14" x14ac:dyDescent="0.35">
      <c r="N14470" s="676"/>
    </row>
    <row r="14471" spans="14:14" x14ac:dyDescent="0.35">
      <c r="N14471" s="676"/>
    </row>
    <row r="14472" spans="14:14" x14ac:dyDescent="0.35">
      <c r="N14472" s="676"/>
    </row>
    <row r="14473" spans="14:14" x14ac:dyDescent="0.35">
      <c r="N14473" s="676"/>
    </row>
    <row r="14474" spans="14:14" x14ac:dyDescent="0.35">
      <c r="N14474" s="676"/>
    </row>
    <row r="14475" spans="14:14" x14ac:dyDescent="0.35">
      <c r="N14475" s="676"/>
    </row>
    <row r="14476" spans="14:14" x14ac:dyDescent="0.35">
      <c r="N14476" s="676"/>
    </row>
    <row r="14477" spans="14:14" x14ac:dyDescent="0.35">
      <c r="N14477" s="676"/>
    </row>
    <row r="14478" spans="14:14" x14ac:dyDescent="0.35">
      <c r="N14478" s="676"/>
    </row>
    <row r="14479" spans="14:14" x14ac:dyDescent="0.35">
      <c r="N14479" s="676"/>
    </row>
    <row r="14480" spans="14:14" x14ac:dyDescent="0.35">
      <c r="N14480" s="676"/>
    </row>
    <row r="14481" spans="14:14" x14ac:dyDescent="0.35">
      <c r="N14481" s="676"/>
    </row>
    <row r="14482" spans="14:14" x14ac:dyDescent="0.35">
      <c r="N14482" s="676"/>
    </row>
    <row r="14483" spans="14:14" x14ac:dyDescent="0.35">
      <c r="N14483" s="676"/>
    </row>
    <row r="14484" spans="14:14" x14ac:dyDescent="0.35">
      <c r="N14484" s="676"/>
    </row>
    <row r="14485" spans="14:14" x14ac:dyDescent="0.35">
      <c r="N14485" s="676"/>
    </row>
    <row r="14486" spans="14:14" x14ac:dyDescent="0.35">
      <c r="N14486" s="676"/>
    </row>
    <row r="14487" spans="14:14" x14ac:dyDescent="0.35">
      <c r="N14487" s="676"/>
    </row>
    <row r="14488" spans="14:14" x14ac:dyDescent="0.35">
      <c r="N14488" s="676"/>
    </row>
    <row r="14489" spans="14:14" x14ac:dyDescent="0.35">
      <c r="N14489" s="676"/>
    </row>
    <row r="14490" spans="14:14" x14ac:dyDescent="0.35">
      <c r="N14490" s="676"/>
    </row>
    <row r="14491" spans="14:14" x14ac:dyDescent="0.35">
      <c r="N14491" s="676"/>
    </row>
    <row r="14492" spans="14:14" x14ac:dyDescent="0.35">
      <c r="N14492" s="676"/>
    </row>
    <row r="14493" spans="14:14" x14ac:dyDescent="0.35">
      <c r="N14493" s="676"/>
    </row>
    <row r="14494" spans="14:14" x14ac:dyDescent="0.35">
      <c r="N14494" s="676"/>
    </row>
    <row r="14495" spans="14:14" x14ac:dyDescent="0.35">
      <c r="N14495" s="676"/>
    </row>
    <row r="14496" spans="14:14" x14ac:dyDescent="0.35">
      <c r="N14496" s="676"/>
    </row>
    <row r="14497" spans="14:14" x14ac:dyDescent="0.35">
      <c r="N14497" s="676"/>
    </row>
    <row r="14498" spans="14:14" x14ac:dyDescent="0.35">
      <c r="N14498" s="676"/>
    </row>
    <row r="14499" spans="14:14" x14ac:dyDescent="0.35">
      <c r="N14499" s="676"/>
    </row>
    <row r="14500" spans="14:14" x14ac:dyDescent="0.35">
      <c r="N14500" s="676"/>
    </row>
    <row r="14501" spans="14:14" x14ac:dyDescent="0.35">
      <c r="N14501" s="676"/>
    </row>
    <row r="14502" spans="14:14" x14ac:dyDescent="0.35">
      <c r="N14502" s="676"/>
    </row>
    <row r="14503" spans="14:14" x14ac:dyDescent="0.35">
      <c r="N14503" s="676"/>
    </row>
    <row r="14504" spans="14:14" x14ac:dyDescent="0.35">
      <c r="N14504" s="676"/>
    </row>
    <row r="14505" spans="14:14" x14ac:dyDescent="0.35">
      <c r="N14505" s="676"/>
    </row>
    <row r="14506" spans="14:14" x14ac:dyDescent="0.35">
      <c r="N14506" s="676"/>
    </row>
    <row r="14507" spans="14:14" x14ac:dyDescent="0.35">
      <c r="N14507" s="676"/>
    </row>
    <row r="14508" spans="14:14" x14ac:dyDescent="0.35">
      <c r="N14508" s="676"/>
    </row>
    <row r="14509" spans="14:14" x14ac:dyDescent="0.35">
      <c r="N14509" s="676"/>
    </row>
    <row r="14510" spans="14:14" x14ac:dyDescent="0.35">
      <c r="N14510" s="676"/>
    </row>
    <row r="14511" spans="14:14" x14ac:dyDescent="0.35">
      <c r="N14511" s="676"/>
    </row>
    <row r="14512" spans="14:14" x14ac:dyDescent="0.35">
      <c r="N14512" s="676"/>
    </row>
    <row r="14513" spans="14:14" x14ac:dyDescent="0.35">
      <c r="N14513" s="676"/>
    </row>
    <row r="14514" spans="14:14" x14ac:dyDescent="0.35">
      <c r="N14514" s="676"/>
    </row>
    <row r="14515" spans="14:14" x14ac:dyDescent="0.35">
      <c r="N14515" s="676"/>
    </row>
    <row r="14516" spans="14:14" x14ac:dyDescent="0.35">
      <c r="N14516" s="676"/>
    </row>
    <row r="14517" spans="14:14" x14ac:dyDescent="0.35">
      <c r="N14517" s="676"/>
    </row>
    <row r="14518" spans="14:14" x14ac:dyDescent="0.35">
      <c r="N14518" s="676"/>
    </row>
    <row r="14519" spans="14:14" x14ac:dyDescent="0.35">
      <c r="N14519" s="676"/>
    </row>
    <row r="14520" spans="14:14" x14ac:dyDescent="0.35">
      <c r="N14520" s="676"/>
    </row>
    <row r="14521" spans="14:14" x14ac:dyDescent="0.35">
      <c r="N14521" s="676"/>
    </row>
    <row r="14522" spans="14:14" x14ac:dyDescent="0.35">
      <c r="N14522" s="676"/>
    </row>
    <row r="14523" spans="14:14" x14ac:dyDescent="0.35">
      <c r="N14523" s="676"/>
    </row>
    <row r="14524" spans="14:14" x14ac:dyDescent="0.35">
      <c r="N14524" s="676"/>
    </row>
    <row r="14525" spans="14:14" x14ac:dyDescent="0.35">
      <c r="N14525" s="676"/>
    </row>
    <row r="14526" spans="14:14" x14ac:dyDescent="0.35">
      <c r="N14526" s="676"/>
    </row>
    <row r="14527" spans="14:14" x14ac:dyDescent="0.35">
      <c r="N14527" s="676"/>
    </row>
    <row r="14528" spans="14:14" x14ac:dyDescent="0.35">
      <c r="N14528" s="676"/>
    </row>
    <row r="14529" spans="14:14" x14ac:dyDescent="0.35">
      <c r="N14529" s="676"/>
    </row>
    <row r="14530" spans="14:14" x14ac:dyDescent="0.35">
      <c r="N14530" s="676"/>
    </row>
    <row r="14531" spans="14:14" x14ac:dyDescent="0.35">
      <c r="N14531" s="676"/>
    </row>
    <row r="14532" spans="14:14" x14ac:dyDescent="0.35">
      <c r="N14532" s="676"/>
    </row>
    <row r="14533" spans="14:14" x14ac:dyDescent="0.35">
      <c r="N14533" s="676"/>
    </row>
    <row r="14534" spans="14:14" x14ac:dyDescent="0.35">
      <c r="N14534" s="676"/>
    </row>
    <row r="14535" spans="14:14" x14ac:dyDescent="0.35">
      <c r="N14535" s="676"/>
    </row>
    <row r="14536" spans="14:14" x14ac:dyDescent="0.35">
      <c r="N14536" s="676"/>
    </row>
    <row r="14537" spans="14:14" x14ac:dyDescent="0.35">
      <c r="N14537" s="676"/>
    </row>
    <row r="14538" spans="14:14" x14ac:dyDescent="0.35">
      <c r="N14538" s="676"/>
    </row>
    <row r="14539" spans="14:14" x14ac:dyDescent="0.35">
      <c r="N14539" s="676"/>
    </row>
    <row r="14540" spans="14:14" x14ac:dyDescent="0.35">
      <c r="N14540" s="676"/>
    </row>
    <row r="14541" spans="14:14" x14ac:dyDescent="0.35">
      <c r="N14541" s="676"/>
    </row>
    <row r="14542" spans="14:14" x14ac:dyDescent="0.35">
      <c r="N14542" s="676"/>
    </row>
    <row r="14543" spans="14:14" x14ac:dyDescent="0.35">
      <c r="N14543" s="676"/>
    </row>
    <row r="14544" spans="14:14" x14ac:dyDescent="0.35">
      <c r="N14544" s="676"/>
    </row>
    <row r="14545" spans="14:14" x14ac:dyDescent="0.35">
      <c r="N14545" s="676"/>
    </row>
    <row r="14546" spans="14:14" x14ac:dyDescent="0.35">
      <c r="N14546" s="676"/>
    </row>
    <row r="14547" spans="14:14" x14ac:dyDescent="0.35">
      <c r="N14547" s="676"/>
    </row>
    <row r="14548" spans="14:14" x14ac:dyDescent="0.35">
      <c r="N14548" s="676"/>
    </row>
    <row r="14549" spans="14:14" x14ac:dyDescent="0.35">
      <c r="N14549" s="676"/>
    </row>
    <row r="14550" spans="14:14" x14ac:dyDescent="0.35">
      <c r="N14550" s="676"/>
    </row>
    <row r="14551" spans="14:14" x14ac:dyDescent="0.35">
      <c r="N14551" s="676"/>
    </row>
    <row r="14552" spans="14:14" x14ac:dyDescent="0.35">
      <c r="N14552" s="676"/>
    </row>
    <row r="14553" spans="14:14" x14ac:dyDescent="0.35">
      <c r="N14553" s="676"/>
    </row>
    <row r="14554" spans="14:14" x14ac:dyDescent="0.35">
      <c r="N14554" s="676"/>
    </row>
    <row r="14555" spans="14:14" x14ac:dyDescent="0.35">
      <c r="N14555" s="676"/>
    </row>
    <row r="14556" spans="14:14" x14ac:dyDescent="0.35">
      <c r="N14556" s="676"/>
    </row>
    <row r="14557" spans="14:14" x14ac:dyDescent="0.35">
      <c r="N14557" s="676"/>
    </row>
    <row r="14558" spans="14:14" x14ac:dyDescent="0.35">
      <c r="N14558" s="676"/>
    </row>
    <row r="14559" spans="14:14" x14ac:dyDescent="0.35">
      <c r="N14559" s="676"/>
    </row>
    <row r="14560" spans="14:14" x14ac:dyDescent="0.35">
      <c r="N14560" s="676"/>
    </row>
    <row r="14561" spans="14:14" x14ac:dyDescent="0.35">
      <c r="N14561" s="676"/>
    </row>
    <row r="14562" spans="14:14" x14ac:dyDescent="0.35">
      <c r="N14562" s="676"/>
    </row>
    <row r="14563" spans="14:14" x14ac:dyDescent="0.35">
      <c r="N14563" s="676"/>
    </row>
    <row r="14564" spans="14:14" x14ac:dyDescent="0.35">
      <c r="N14564" s="676"/>
    </row>
    <row r="14565" spans="14:14" x14ac:dyDescent="0.35">
      <c r="N14565" s="676"/>
    </row>
    <row r="14566" spans="14:14" x14ac:dyDescent="0.35">
      <c r="N14566" s="676"/>
    </row>
    <row r="14567" spans="14:14" x14ac:dyDescent="0.35">
      <c r="N14567" s="676"/>
    </row>
    <row r="14568" spans="14:14" x14ac:dyDescent="0.35">
      <c r="N14568" s="676"/>
    </row>
    <row r="14569" spans="14:14" x14ac:dyDescent="0.35">
      <c r="N14569" s="676"/>
    </row>
    <row r="14570" spans="14:14" x14ac:dyDescent="0.35">
      <c r="N14570" s="676"/>
    </row>
    <row r="14571" spans="14:14" x14ac:dyDescent="0.35">
      <c r="N14571" s="676"/>
    </row>
    <row r="14572" spans="14:14" x14ac:dyDescent="0.35">
      <c r="N14572" s="676"/>
    </row>
    <row r="14573" spans="14:14" x14ac:dyDescent="0.35">
      <c r="N14573" s="676"/>
    </row>
    <row r="14574" spans="14:14" x14ac:dyDescent="0.35">
      <c r="N14574" s="676"/>
    </row>
    <row r="14575" spans="14:14" x14ac:dyDescent="0.35">
      <c r="N14575" s="676"/>
    </row>
    <row r="14576" spans="14:14" x14ac:dyDescent="0.35">
      <c r="N14576" s="676"/>
    </row>
    <row r="14577" spans="14:14" x14ac:dyDescent="0.35">
      <c r="N14577" s="676"/>
    </row>
    <row r="14578" spans="14:14" x14ac:dyDescent="0.35">
      <c r="N14578" s="676"/>
    </row>
    <row r="14579" spans="14:14" x14ac:dyDescent="0.35">
      <c r="N14579" s="676"/>
    </row>
    <row r="14580" spans="14:14" x14ac:dyDescent="0.35">
      <c r="N14580" s="676"/>
    </row>
    <row r="14581" spans="14:14" x14ac:dyDescent="0.35">
      <c r="N14581" s="676"/>
    </row>
    <row r="14582" spans="14:14" x14ac:dyDescent="0.35">
      <c r="N14582" s="676"/>
    </row>
    <row r="14583" spans="14:14" x14ac:dyDescent="0.35">
      <c r="N14583" s="676"/>
    </row>
    <row r="14584" spans="14:14" x14ac:dyDescent="0.35">
      <c r="N14584" s="676"/>
    </row>
    <row r="14585" spans="14:14" x14ac:dyDescent="0.35">
      <c r="N14585" s="676"/>
    </row>
    <row r="14586" spans="14:14" x14ac:dyDescent="0.35">
      <c r="N14586" s="676"/>
    </row>
    <row r="14587" spans="14:14" x14ac:dyDescent="0.35">
      <c r="N14587" s="676"/>
    </row>
    <row r="14588" spans="14:14" x14ac:dyDescent="0.35">
      <c r="N14588" s="676"/>
    </row>
    <row r="14589" spans="14:14" x14ac:dyDescent="0.35">
      <c r="N14589" s="676"/>
    </row>
    <row r="14590" spans="14:14" x14ac:dyDescent="0.35">
      <c r="N14590" s="676"/>
    </row>
    <row r="14591" spans="14:14" x14ac:dyDescent="0.35">
      <c r="N14591" s="676"/>
    </row>
    <row r="14592" spans="14:14" x14ac:dyDescent="0.35">
      <c r="N14592" s="676"/>
    </row>
    <row r="14593" spans="14:14" x14ac:dyDescent="0.35">
      <c r="N14593" s="676"/>
    </row>
    <row r="14594" spans="14:14" x14ac:dyDescent="0.35">
      <c r="N14594" s="676"/>
    </row>
    <row r="14595" spans="14:14" x14ac:dyDescent="0.35">
      <c r="N14595" s="676"/>
    </row>
    <row r="14596" spans="14:14" x14ac:dyDescent="0.35">
      <c r="N14596" s="676"/>
    </row>
    <row r="14597" spans="14:14" x14ac:dyDescent="0.35">
      <c r="N14597" s="676"/>
    </row>
    <row r="14598" spans="14:14" x14ac:dyDescent="0.35">
      <c r="N14598" s="676"/>
    </row>
    <row r="14599" spans="14:14" x14ac:dyDescent="0.35">
      <c r="N14599" s="676"/>
    </row>
    <row r="14600" spans="14:14" x14ac:dyDescent="0.35">
      <c r="N14600" s="676"/>
    </row>
    <row r="14601" spans="14:14" x14ac:dyDescent="0.35">
      <c r="N14601" s="676"/>
    </row>
    <row r="14602" spans="14:14" x14ac:dyDescent="0.35">
      <c r="N14602" s="676"/>
    </row>
    <row r="14603" spans="14:14" x14ac:dyDescent="0.35">
      <c r="N14603" s="676"/>
    </row>
    <row r="14604" spans="14:14" x14ac:dyDescent="0.35">
      <c r="N14604" s="676"/>
    </row>
    <row r="14605" spans="14:14" x14ac:dyDescent="0.35">
      <c r="N14605" s="676"/>
    </row>
    <row r="14606" spans="14:14" x14ac:dyDescent="0.35">
      <c r="N14606" s="676"/>
    </row>
    <row r="14607" spans="14:14" x14ac:dyDescent="0.35">
      <c r="N14607" s="676"/>
    </row>
    <row r="14608" spans="14:14" x14ac:dyDescent="0.35">
      <c r="N14608" s="676"/>
    </row>
    <row r="14609" spans="14:14" x14ac:dyDescent="0.35">
      <c r="N14609" s="676"/>
    </row>
    <row r="14610" spans="14:14" x14ac:dyDescent="0.35">
      <c r="N14610" s="676"/>
    </row>
    <row r="14611" spans="14:14" x14ac:dyDescent="0.35">
      <c r="N14611" s="676"/>
    </row>
    <row r="14612" spans="14:14" x14ac:dyDescent="0.35">
      <c r="N14612" s="676"/>
    </row>
    <row r="14613" spans="14:14" x14ac:dyDescent="0.35">
      <c r="N14613" s="676"/>
    </row>
    <row r="14614" spans="14:14" x14ac:dyDescent="0.35">
      <c r="N14614" s="676"/>
    </row>
    <row r="14615" spans="14:14" x14ac:dyDescent="0.35">
      <c r="N14615" s="676"/>
    </row>
    <row r="14616" spans="14:14" x14ac:dyDescent="0.35">
      <c r="N14616" s="676"/>
    </row>
    <row r="14617" spans="14:14" x14ac:dyDescent="0.35">
      <c r="N14617" s="676"/>
    </row>
    <row r="14618" spans="14:14" x14ac:dyDescent="0.35">
      <c r="N14618" s="676"/>
    </row>
    <row r="14619" spans="14:14" x14ac:dyDescent="0.35">
      <c r="N14619" s="676"/>
    </row>
    <row r="14620" spans="14:14" x14ac:dyDescent="0.35">
      <c r="N14620" s="676"/>
    </row>
    <row r="14621" spans="14:14" x14ac:dyDescent="0.35">
      <c r="N14621" s="676"/>
    </row>
    <row r="14622" spans="14:14" x14ac:dyDescent="0.35">
      <c r="N14622" s="676"/>
    </row>
    <row r="14623" spans="14:14" x14ac:dyDescent="0.35">
      <c r="N14623" s="676"/>
    </row>
    <row r="14624" spans="14:14" x14ac:dyDescent="0.35">
      <c r="N14624" s="676"/>
    </row>
    <row r="14625" spans="14:14" x14ac:dyDescent="0.35">
      <c r="N14625" s="676"/>
    </row>
    <row r="14626" spans="14:14" x14ac:dyDescent="0.35">
      <c r="N14626" s="676"/>
    </row>
    <row r="14627" spans="14:14" x14ac:dyDescent="0.35">
      <c r="N14627" s="676"/>
    </row>
    <row r="14628" spans="14:14" x14ac:dyDescent="0.35">
      <c r="N14628" s="676"/>
    </row>
    <row r="14629" spans="14:14" x14ac:dyDescent="0.35">
      <c r="N14629" s="676"/>
    </row>
    <row r="14630" spans="14:14" x14ac:dyDescent="0.35">
      <c r="N14630" s="676"/>
    </row>
    <row r="14631" spans="14:14" x14ac:dyDescent="0.35">
      <c r="N14631" s="676"/>
    </row>
    <row r="14632" spans="14:14" x14ac:dyDescent="0.35">
      <c r="N14632" s="676"/>
    </row>
    <row r="14633" spans="14:14" x14ac:dyDescent="0.35">
      <c r="N14633" s="676"/>
    </row>
    <row r="14634" spans="14:14" x14ac:dyDescent="0.35">
      <c r="N14634" s="676"/>
    </row>
    <row r="14635" spans="14:14" x14ac:dyDescent="0.35">
      <c r="N14635" s="676"/>
    </row>
    <row r="14636" spans="14:14" x14ac:dyDescent="0.35">
      <c r="N14636" s="676"/>
    </row>
    <row r="14637" spans="14:14" x14ac:dyDescent="0.35">
      <c r="N14637" s="676"/>
    </row>
    <row r="14638" spans="14:14" x14ac:dyDescent="0.35">
      <c r="N14638" s="676"/>
    </row>
    <row r="14639" spans="14:14" x14ac:dyDescent="0.35">
      <c r="N14639" s="676"/>
    </row>
    <row r="14640" spans="14:14" x14ac:dyDescent="0.35">
      <c r="N14640" s="676"/>
    </row>
    <row r="14641" spans="14:14" x14ac:dyDescent="0.35">
      <c r="N14641" s="676"/>
    </row>
    <row r="14642" spans="14:14" x14ac:dyDescent="0.35">
      <c r="N14642" s="676"/>
    </row>
    <row r="14643" spans="14:14" x14ac:dyDescent="0.35">
      <c r="N14643" s="676"/>
    </row>
    <row r="14644" spans="14:14" x14ac:dyDescent="0.35">
      <c r="N14644" s="676"/>
    </row>
    <row r="14645" spans="14:14" x14ac:dyDescent="0.35">
      <c r="N14645" s="676"/>
    </row>
    <row r="14646" spans="14:14" x14ac:dyDescent="0.35">
      <c r="N14646" s="676"/>
    </row>
    <row r="14647" spans="14:14" x14ac:dyDescent="0.35">
      <c r="N14647" s="676"/>
    </row>
    <row r="14648" spans="14:14" x14ac:dyDescent="0.35">
      <c r="N14648" s="676"/>
    </row>
    <row r="14649" spans="14:14" x14ac:dyDescent="0.35">
      <c r="N14649" s="676"/>
    </row>
    <row r="14650" spans="14:14" x14ac:dyDescent="0.35">
      <c r="N14650" s="676"/>
    </row>
    <row r="14651" spans="14:14" x14ac:dyDescent="0.35">
      <c r="N14651" s="676"/>
    </row>
    <row r="14652" spans="14:14" x14ac:dyDescent="0.35">
      <c r="N14652" s="676"/>
    </row>
    <row r="14653" spans="14:14" x14ac:dyDescent="0.35">
      <c r="N14653" s="676"/>
    </row>
    <row r="14654" spans="14:14" x14ac:dyDescent="0.35">
      <c r="N14654" s="676"/>
    </row>
    <row r="14655" spans="14:14" x14ac:dyDescent="0.35">
      <c r="N14655" s="676"/>
    </row>
    <row r="14656" spans="14:14" x14ac:dyDescent="0.35">
      <c r="N14656" s="676"/>
    </row>
    <row r="14657" spans="14:14" x14ac:dyDescent="0.35">
      <c r="N14657" s="676"/>
    </row>
    <row r="14658" spans="14:14" x14ac:dyDescent="0.35">
      <c r="N14658" s="676"/>
    </row>
    <row r="14659" spans="14:14" x14ac:dyDescent="0.35">
      <c r="N14659" s="676"/>
    </row>
    <row r="14660" spans="14:14" x14ac:dyDescent="0.35">
      <c r="N14660" s="676"/>
    </row>
    <row r="14661" spans="14:14" x14ac:dyDescent="0.35">
      <c r="N14661" s="676"/>
    </row>
    <row r="14662" spans="14:14" x14ac:dyDescent="0.35">
      <c r="N14662" s="676"/>
    </row>
    <row r="14663" spans="14:14" x14ac:dyDescent="0.35">
      <c r="N14663" s="676"/>
    </row>
    <row r="14664" spans="14:14" x14ac:dyDescent="0.35">
      <c r="N14664" s="676"/>
    </row>
    <row r="14665" spans="14:14" x14ac:dyDescent="0.35">
      <c r="N14665" s="676"/>
    </row>
    <row r="14666" spans="14:14" x14ac:dyDescent="0.35">
      <c r="N14666" s="676"/>
    </row>
    <row r="14667" spans="14:14" x14ac:dyDescent="0.35">
      <c r="N14667" s="676"/>
    </row>
    <row r="14668" spans="14:14" x14ac:dyDescent="0.35">
      <c r="N14668" s="676"/>
    </row>
    <row r="14669" spans="14:14" x14ac:dyDescent="0.35">
      <c r="N14669" s="676"/>
    </row>
    <row r="14670" spans="14:14" x14ac:dyDescent="0.35">
      <c r="N14670" s="676"/>
    </row>
    <row r="14671" spans="14:14" x14ac:dyDescent="0.35">
      <c r="N14671" s="676"/>
    </row>
    <row r="14672" spans="14:14" x14ac:dyDescent="0.35">
      <c r="N14672" s="676"/>
    </row>
    <row r="14673" spans="14:14" x14ac:dyDescent="0.35">
      <c r="N14673" s="676"/>
    </row>
    <row r="14674" spans="14:14" x14ac:dyDescent="0.35">
      <c r="N14674" s="676"/>
    </row>
    <row r="14675" spans="14:14" x14ac:dyDescent="0.35">
      <c r="N14675" s="676"/>
    </row>
    <row r="14676" spans="14:14" x14ac:dyDescent="0.35">
      <c r="N14676" s="676"/>
    </row>
    <row r="14677" spans="14:14" x14ac:dyDescent="0.35">
      <c r="N14677" s="676"/>
    </row>
    <row r="14678" spans="14:14" x14ac:dyDescent="0.35">
      <c r="N14678" s="676"/>
    </row>
    <row r="14679" spans="14:14" x14ac:dyDescent="0.35">
      <c r="N14679" s="676"/>
    </row>
    <row r="14680" spans="14:14" x14ac:dyDescent="0.35">
      <c r="N14680" s="676"/>
    </row>
    <row r="14681" spans="14:14" x14ac:dyDescent="0.35">
      <c r="N14681" s="676"/>
    </row>
    <row r="14682" spans="14:14" x14ac:dyDescent="0.35">
      <c r="N14682" s="676"/>
    </row>
    <row r="14683" spans="14:14" x14ac:dyDescent="0.35">
      <c r="N14683" s="676"/>
    </row>
    <row r="14684" spans="14:14" x14ac:dyDescent="0.35">
      <c r="N14684" s="676"/>
    </row>
    <row r="14685" spans="14:14" x14ac:dyDescent="0.35">
      <c r="N14685" s="676"/>
    </row>
    <row r="14686" spans="14:14" x14ac:dyDescent="0.35">
      <c r="N14686" s="676"/>
    </row>
    <row r="14687" spans="14:14" x14ac:dyDescent="0.35">
      <c r="N14687" s="676"/>
    </row>
    <row r="14688" spans="14:14" x14ac:dyDescent="0.35">
      <c r="N14688" s="676"/>
    </row>
    <row r="14689" spans="14:14" x14ac:dyDescent="0.35">
      <c r="N14689" s="676"/>
    </row>
    <row r="14690" spans="14:14" x14ac:dyDescent="0.35">
      <c r="N14690" s="676"/>
    </row>
    <row r="14691" spans="14:14" x14ac:dyDescent="0.35">
      <c r="N14691" s="676"/>
    </row>
    <row r="14692" spans="14:14" x14ac:dyDescent="0.35">
      <c r="N14692" s="676"/>
    </row>
    <row r="14693" spans="14:14" x14ac:dyDescent="0.35">
      <c r="N14693" s="676"/>
    </row>
    <row r="14694" spans="14:14" x14ac:dyDescent="0.35">
      <c r="N14694" s="676"/>
    </row>
    <row r="14695" spans="14:14" x14ac:dyDescent="0.35">
      <c r="N14695" s="676"/>
    </row>
    <row r="14696" spans="14:14" x14ac:dyDescent="0.35">
      <c r="N14696" s="676"/>
    </row>
    <row r="14697" spans="14:14" x14ac:dyDescent="0.35">
      <c r="N14697" s="676"/>
    </row>
    <row r="14698" spans="14:14" x14ac:dyDescent="0.35">
      <c r="N14698" s="676"/>
    </row>
    <row r="14699" spans="14:14" x14ac:dyDescent="0.35">
      <c r="N14699" s="676"/>
    </row>
    <row r="14700" spans="14:14" x14ac:dyDescent="0.35">
      <c r="N14700" s="676"/>
    </row>
    <row r="14701" spans="14:14" x14ac:dyDescent="0.35">
      <c r="N14701" s="676"/>
    </row>
    <row r="14702" spans="14:14" x14ac:dyDescent="0.35">
      <c r="N14702" s="676"/>
    </row>
    <row r="14703" spans="14:14" x14ac:dyDescent="0.35">
      <c r="N14703" s="676"/>
    </row>
    <row r="14704" spans="14:14" x14ac:dyDescent="0.35">
      <c r="N14704" s="676"/>
    </row>
    <row r="14705" spans="14:14" x14ac:dyDescent="0.35">
      <c r="N14705" s="676"/>
    </row>
    <row r="14706" spans="14:14" x14ac:dyDescent="0.35">
      <c r="N14706" s="676"/>
    </row>
    <row r="14707" spans="14:14" x14ac:dyDescent="0.35">
      <c r="N14707" s="676"/>
    </row>
    <row r="14708" spans="14:14" x14ac:dyDescent="0.35">
      <c r="N14708" s="676"/>
    </row>
    <row r="14709" spans="14:14" x14ac:dyDescent="0.35">
      <c r="N14709" s="676"/>
    </row>
    <row r="14710" spans="14:14" x14ac:dyDescent="0.35">
      <c r="N14710" s="676"/>
    </row>
    <row r="14711" spans="14:14" x14ac:dyDescent="0.35">
      <c r="N14711" s="676"/>
    </row>
    <row r="14712" spans="14:14" x14ac:dyDescent="0.35">
      <c r="N14712" s="676"/>
    </row>
    <row r="14713" spans="14:14" x14ac:dyDescent="0.35">
      <c r="N14713" s="676"/>
    </row>
    <row r="14714" spans="14:14" x14ac:dyDescent="0.35">
      <c r="N14714" s="676"/>
    </row>
    <row r="14715" spans="14:14" x14ac:dyDescent="0.35">
      <c r="N14715" s="676"/>
    </row>
    <row r="14716" spans="14:14" x14ac:dyDescent="0.35">
      <c r="N14716" s="676"/>
    </row>
    <row r="14717" spans="14:14" x14ac:dyDescent="0.35">
      <c r="N14717" s="676"/>
    </row>
    <row r="14718" spans="14:14" x14ac:dyDescent="0.35">
      <c r="N14718" s="676"/>
    </row>
    <row r="14719" spans="14:14" x14ac:dyDescent="0.35">
      <c r="N14719" s="676"/>
    </row>
    <row r="14720" spans="14:14" x14ac:dyDescent="0.35">
      <c r="N14720" s="676"/>
    </row>
    <row r="14721" spans="14:14" x14ac:dyDescent="0.35">
      <c r="N14721" s="676"/>
    </row>
    <row r="14722" spans="14:14" x14ac:dyDescent="0.35">
      <c r="N14722" s="676"/>
    </row>
    <row r="14723" spans="14:14" x14ac:dyDescent="0.35">
      <c r="N14723" s="676"/>
    </row>
    <row r="14724" spans="14:14" x14ac:dyDescent="0.35">
      <c r="N14724" s="676"/>
    </row>
    <row r="14725" spans="14:14" x14ac:dyDescent="0.35">
      <c r="N14725" s="676"/>
    </row>
    <row r="14726" spans="14:14" x14ac:dyDescent="0.35">
      <c r="N14726" s="676"/>
    </row>
    <row r="14727" spans="14:14" x14ac:dyDescent="0.35">
      <c r="N14727" s="676"/>
    </row>
    <row r="14728" spans="14:14" x14ac:dyDescent="0.35">
      <c r="N14728" s="676"/>
    </row>
    <row r="14729" spans="14:14" x14ac:dyDescent="0.35">
      <c r="N14729" s="676"/>
    </row>
    <row r="14730" spans="14:14" x14ac:dyDescent="0.35">
      <c r="N14730" s="676"/>
    </row>
    <row r="14731" spans="14:14" x14ac:dyDescent="0.35">
      <c r="N14731" s="676"/>
    </row>
    <row r="14732" spans="14:14" x14ac:dyDescent="0.35">
      <c r="N14732" s="676"/>
    </row>
    <row r="14733" spans="14:14" x14ac:dyDescent="0.35">
      <c r="N14733" s="676"/>
    </row>
    <row r="14734" spans="14:14" x14ac:dyDescent="0.35">
      <c r="N14734" s="676"/>
    </row>
    <row r="14735" spans="14:14" x14ac:dyDescent="0.35">
      <c r="N14735" s="676"/>
    </row>
    <row r="14736" spans="14:14" x14ac:dyDescent="0.35">
      <c r="N14736" s="676"/>
    </row>
    <row r="14737" spans="14:14" x14ac:dyDescent="0.35">
      <c r="N14737" s="676"/>
    </row>
    <row r="14738" spans="14:14" x14ac:dyDescent="0.35">
      <c r="N14738" s="676"/>
    </row>
    <row r="14739" spans="14:14" x14ac:dyDescent="0.35">
      <c r="N14739" s="676"/>
    </row>
    <row r="14740" spans="14:14" x14ac:dyDescent="0.35">
      <c r="N14740" s="676"/>
    </row>
    <row r="14741" spans="14:14" x14ac:dyDescent="0.35">
      <c r="N14741" s="676"/>
    </row>
    <row r="14742" spans="14:14" x14ac:dyDescent="0.35">
      <c r="N14742" s="676"/>
    </row>
    <row r="14743" spans="14:14" x14ac:dyDescent="0.35">
      <c r="N14743" s="676"/>
    </row>
    <row r="14744" spans="14:14" x14ac:dyDescent="0.35">
      <c r="N14744" s="676"/>
    </row>
    <row r="14745" spans="14:14" x14ac:dyDescent="0.35">
      <c r="N14745" s="676"/>
    </row>
    <row r="14746" spans="14:14" x14ac:dyDescent="0.35">
      <c r="N14746" s="676"/>
    </row>
    <row r="14747" spans="14:14" x14ac:dyDescent="0.35">
      <c r="N14747" s="676"/>
    </row>
    <row r="14748" spans="14:14" x14ac:dyDescent="0.35">
      <c r="N14748" s="676"/>
    </row>
    <row r="14749" spans="14:14" x14ac:dyDescent="0.35">
      <c r="N14749" s="676"/>
    </row>
    <row r="14750" spans="14:14" x14ac:dyDescent="0.35">
      <c r="N14750" s="676"/>
    </row>
    <row r="14751" spans="14:14" x14ac:dyDescent="0.35">
      <c r="N14751" s="676"/>
    </row>
    <row r="14752" spans="14:14" x14ac:dyDescent="0.35">
      <c r="N14752" s="676"/>
    </row>
    <row r="14753" spans="14:14" x14ac:dyDescent="0.35">
      <c r="N14753" s="676"/>
    </row>
    <row r="14754" spans="14:14" x14ac:dyDescent="0.35">
      <c r="N14754" s="676"/>
    </row>
    <row r="14755" spans="14:14" x14ac:dyDescent="0.35">
      <c r="N14755" s="676"/>
    </row>
    <row r="14756" spans="14:14" x14ac:dyDescent="0.35">
      <c r="N14756" s="676"/>
    </row>
    <row r="14757" spans="14:14" x14ac:dyDescent="0.35">
      <c r="N14757" s="676"/>
    </row>
    <row r="14758" spans="14:14" x14ac:dyDescent="0.35">
      <c r="N14758" s="676"/>
    </row>
    <row r="14759" spans="14:14" x14ac:dyDescent="0.35">
      <c r="N14759" s="676"/>
    </row>
    <row r="14760" spans="14:14" x14ac:dyDescent="0.35">
      <c r="N14760" s="676"/>
    </row>
    <row r="14761" spans="14:14" x14ac:dyDescent="0.35">
      <c r="N14761" s="676"/>
    </row>
    <row r="14762" spans="14:14" x14ac:dyDescent="0.35">
      <c r="N14762" s="676"/>
    </row>
    <row r="14763" spans="14:14" x14ac:dyDescent="0.35">
      <c r="N14763" s="676"/>
    </row>
    <row r="14764" spans="14:14" x14ac:dyDescent="0.35">
      <c r="N14764" s="676"/>
    </row>
    <row r="14765" spans="14:14" x14ac:dyDescent="0.35">
      <c r="N14765" s="676"/>
    </row>
    <row r="14766" spans="14:14" x14ac:dyDescent="0.35">
      <c r="N14766" s="676"/>
    </row>
    <row r="14767" spans="14:14" x14ac:dyDescent="0.35">
      <c r="N14767" s="676"/>
    </row>
    <row r="14768" spans="14:14" x14ac:dyDescent="0.35">
      <c r="N14768" s="676"/>
    </row>
    <row r="14769" spans="14:14" x14ac:dyDescent="0.35">
      <c r="N14769" s="676"/>
    </row>
    <row r="14770" spans="14:14" x14ac:dyDescent="0.35">
      <c r="N14770" s="676"/>
    </row>
    <row r="14771" spans="14:14" x14ac:dyDescent="0.35">
      <c r="N14771" s="676"/>
    </row>
    <row r="14772" spans="14:14" x14ac:dyDescent="0.35">
      <c r="N14772" s="676"/>
    </row>
    <row r="14773" spans="14:14" x14ac:dyDescent="0.35">
      <c r="N14773" s="676"/>
    </row>
    <row r="14774" spans="14:14" x14ac:dyDescent="0.35">
      <c r="N14774" s="676"/>
    </row>
    <row r="14775" spans="14:14" x14ac:dyDescent="0.35">
      <c r="N14775" s="676"/>
    </row>
    <row r="14776" spans="14:14" x14ac:dyDescent="0.35">
      <c r="N14776" s="676"/>
    </row>
    <row r="14777" spans="14:14" x14ac:dyDescent="0.35">
      <c r="N14777" s="676"/>
    </row>
    <row r="14778" spans="14:14" x14ac:dyDescent="0.35">
      <c r="N14778" s="676"/>
    </row>
    <row r="14779" spans="14:14" x14ac:dyDescent="0.35">
      <c r="N14779" s="676"/>
    </row>
    <row r="14780" spans="14:14" x14ac:dyDescent="0.35">
      <c r="N14780" s="676"/>
    </row>
    <row r="14781" spans="14:14" x14ac:dyDescent="0.35">
      <c r="N14781" s="676"/>
    </row>
    <row r="14782" spans="14:14" x14ac:dyDescent="0.35">
      <c r="N14782" s="676"/>
    </row>
    <row r="14783" spans="14:14" x14ac:dyDescent="0.35">
      <c r="N14783" s="676"/>
    </row>
    <row r="14784" spans="14:14" x14ac:dyDescent="0.35">
      <c r="N14784" s="676"/>
    </row>
    <row r="14785" spans="14:14" x14ac:dyDescent="0.35">
      <c r="N14785" s="676"/>
    </row>
    <row r="14786" spans="14:14" x14ac:dyDescent="0.35">
      <c r="N14786" s="676"/>
    </row>
    <row r="14787" spans="14:14" x14ac:dyDescent="0.35">
      <c r="N14787" s="676"/>
    </row>
    <row r="14788" spans="14:14" x14ac:dyDescent="0.35">
      <c r="N14788" s="676"/>
    </row>
    <row r="14789" spans="14:14" x14ac:dyDescent="0.35">
      <c r="N14789" s="676"/>
    </row>
    <row r="14790" spans="14:14" x14ac:dyDescent="0.35">
      <c r="N14790" s="676"/>
    </row>
    <row r="14791" spans="14:14" x14ac:dyDescent="0.35">
      <c r="N14791" s="676"/>
    </row>
    <row r="14792" spans="14:14" x14ac:dyDescent="0.35">
      <c r="N14792" s="676"/>
    </row>
    <row r="14793" spans="14:14" x14ac:dyDescent="0.35">
      <c r="N14793" s="676"/>
    </row>
    <row r="14794" spans="14:14" x14ac:dyDescent="0.35">
      <c r="N14794" s="676"/>
    </row>
    <row r="14795" spans="14:14" x14ac:dyDescent="0.35">
      <c r="N14795" s="676"/>
    </row>
    <row r="14796" spans="14:14" x14ac:dyDescent="0.35">
      <c r="N14796" s="676"/>
    </row>
    <row r="14797" spans="14:14" x14ac:dyDescent="0.35">
      <c r="N14797" s="676"/>
    </row>
    <row r="14798" spans="14:14" x14ac:dyDescent="0.35">
      <c r="N14798" s="676"/>
    </row>
    <row r="14799" spans="14:14" x14ac:dyDescent="0.35">
      <c r="N14799" s="676"/>
    </row>
    <row r="14800" spans="14:14" x14ac:dyDescent="0.35">
      <c r="N14800" s="676"/>
    </row>
    <row r="14801" spans="14:14" x14ac:dyDescent="0.35">
      <c r="N14801" s="676"/>
    </row>
    <row r="14802" spans="14:14" x14ac:dyDescent="0.35">
      <c r="N14802" s="676"/>
    </row>
    <row r="14803" spans="14:14" x14ac:dyDescent="0.35">
      <c r="N14803" s="676"/>
    </row>
    <row r="14804" spans="14:14" x14ac:dyDescent="0.35">
      <c r="N14804" s="676"/>
    </row>
    <row r="14805" spans="14:14" x14ac:dyDescent="0.35">
      <c r="N14805" s="676"/>
    </row>
    <row r="14806" spans="14:14" x14ac:dyDescent="0.35">
      <c r="N14806" s="676"/>
    </row>
    <row r="14807" spans="14:14" x14ac:dyDescent="0.35">
      <c r="N14807" s="676"/>
    </row>
    <row r="14808" spans="14:14" x14ac:dyDescent="0.35">
      <c r="N14808" s="676"/>
    </row>
    <row r="14809" spans="14:14" x14ac:dyDescent="0.35">
      <c r="N14809" s="676"/>
    </row>
    <row r="14810" spans="14:14" x14ac:dyDescent="0.35">
      <c r="N14810" s="676"/>
    </row>
    <row r="14811" spans="14:14" x14ac:dyDescent="0.35">
      <c r="N14811" s="676"/>
    </row>
    <row r="14812" spans="14:14" x14ac:dyDescent="0.35">
      <c r="N14812" s="676"/>
    </row>
    <row r="14813" spans="14:14" x14ac:dyDescent="0.35">
      <c r="N14813" s="676"/>
    </row>
    <row r="14814" spans="14:14" x14ac:dyDescent="0.35">
      <c r="N14814" s="676"/>
    </row>
    <row r="14815" spans="14:14" x14ac:dyDescent="0.35">
      <c r="N14815" s="676"/>
    </row>
    <row r="14816" spans="14:14" x14ac:dyDescent="0.35">
      <c r="N14816" s="676"/>
    </row>
    <row r="14817" spans="14:14" x14ac:dyDescent="0.35">
      <c r="N14817" s="676"/>
    </row>
    <row r="14818" spans="14:14" x14ac:dyDescent="0.35">
      <c r="N14818" s="676"/>
    </row>
    <row r="14819" spans="14:14" x14ac:dyDescent="0.35">
      <c r="N14819" s="676"/>
    </row>
    <row r="14820" spans="14:14" x14ac:dyDescent="0.35">
      <c r="N14820" s="676"/>
    </row>
    <row r="14821" spans="14:14" x14ac:dyDescent="0.35">
      <c r="N14821" s="676"/>
    </row>
    <row r="14822" spans="14:14" x14ac:dyDescent="0.35">
      <c r="N14822" s="676"/>
    </row>
    <row r="14823" spans="14:14" x14ac:dyDescent="0.35">
      <c r="N14823" s="676"/>
    </row>
    <row r="14824" spans="14:14" x14ac:dyDescent="0.35">
      <c r="N14824" s="676"/>
    </row>
    <row r="14825" spans="14:14" x14ac:dyDescent="0.35">
      <c r="N14825" s="676"/>
    </row>
    <row r="14826" spans="14:14" x14ac:dyDescent="0.35">
      <c r="N14826" s="676"/>
    </row>
    <row r="14827" spans="14:14" x14ac:dyDescent="0.35">
      <c r="N14827" s="676"/>
    </row>
    <row r="14828" spans="14:14" x14ac:dyDescent="0.35">
      <c r="N14828" s="676"/>
    </row>
    <row r="14829" spans="14:14" x14ac:dyDescent="0.35">
      <c r="N14829" s="676"/>
    </row>
    <row r="14830" spans="14:14" x14ac:dyDescent="0.35">
      <c r="N14830" s="676"/>
    </row>
    <row r="14831" spans="14:14" x14ac:dyDescent="0.35">
      <c r="N14831" s="676"/>
    </row>
    <row r="14832" spans="14:14" x14ac:dyDescent="0.35">
      <c r="N14832" s="676"/>
    </row>
    <row r="14833" spans="14:14" x14ac:dyDescent="0.35">
      <c r="N14833" s="676"/>
    </row>
    <row r="14834" spans="14:14" x14ac:dyDescent="0.35">
      <c r="N14834" s="676"/>
    </row>
    <row r="14835" spans="14:14" x14ac:dyDescent="0.35">
      <c r="N14835" s="676"/>
    </row>
    <row r="14836" spans="14:14" x14ac:dyDescent="0.35">
      <c r="N14836" s="676"/>
    </row>
    <row r="14837" spans="14:14" x14ac:dyDescent="0.35">
      <c r="N14837" s="676"/>
    </row>
    <row r="14838" spans="14:14" x14ac:dyDescent="0.35">
      <c r="N14838" s="676"/>
    </row>
    <row r="14839" spans="14:14" x14ac:dyDescent="0.35">
      <c r="N14839" s="676"/>
    </row>
    <row r="14840" spans="14:14" x14ac:dyDescent="0.35">
      <c r="N14840" s="676"/>
    </row>
    <row r="14841" spans="14:14" x14ac:dyDescent="0.35">
      <c r="N14841" s="676"/>
    </row>
    <row r="14842" spans="14:14" x14ac:dyDescent="0.35">
      <c r="N14842" s="676"/>
    </row>
    <row r="14843" spans="14:14" x14ac:dyDescent="0.35">
      <c r="N14843" s="676"/>
    </row>
    <row r="14844" spans="14:14" x14ac:dyDescent="0.35">
      <c r="N14844" s="676"/>
    </row>
    <row r="14845" spans="14:14" x14ac:dyDescent="0.35">
      <c r="N14845" s="676"/>
    </row>
    <row r="14846" spans="14:14" x14ac:dyDescent="0.35">
      <c r="N14846" s="676"/>
    </row>
    <row r="14847" spans="14:14" x14ac:dyDescent="0.35">
      <c r="N14847" s="676"/>
    </row>
    <row r="14848" spans="14:14" x14ac:dyDescent="0.35">
      <c r="N14848" s="676"/>
    </row>
    <row r="14849" spans="14:14" x14ac:dyDescent="0.35">
      <c r="N14849" s="676"/>
    </row>
    <row r="14850" spans="14:14" x14ac:dyDescent="0.35">
      <c r="N14850" s="676"/>
    </row>
    <row r="14851" spans="14:14" x14ac:dyDescent="0.35">
      <c r="N14851" s="676"/>
    </row>
    <row r="14852" spans="14:14" x14ac:dyDescent="0.35">
      <c r="N14852" s="676"/>
    </row>
    <row r="14853" spans="14:14" x14ac:dyDescent="0.35">
      <c r="N14853" s="676"/>
    </row>
    <row r="14854" spans="14:14" x14ac:dyDescent="0.35">
      <c r="N14854" s="676"/>
    </row>
    <row r="14855" spans="14:14" x14ac:dyDescent="0.35">
      <c r="N14855" s="676"/>
    </row>
    <row r="14856" spans="14:14" x14ac:dyDescent="0.35">
      <c r="N14856" s="676"/>
    </row>
    <row r="14857" spans="14:14" x14ac:dyDescent="0.35">
      <c r="N14857" s="676"/>
    </row>
    <row r="14858" spans="14:14" x14ac:dyDescent="0.35">
      <c r="N14858" s="676"/>
    </row>
    <row r="14859" spans="14:14" x14ac:dyDescent="0.35">
      <c r="N14859" s="676"/>
    </row>
    <row r="14860" spans="14:14" x14ac:dyDescent="0.35">
      <c r="N14860" s="676"/>
    </row>
    <row r="14861" spans="14:14" x14ac:dyDescent="0.35">
      <c r="N14861" s="676"/>
    </row>
    <row r="14862" spans="14:14" x14ac:dyDescent="0.35">
      <c r="N14862" s="676"/>
    </row>
    <row r="14863" spans="14:14" x14ac:dyDescent="0.35">
      <c r="N14863" s="676"/>
    </row>
    <row r="14864" spans="14:14" x14ac:dyDescent="0.35">
      <c r="N14864" s="676"/>
    </row>
    <row r="14865" spans="14:14" x14ac:dyDescent="0.35">
      <c r="N14865" s="676"/>
    </row>
    <row r="14866" spans="14:14" x14ac:dyDescent="0.35">
      <c r="N14866" s="676"/>
    </row>
    <row r="14867" spans="14:14" x14ac:dyDescent="0.35">
      <c r="N14867" s="676"/>
    </row>
    <row r="14868" spans="14:14" x14ac:dyDescent="0.35">
      <c r="N14868" s="676"/>
    </row>
    <row r="14869" spans="14:14" x14ac:dyDescent="0.35">
      <c r="N14869" s="676"/>
    </row>
    <row r="14870" spans="14:14" x14ac:dyDescent="0.35">
      <c r="N14870" s="676"/>
    </row>
    <row r="14871" spans="14:14" x14ac:dyDescent="0.35">
      <c r="N14871" s="676"/>
    </row>
    <row r="14872" spans="14:14" x14ac:dyDescent="0.35">
      <c r="N14872" s="676"/>
    </row>
    <row r="14873" spans="14:14" x14ac:dyDescent="0.35">
      <c r="N14873" s="676"/>
    </row>
    <row r="14874" spans="14:14" x14ac:dyDescent="0.35">
      <c r="N14874" s="676"/>
    </row>
    <row r="14875" spans="14:14" x14ac:dyDescent="0.35">
      <c r="N14875" s="676"/>
    </row>
    <row r="14876" spans="14:14" x14ac:dyDescent="0.35">
      <c r="N14876" s="676"/>
    </row>
    <row r="14877" spans="14:14" x14ac:dyDescent="0.35">
      <c r="N14877" s="676"/>
    </row>
    <row r="14878" spans="14:14" x14ac:dyDescent="0.35">
      <c r="N14878" s="676"/>
    </row>
    <row r="14879" spans="14:14" x14ac:dyDescent="0.35">
      <c r="N14879" s="676"/>
    </row>
    <row r="14880" spans="14:14" x14ac:dyDescent="0.35">
      <c r="N14880" s="676"/>
    </row>
    <row r="14881" spans="14:14" x14ac:dyDescent="0.35">
      <c r="N14881" s="676"/>
    </row>
    <row r="14882" spans="14:14" x14ac:dyDescent="0.35">
      <c r="N14882" s="676"/>
    </row>
    <row r="14883" spans="14:14" x14ac:dyDescent="0.35">
      <c r="N14883" s="676"/>
    </row>
    <row r="14884" spans="14:14" x14ac:dyDescent="0.35">
      <c r="N14884" s="676"/>
    </row>
    <row r="14885" spans="14:14" x14ac:dyDescent="0.35">
      <c r="N14885" s="676"/>
    </row>
    <row r="14886" spans="14:14" x14ac:dyDescent="0.35">
      <c r="N14886" s="676"/>
    </row>
    <row r="14887" spans="14:14" x14ac:dyDescent="0.35">
      <c r="N14887" s="676"/>
    </row>
    <row r="14888" spans="14:14" x14ac:dyDescent="0.35">
      <c r="N14888" s="676"/>
    </row>
    <row r="14889" spans="14:14" x14ac:dyDescent="0.35">
      <c r="N14889" s="676"/>
    </row>
    <row r="14890" spans="14:14" x14ac:dyDescent="0.35">
      <c r="N14890" s="676"/>
    </row>
    <row r="14891" spans="14:14" x14ac:dyDescent="0.35">
      <c r="N14891" s="676"/>
    </row>
    <row r="14892" spans="14:14" x14ac:dyDescent="0.35">
      <c r="N14892" s="676"/>
    </row>
    <row r="14893" spans="14:14" x14ac:dyDescent="0.35">
      <c r="N14893" s="676"/>
    </row>
    <row r="14894" spans="14:14" x14ac:dyDescent="0.35">
      <c r="N14894" s="676"/>
    </row>
    <row r="14895" spans="14:14" x14ac:dyDescent="0.35">
      <c r="N14895" s="676"/>
    </row>
    <row r="14896" spans="14:14" x14ac:dyDescent="0.35">
      <c r="N14896" s="676"/>
    </row>
    <row r="14897" spans="14:14" x14ac:dyDescent="0.35">
      <c r="N14897" s="676"/>
    </row>
    <row r="14898" spans="14:14" x14ac:dyDescent="0.35">
      <c r="N14898" s="676"/>
    </row>
    <row r="14899" spans="14:14" x14ac:dyDescent="0.35">
      <c r="N14899" s="676"/>
    </row>
    <row r="14900" spans="14:14" x14ac:dyDescent="0.35">
      <c r="N14900" s="676"/>
    </row>
    <row r="14901" spans="14:14" x14ac:dyDescent="0.35">
      <c r="N14901" s="676"/>
    </row>
    <row r="14902" spans="14:14" x14ac:dyDescent="0.35">
      <c r="N14902" s="676"/>
    </row>
    <row r="14903" spans="14:14" x14ac:dyDescent="0.35">
      <c r="N14903" s="676"/>
    </row>
    <row r="14904" spans="14:14" x14ac:dyDescent="0.35">
      <c r="N14904" s="676"/>
    </row>
    <row r="14905" spans="14:14" x14ac:dyDescent="0.35">
      <c r="N14905" s="676"/>
    </row>
    <row r="14906" spans="14:14" x14ac:dyDescent="0.35">
      <c r="N14906" s="676"/>
    </row>
    <row r="14907" spans="14:14" x14ac:dyDescent="0.35">
      <c r="N14907" s="676"/>
    </row>
    <row r="14908" spans="14:14" x14ac:dyDescent="0.35">
      <c r="N14908" s="676"/>
    </row>
    <row r="14909" spans="14:14" x14ac:dyDescent="0.35">
      <c r="N14909" s="676"/>
    </row>
    <row r="14910" spans="14:14" x14ac:dyDescent="0.35">
      <c r="N14910" s="676"/>
    </row>
    <row r="14911" spans="14:14" x14ac:dyDescent="0.35">
      <c r="N14911" s="676"/>
    </row>
    <row r="14912" spans="14:14" x14ac:dyDescent="0.35">
      <c r="N14912" s="676"/>
    </row>
    <row r="14913" spans="14:14" x14ac:dyDescent="0.35">
      <c r="N14913" s="676"/>
    </row>
    <row r="14914" spans="14:14" x14ac:dyDescent="0.35">
      <c r="N14914" s="676"/>
    </row>
    <row r="14915" spans="14:14" x14ac:dyDescent="0.35">
      <c r="N14915" s="676"/>
    </row>
    <row r="14916" spans="14:14" x14ac:dyDescent="0.35">
      <c r="N14916" s="676"/>
    </row>
    <row r="14917" spans="14:14" x14ac:dyDescent="0.35">
      <c r="N14917" s="676"/>
    </row>
    <row r="14918" spans="14:14" x14ac:dyDescent="0.35">
      <c r="N14918" s="676"/>
    </row>
    <row r="14919" spans="14:14" x14ac:dyDescent="0.35">
      <c r="N14919" s="676"/>
    </row>
    <row r="14920" spans="14:14" x14ac:dyDescent="0.35">
      <c r="N14920" s="676"/>
    </row>
    <row r="14921" spans="14:14" x14ac:dyDescent="0.35">
      <c r="N14921" s="676"/>
    </row>
    <row r="14922" spans="14:14" x14ac:dyDescent="0.35">
      <c r="N14922" s="676"/>
    </row>
    <row r="14923" spans="14:14" x14ac:dyDescent="0.35">
      <c r="N14923" s="676"/>
    </row>
    <row r="14924" spans="14:14" x14ac:dyDescent="0.35">
      <c r="N14924" s="676"/>
    </row>
    <row r="14925" spans="14:14" x14ac:dyDescent="0.35">
      <c r="N14925" s="676"/>
    </row>
    <row r="14926" spans="14:14" x14ac:dyDescent="0.35">
      <c r="N14926" s="676"/>
    </row>
    <row r="14927" spans="14:14" x14ac:dyDescent="0.35">
      <c r="N14927" s="676"/>
    </row>
    <row r="14928" spans="14:14" x14ac:dyDescent="0.35">
      <c r="N14928" s="676"/>
    </row>
    <row r="14929" spans="14:14" x14ac:dyDescent="0.35">
      <c r="N14929" s="676"/>
    </row>
    <row r="14930" spans="14:14" x14ac:dyDescent="0.35">
      <c r="N14930" s="676"/>
    </row>
    <row r="14931" spans="14:14" x14ac:dyDescent="0.35">
      <c r="N14931" s="676"/>
    </row>
    <row r="14932" spans="14:14" x14ac:dyDescent="0.35">
      <c r="N14932" s="676"/>
    </row>
    <row r="14933" spans="14:14" x14ac:dyDescent="0.35">
      <c r="N14933" s="676"/>
    </row>
    <row r="14934" spans="14:14" x14ac:dyDescent="0.35">
      <c r="N14934" s="676"/>
    </row>
    <row r="14935" spans="14:14" x14ac:dyDescent="0.35">
      <c r="N14935" s="676"/>
    </row>
    <row r="14936" spans="14:14" x14ac:dyDescent="0.35">
      <c r="N14936" s="676"/>
    </row>
    <row r="14937" spans="14:14" x14ac:dyDescent="0.35">
      <c r="N14937" s="676"/>
    </row>
    <row r="14938" spans="14:14" x14ac:dyDescent="0.35">
      <c r="N14938" s="676"/>
    </row>
    <row r="14939" spans="14:14" x14ac:dyDescent="0.35">
      <c r="N14939" s="676"/>
    </row>
    <row r="14940" spans="14:14" x14ac:dyDescent="0.35">
      <c r="N14940" s="676"/>
    </row>
    <row r="14941" spans="14:14" x14ac:dyDescent="0.35">
      <c r="N14941" s="676"/>
    </row>
    <row r="14942" spans="14:14" x14ac:dyDescent="0.35">
      <c r="N14942" s="676"/>
    </row>
    <row r="14943" spans="14:14" x14ac:dyDescent="0.35">
      <c r="N14943" s="676"/>
    </row>
    <row r="14944" spans="14:14" x14ac:dyDescent="0.35">
      <c r="N14944" s="676"/>
    </row>
    <row r="14945" spans="14:14" x14ac:dyDescent="0.35">
      <c r="N14945" s="676"/>
    </row>
    <row r="14946" spans="14:14" x14ac:dyDescent="0.35">
      <c r="N14946" s="676"/>
    </row>
    <row r="14947" spans="14:14" x14ac:dyDescent="0.35">
      <c r="N14947" s="676"/>
    </row>
    <row r="14948" spans="14:14" x14ac:dyDescent="0.35">
      <c r="N14948" s="676"/>
    </row>
    <row r="14949" spans="14:14" x14ac:dyDescent="0.35">
      <c r="N14949" s="676"/>
    </row>
    <row r="14950" spans="14:14" x14ac:dyDescent="0.35">
      <c r="N14950" s="676"/>
    </row>
    <row r="14951" spans="14:14" x14ac:dyDescent="0.35">
      <c r="N14951" s="676"/>
    </row>
    <row r="14952" spans="14:14" x14ac:dyDescent="0.35">
      <c r="N14952" s="676"/>
    </row>
    <row r="14953" spans="14:14" x14ac:dyDescent="0.35">
      <c r="N14953" s="676"/>
    </row>
    <row r="14954" spans="14:14" x14ac:dyDescent="0.35">
      <c r="N14954" s="676"/>
    </row>
    <row r="14955" spans="14:14" x14ac:dyDescent="0.35">
      <c r="N14955" s="676"/>
    </row>
    <row r="14956" spans="14:14" x14ac:dyDescent="0.35">
      <c r="N14956" s="676"/>
    </row>
    <row r="14957" spans="14:14" x14ac:dyDescent="0.35">
      <c r="N14957" s="676"/>
    </row>
    <row r="14958" spans="14:14" x14ac:dyDescent="0.35">
      <c r="N14958" s="676"/>
    </row>
    <row r="14959" spans="14:14" x14ac:dyDescent="0.35">
      <c r="N14959" s="676"/>
    </row>
    <row r="14960" spans="14:14" x14ac:dyDescent="0.35">
      <c r="N14960" s="676"/>
    </row>
    <row r="14961" spans="14:14" x14ac:dyDescent="0.35">
      <c r="N14961" s="676"/>
    </row>
    <row r="14962" spans="14:14" x14ac:dyDescent="0.35">
      <c r="N14962" s="676"/>
    </row>
    <row r="14963" spans="14:14" x14ac:dyDescent="0.35">
      <c r="N14963" s="676"/>
    </row>
    <row r="14964" spans="14:14" x14ac:dyDescent="0.35">
      <c r="N14964" s="676"/>
    </row>
    <row r="14965" spans="14:14" x14ac:dyDescent="0.35">
      <c r="N14965" s="676"/>
    </row>
    <row r="14966" spans="14:14" x14ac:dyDescent="0.35">
      <c r="N14966" s="676"/>
    </row>
    <row r="14967" spans="14:14" x14ac:dyDescent="0.35">
      <c r="N14967" s="676"/>
    </row>
    <row r="14968" spans="14:14" x14ac:dyDescent="0.35">
      <c r="N14968" s="676"/>
    </row>
    <row r="14969" spans="14:14" x14ac:dyDescent="0.35">
      <c r="N14969" s="676"/>
    </row>
    <row r="14970" spans="14:14" x14ac:dyDescent="0.35">
      <c r="N14970" s="676"/>
    </row>
    <row r="14971" spans="14:14" x14ac:dyDescent="0.35">
      <c r="N14971" s="676"/>
    </row>
    <row r="14972" spans="14:14" x14ac:dyDescent="0.35">
      <c r="N14972" s="676"/>
    </row>
    <row r="14973" spans="14:14" x14ac:dyDescent="0.35">
      <c r="N14973" s="676"/>
    </row>
    <row r="14974" spans="14:14" x14ac:dyDescent="0.35">
      <c r="N14974" s="676"/>
    </row>
    <row r="14975" spans="14:14" x14ac:dyDescent="0.35">
      <c r="N14975" s="676"/>
    </row>
    <row r="14976" spans="14:14" x14ac:dyDescent="0.35">
      <c r="N14976" s="676"/>
    </row>
    <row r="14977" spans="14:14" x14ac:dyDescent="0.35">
      <c r="N14977" s="676"/>
    </row>
    <row r="14978" spans="14:14" x14ac:dyDescent="0.35">
      <c r="N14978" s="676"/>
    </row>
    <row r="14979" spans="14:14" x14ac:dyDescent="0.35">
      <c r="N14979" s="676"/>
    </row>
    <row r="14980" spans="14:14" x14ac:dyDescent="0.35">
      <c r="N14980" s="676"/>
    </row>
    <row r="14981" spans="14:14" x14ac:dyDescent="0.35">
      <c r="N14981" s="676"/>
    </row>
    <row r="14982" spans="14:14" x14ac:dyDescent="0.35">
      <c r="N14982" s="676"/>
    </row>
    <row r="14983" spans="14:14" x14ac:dyDescent="0.35">
      <c r="N14983" s="676"/>
    </row>
    <row r="14984" spans="14:14" x14ac:dyDescent="0.35">
      <c r="N14984" s="676"/>
    </row>
    <row r="14985" spans="14:14" x14ac:dyDescent="0.35">
      <c r="N14985" s="676"/>
    </row>
    <row r="14986" spans="14:14" x14ac:dyDescent="0.35">
      <c r="N14986" s="676"/>
    </row>
    <row r="14987" spans="14:14" x14ac:dyDescent="0.35">
      <c r="N14987" s="676"/>
    </row>
    <row r="14988" spans="14:14" x14ac:dyDescent="0.35">
      <c r="N14988" s="676"/>
    </row>
    <row r="14989" spans="14:14" x14ac:dyDescent="0.35">
      <c r="N14989" s="676"/>
    </row>
    <row r="14990" spans="14:14" x14ac:dyDescent="0.35">
      <c r="N14990" s="676"/>
    </row>
    <row r="14991" spans="14:14" x14ac:dyDescent="0.35">
      <c r="N14991" s="676"/>
    </row>
    <row r="14992" spans="14:14" x14ac:dyDescent="0.35">
      <c r="N14992" s="676"/>
    </row>
    <row r="14993" spans="14:14" x14ac:dyDescent="0.35">
      <c r="N14993" s="676"/>
    </row>
    <row r="14994" spans="14:14" x14ac:dyDescent="0.35">
      <c r="N14994" s="676"/>
    </row>
    <row r="14995" spans="14:14" x14ac:dyDescent="0.35">
      <c r="N14995" s="676"/>
    </row>
    <row r="14996" spans="14:14" x14ac:dyDescent="0.35">
      <c r="N14996" s="676"/>
    </row>
    <row r="14997" spans="14:14" x14ac:dyDescent="0.35">
      <c r="N14997" s="676"/>
    </row>
    <row r="14998" spans="14:14" x14ac:dyDescent="0.35">
      <c r="N14998" s="676"/>
    </row>
    <row r="14999" spans="14:14" x14ac:dyDescent="0.35">
      <c r="N14999" s="676"/>
    </row>
    <row r="15000" spans="14:14" x14ac:dyDescent="0.35">
      <c r="N15000" s="676"/>
    </row>
    <row r="15001" spans="14:14" x14ac:dyDescent="0.35">
      <c r="N15001" s="676"/>
    </row>
    <row r="15002" spans="14:14" x14ac:dyDescent="0.35">
      <c r="N15002" s="676"/>
    </row>
    <row r="15003" spans="14:14" x14ac:dyDescent="0.35">
      <c r="N15003" s="676"/>
    </row>
    <row r="15004" spans="14:14" x14ac:dyDescent="0.35">
      <c r="N15004" s="676"/>
    </row>
    <row r="15005" spans="14:14" x14ac:dyDescent="0.35">
      <c r="N15005" s="676"/>
    </row>
    <row r="15006" spans="14:14" x14ac:dyDescent="0.35">
      <c r="N15006" s="676"/>
    </row>
    <row r="15007" spans="14:14" x14ac:dyDescent="0.35">
      <c r="N15007" s="676"/>
    </row>
    <row r="15008" spans="14:14" x14ac:dyDescent="0.35">
      <c r="N15008" s="676"/>
    </row>
    <row r="15009" spans="14:14" x14ac:dyDescent="0.35">
      <c r="N15009" s="676"/>
    </row>
    <row r="15010" spans="14:14" x14ac:dyDescent="0.35">
      <c r="N15010" s="676"/>
    </row>
    <row r="15011" spans="14:14" x14ac:dyDescent="0.35">
      <c r="N15011" s="676"/>
    </row>
    <row r="15012" spans="14:14" x14ac:dyDescent="0.35">
      <c r="N15012" s="676"/>
    </row>
    <row r="15013" spans="14:14" x14ac:dyDescent="0.35">
      <c r="N15013" s="676"/>
    </row>
    <row r="15014" spans="14:14" x14ac:dyDescent="0.35">
      <c r="N15014" s="676"/>
    </row>
    <row r="15015" spans="14:14" x14ac:dyDescent="0.35">
      <c r="N15015" s="676"/>
    </row>
    <row r="15016" spans="14:14" x14ac:dyDescent="0.35">
      <c r="N15016" s="676"/>
    </row>
    <row r="15017" spans="14:14" x14ac:dyDescent="0.35">
      <c r="N15017" s="676"/>
    </row>
    <row r="15018" spans="14:14" x14ac:dyDescent="0.35">
      <c r="N15018" s="676"/>
    </row>
    <row r="15019" spans="14:14" x14ac:dyDescent="0.35">
      <c r="N15019" s="676"/>
    </row>
    <row r="15020" spans="14:14" x14ac:dyDescent="0.35">
      <c r="N15020" s="676"/>
    </row>
    <row r="15021" spans="14:14" x14ac:dyDescent="0.35">
      <c r="N15021" s="676"/>
    </row>
    <row r="15022" spans="14:14" x14ac:dyDescent="0.35">
      <c r="N15022" s="676"/>
    </row>
    <row r="15023" spans="14:14" x14ac:dyDescent="0.35">
      <c r="N15023" s="676"/>
    </row>
    <row r="15024" spans="14:14" x14ac:dyDescent="0.35">
      <c r="N15024" s="676"/>
    </row>
    <row r="15025" spans="14:14" x14ac:dyDescent="0.35">
      <c r="N15025" s="676"/>
    </row>
    <row r="15026" spans="14:14" x14ac:dyDescent="0.35">
      <c r="N15026" s="676"/>
    </row>
    <row r="15027" spans="14:14" x14ac:dyDescent="0.35">
      <c r="N15027" s="676"/>
    </row>
    <row r="15028" spans="14:14" x14ac:dyDescent="0.35">
      <c r="N15028" s="676"/>
    </row>
    <row r="15029" spans="14:14" x14ac:dyDescent="0.35">
      <c r="N15029" s="676"/>
    </row>
    <row r="15030" spans="14:14" x14ac:dyDescent="0.35">
      <c r="N15030" s="676"/>
    </row>
    <row r="15031" spans="14:14" x14ac:dyDescent="0.35">
      <c r="N15031" s="676"/>
    </row>
    <row r="15032" spans="14:14" x14ac:dyDescent="0.35">
      <c r="N15032" s="676"/>
    </row>
    <row r="15033" spans="14:14" x14ac:dyDescent="0.35">
      <c r="N15033" s="676"/>
    </row>
    <row r="15034" spans="14:14" x14ac:dyDescent="0.35">
      <c r="N15034" s="676"/>
    </row>
    <row r="15035" spans="14:14" x14ac:dyDescent="0.35">
      <c r="N15035" s="676"/>
    </row>
    <row r="15036" spans="14:14" x14ac:dyDescent="0.35">
      <c r="N15036" s="676"/>
    </row>
    <row r="15037" spans="14:14" x14ac:dyDescent="0.35">
      <c r="N15037" s="676"/>
    </row>
    <row r="15038" spans="14:14" x14ac:dyDescent="0.35">
      <c r="N15038" s="676"/>
    </row>
    <row r="15039" spans="14:14" x14ac:dyDescent="0.35">
      <c r="N15039" s="676"/>
    </row>
    <row r="15040" spans="14:14" x14ac:dyDescent="0.35">
      <c r="N15040" s="676"/>
    </row>
    <row r="15041" spans="14:14" x14ac:dyDescent="0.35">
      <c r="N15041" s="676"/>
    </row>
    <row r="15042" spans="14:14" x14ac:dyDescent="0.35">
      <c r="N15042" s="676"/>
    </row>
    <row r="15043" spans="14:14" x14ac:dyDescent="0.35">
      <c r="N15043" s="676"/>
    </row>
    <row r="15044" spans="14:14" x14ac:dyDescent="0.35">
      <c r="N15044" s="676"/>
    </row>
    <row r="15045" spans="14:14" x14ac:dyDescent="0.35">
      <c r="N15045" s="676"/>
    </row>
    <row r="15046" spans="14:14" x14ac:dyDescent="0.35">
      <c r="N15046" s="676"/>
    </row>
    <row r="15047" spans="14:14" x14ac:dyDescent="0.35">
      <c r="N15047" s="676"/>
    </row>
    <row r="15048" spans="14:14" x14ac:dyDescent="0.35">
      <c r="N15048" s="676"/>
    </row>
    <row r="15049" spans="14:14" x14ac:dyDescent="0.35">
      <c r="N15049" s="676"/>
    </row>
    <row r="15050" spans="14:14" x14ac:dyDescent="0.35">
      <c r="N15050" s="676"/>
    </row>
    <row r="15051" spans="14:14" x14ac:dyDescent="0.35">
      <c r="N15051" s="676"/>
    </row>
    <row r="15052" spans="14:14" x14ac:dyDescent="0.35">
      <c r="N15052" s="676"/>
    </row>
    <row r="15053" spans="14:14" x14ac:dyDescent="0.35">
      <c r="N15053" s="676"/>
    </row>
    <row r="15054" spans="14:14" x14ac:dyDescent="0.35">
      <c r="N15054" s="676"/>
    </row>
    <row r="15055" spans="14:14" x14ac:dyDescent="0.35">
      <c r="N15055" s="676"/>
    </row>
    <row r="15056" spans="14:14" x14ac:dyDescent="0.35">
      <c r="N15056" s="676"/>
    </row>
    <row r="15057" spans="14:14" x14ac:dyDescent="0.35">
      <c r="N15057" s="676"/>
    </row>
    <row r="15058" spans="14:14" x14ac:dyDescent="0.35">
      <c r="N15058" s="676"/>
    </row>
    <row r="15059" spans="14:14" x14ac:dyDescent="0.35">
      <c r="N15059" s="676"/>
    </row>
    <row r="15060" spans="14:14" x14ac:dyDescent="0.35">
      <c r="N15060" s="676"/>
    </row>
    <row r="15061" spans="14:14" x14ac:dyDescent="0.35">
      <c r="N15061" s="676"/>
    </row>
    <row r="15062" spans="14:14" x14ac:dyDescent="0.35">
      <c r="N15062" s="676"/>
    </row>
    <row r="15063" spans="14:14" x14ac:dyDescent="0.35">
      <c r="N15063" s="676"/>
    </row>
    <row r="15064" spans="14:14" x14ac:dyDescent="0.35">
      <c r="N15064" s="676"/>
    </row>
    <row r="15065" spans="14:14" x14ac:dyDescent="0.35">
      <c r="N15065" s="676"/>
    </row>
    <row r="15066" spans="14:14" x14ac:dyDescent="0.35">
      <c r="N15066" s="676"/>
    </row>
    <row r="15067" spans="14:14" x14ac:dyDescent="0.35">
      <c r="N15067" s="676"/>
    </row>
    <row r="15068" spans="14:14" x14ac:dyDescent="0.35">
      <c r="N15068" s="676"/>
    </row>
    <row r="15069" spans="14:14" x14ac:dyDescent="0.35">
      <c r="N15069" s="676"/>
    </row>
    <row r="15070" spans="14:14" x14ac:dyDescent="0.35">
      <c r="N15070" s="676"/>
    </row>
    <row r="15071" spans="14:14" x14ac:dyDescent="0.35">
      <c r="N15071" s="676"/>
    </row>
    <row r="15072" spans="14:14" x14ac:dyDescent="0.35">
      <c r="N15072" s="676"/>
    </row>
    <row r="15073" spans="14:14" x14ac:dyDescent="0.35">
      <c r="N15073" s="676"/>
    </row>
    <row r="15074" spans="14:14" x14ac:dyDescent="0.35">
      <c r="N15074" s="676"/>
    </row>
    <row r="15075" spans="14:14" x14ac:dyDescent="0.35">
      <c r="N15075" s="676"/>
    </row>
    <row r="15076" spans="14:14" x14ac:dyDescent="0.35">
      <c r="N15076" s="676"/>
    </row>
    <row r="15077" spans="14:14" x14ac:dyDescent="0.35">
      <c r="N15077" s="676"/>
    </row>
    <row r="15078" spans="14:14" x14ac:dyDescent="0.35">
      <c r="N15078" s="676"/>
    </row>
    <row r="15079" spans="14:14" x14ac:dyDescent="0.35">
      <c r="N15079" s="676"/>
    </row>
    <row r="15080" spans="14:14" x14ac:dyDescent="0.35">
      <c r="N15080" s="676"/>
    </row>
    <row r="15081" spans="14:14" x14ac:dyDescent="0.35">
      <c r="N15081" s="676"/>
    </row>
    <row r="15082" spans="14:14" x14ac:dyDescent="0.35">
      <c r="N15082" s="676"/>
    </row>
    <row r="15083" spans="14:14" x14ac:dyDescent="0.35">
      <c r="N15083" s="676"/>
    </row>
    <row r="15084" spans="14:14" x14ac:dyDescent="0.35">
      <c r="N15084" s="676"/>
    </row>
    <row r="15085" spans="14:14" x14ac:dyDescent="0.35">
      <c r="N15085" s="676"/>
    </row>
    <row r="15086" spans="14:14" x14ac:dyDescent="0.35">
      <c r="N15086" s="676"/>
    </row>
    <row r="15087" spans="14:14" x14ac:dyDescent="0.35">
      <c r="N15087" s="676"/>
    </row>
    <row r="15088" spans="14:14" x14ac:dyDescent="0.35">
      <c r="N15088" s="676"/>
    </row>
    <row r="15089" spans="14:14" x14ac:dyDescent="0.35">
      <c r="N15089" s="676"/>
    </row>
    <row r="15090" spans="14:14" x14ac:dyDescent="0.35">
      <c r="N15090" s="676"/>
    </row>
    <row r="15091" spans="14:14" x14ac:dyDescent="0.35">
      <c r="N15091" s="676"/>
    </row>
    <row r="15092" spans="14:14" x14ac:dyDescent="0.35">
      <c r="N15092" s="676"/>
    </row>
    <row r="15093" spans="14:14" x14ac:dyDescent="0.35">
      <c r="N15093" s="676"/>
    </row>
    <row r="15094" spans="14:14" x14ac:dyDescent="0.35">
      <c r="N15094" s="676"/>
    </row>
    <row r="15095" spans="14:14" x14ac:dyDescent="0.35">
      <c r="N15095" s="676"/>
    </row>
    <row r="15096" spans="14:14" x14ac:dyDescent="0.35">
      <c r="N15096" s="676"/>
    </row>
    <row r="15097" spans="14:14" x14ac:dyDescent="0.35">
      <c r="N15097" s="676"/>
    </row>
    <row r="15098" spans="14:14" x14ac:dyDescent="0.35">
      <c r="N15098" s="676"/>
    </row>
    <row r="15099" spans="14:14" x14ac:dyDescent="0.35">
      <c r="N15099" s="676"/>
    </row>
    <row r="15100" spans="14:14" x14ac:dyDescent="0.35">
      <c r="N15100" s="676"/>
    </row>
    <row r="15101" spans="14:14" x14ac:dyDescent="0.35">
      <c r="N15101" s="676"/>
    </row>
    <row r="15102" spans="14:14" x14ac:dyDescent="0.35">
      <c r="N15102" s="676"/>
    </row>
    <row r="15103" spans="14:14" x14ac:dyDescent="0.35">
      <c r="N15103" s="676"/>
    </row>
    <row r="15104" spans="14:14" x14ac:dyDescent="0.35">
      <c r="N15104" s="676"/>
    </row>
    <row r="15105" spans="14:14" x14ac:dyDescent="0.35">
      <c r="N15105" s="676"/>
    </row>
    <row r="15106" spans="14:14" x14ac:dyDescent="0.35">
      <c r="N15106" s="676"/>
    </row>
    <row r="15107" spans="14:14" x14ac:dyDescent="0.35">
      <c r="N15107" s="676"/>
    </row>
    <row r="15108" spans="14:14" x14ac:dyDescent="0.35">
      <c r="N15108" s="676"/>
    </row>
    <row r="15109" spans="14:14" x14ac:dyDescent="0.35">
      <c r="N15109" s="676"/>
    </row>
    <row r="15110" spans="14:14" x14ac:dyDescent="0.35">
      <c r="N15110" s="676"/>
    </row>
    <row r="15111" spans="14:14" x14ac:dyDescent="0.35">
      <c r="N15111" s="676"/>
    </row>
    <row r="15112" spans="14:14" x14ac:dyDescent="0.35">
      <c r="N15112" s="676"/>
    </row>
    <row r="15113" spans="14:14" x14ac:dyDescent="0.35">
      <c r="N15113" s="676"/>
    </row>
    <row r="15114" spans="14:14" x14ac:dyDescent="0.35">
      <c r="N15114" s="676"/>
    </row>
    <row r="15115" spans="14:14" x14ac:dyDescent="0.35">
      <c r="N15115" s="676"/>
    </row>
    <row r="15116" spans="14:14" x14ac:dyDescent="0.35">
      <c r="N15116" s="676"/>
    </row>
    <row r="15117" spans="14:14" x14ac:dyDescent="0.35">
      <c r="N15117" s="676"/>
    </row>
    <row r="15118" spans="14:14" x14ac:dyDescent="0.35">
      <c r="N15118" s="676"/>
    </row>
    <row r="15119" spans="14:14" x14ac:dyDescent="0.35">
      <c r="N15119" s="676"/>
    </row>
    <row r="15120" spans="14:14" x14ac:dyDescent="0.35">
      <c r="N15120" s="676"/>
    </row>
    <row r="15121" spans="14:14" x14ac:dyDescent="0.35">
      <c r="N15121" s="676"/>
    </row>
    <row r="15122" spans="14:14" x14ac:dyDescent="0.35">
      <c r="N15122" s="676"/>
    </row>
    <row r="15123" spans="14:14" x14ac:dyDescent="0.35">
      <c r="N15123" s="676"/>
    </row>
    <row r="15124" spans="14:14" x14ac:dyDescent="0.35">
      <c r="N15124" s="676"/>
    </row>
    <row r="15125" spans="14:14" x14ac:dyDescent="0.35">
      <c r="N15125" s="676"/>
    </row>
    <row r="15126" spans="14:14" x14ac:dyDescent="0.35">
      <c r="N15126" s="676"/>
    </row>
    <row r="15127" spans="14:14" x14ac:dyDescent="0.35">
      <c r="N15127" s="676"/>
    </row>
    <row r="15128" spans="14:14" x14ac:dyDescent="0.35">
      <c r="N15128" s="676"/>
    </row>
    <row r="15129" spans="14:14" x14ac:dyDescent="0.35">
      <c r="N15129" s="676"/>
    </row>
    <row r="15130" spans="14:14" x14ac:dyDescent="0.35">
      <c r="N15130" s="676"/>
    </row>
    <row r="15131" spans="14:14" x14ac:dyDescent="0.35">
      <c r="N15131" s="676"/>
    </row>
    <row r="15132" spans="14:14" x14ac:dyDescent="0.35">
      <c r="N15132" s="676"/>
    </row>
    <row r="15133" spans="14:14" x14ac:dyDescent="0.35">
      <c r="N15133" s="676"/>
    </row>
    <row r="15134" spans="14:14" x14ac:dyDescent="0.35">
      <c r="N15134" s="676"/>
    </row>
    <row r="15135" spans="14:14" x14ac:dyDescent="0.35">
      <c r="N15135" s="676"/>
    </row>
    <row r="15136" spans="14:14" x14ac:dyDescent="0.35">
      <c r="N15136" s="676"/>
    </row>
    <row r="15137" spans="14:14" x14ac:dyDescent="0.35">
      <c r="N15137" s="676"/>
    </row>
    <row r="15138" spans="14:14" x14ac:dyDescent="0.35">
      <c r="N15138" s="676"/>
    </row>
    <row r="15139" spans="14:14" x14ac:dyDescent="0.35">
      <c r="N15139" s="676"/>
    </row>
    <row r="15140" spans="14:14" x14ac:dyDescent="0.35">
      <c r="N15140" s="676"/>
    </row>
    <row r="15141" spans="14:14" x14ac:dyDescent="0.35">
      <c r="N15141" s="676"/>
    </row>
    <row r="15142" spans="14:14" x14ac:dyDescent="0.35">
      <c r="N15142" s="676"/>
    </row>
    <row r="15143" spans="14:14" x14ac:dyDescent="0.35">
      <c r="N15143" s="676"/>
    </row>
    <row r="15144" spans="14:14" x14ac:dyDescent="0.35">
      <c r="N15144" s="676"/>
    </row>
    <row r="15145" spans="14:14" x14ac:dyDescent="0.35">
      <c r="N15145" s="676"/>
    </row>
    <row r="15146" spans="14:14" x14ac:dyDescent="0.35">
      <c r="N15146" s="676"/>
    </row>
    <row r="15147" spans="14:14" x14ac:dyDescent="0.35">
      <c r="N15147" s="676"/>
    </row>
    <row r="15148" spans="14:14" x14ac:dyDescent="0.35">
      <c r="N15148" s="676"/>
    </row>
    <row r="15149" spans="14:14" x14ac:dyDescent="0.35">
      <c r="N15149" s="676"/>
    </row>
    <row r="15150" spans="14:14" x14ac:dyDescent="0.35">
      <c r="N15150" s="676"/>
    </row>
    <row r="15151" spans="14:14" x14ac:dyDescent="0.35">
      <c r="N15151" s="676"/>
    </row>
    <row r="15152" spans="14:14" x14ac:dyDescent="0.35">
      <c r="N15152" s="676"/>
    </row>
    <row r="15153" spans="14:14" x14ac:dyDescent="0.35">
      <c r="N15153" s="676"/>
    </row>
    <row r="15154" spans="14:14" x14ac:dyDescent="0.35">
      <c r="N15154" s="676"/>
    </row>
    <row r="15155" spans="14:14" x14ac:dyDescent="0.35">
      <c r="N15155" s="676"/>
    </row>
    <row r="15156" spans="14:14" x14ac:dyDescent="0.35">
      <c r="N15156" s="676"/>
    </row>
    <row r="15157" spans="14:14" x14ac:dyDescent="0.35">
      <c r="N15157" s="676"/>
    </row>
    <row r="15158" spans="14:14" x14ac:dyDescent="0.35">
      <c r="N15158" s="676"/>
    </row>
    <row r="15159" spans="14:14" x14ac:dyDescent="0.35">
      <c r="N15159" s="676"/>
    </row>
    <row r="15160" spans="14:14" x14ac:dyDescent="0.35">
      <c r="N15160" s="676"/>
    </row>
    <row r="15161" spans="14:14" x14ac:dyDescent="0.35">
      <c r="N15161" s="676"/>
    </row>
    <row r="15162" spans="14:14" x14ac:dyDescent="0.35">
      <c r="N15162" s="676"/>
    </row>
    <row r="15163" spans="14:14" x14ac:dyDescent="0.35">
      <c r="N15163" s="676"/>
    </row>
    <row r="15164" spans="14:14" x14ac:dyDescent="0.35">
      <c r="N15164" s="676"/>
    </row>
    <row r="15165" spans="14:14" x14ac:dyDescent="0.35">
      <c r="N15165" s="676"/>
    </row>
    <row r="15166" spans="14:14" x14ac:dyDescent="0.35">
      <c r="N15166" s="676"/>
    </row>
    <row r="15167" spans="14:14" x14ac:dyDescent="0.35">
      <c r="N15167" s="676"/>
    </row>
    <row r="15168" spans="14:14" x14ac:dyDescent="0.35">
      <c r="N15168" s="676"/>
    </row>
    <row r="15169" spans="14:14" x14ac:dyDescent="0.35">
      <c r="N15169" s="676"/>
    </row>
    <row r="15170" spans="14:14" x14ac:dyDescent="0.35">
      <c r="N15170" s="676"/>
    </row>
    <row r="15171" spans="14:14" x14ac:dyDescent="0.35">
      <c r="N15171" s="676"/>
    </row>
    <row r="15172" spans="14:14" x14ac:dyDescent="0.35">
      <c r="N15172" s="676"/>
    </row>
    <row r="15173" spans="14:14" x14ac:dyDescent="0.35">
      <c r="N15173" s="676"/>
    </row>
    <row r="15174" spans="14:14" x14ac:dyDescent="0.35">
      <c r="N15174" s="676"/>
    </row>
    <row r="15175" spans="14:14" x14ac:dyDescent="0.35">
      <c r="N15175" s="676"/>
    </row>
    <row r="15176" spans="14:14" x14ac:dyDescent="0.35">
      <c r="N15176" s="676"/>
    </row>
    <row r="15177" spans="14:14" x14ac:dyDescent="0.35">
      <c r="N15177" s="676"/>
    </row>
    <row r="15178" spans="14:14" x14ac:dyDescent="0.35">
      <c r="N15178" s="676"/>
    </row>
    <row r="15179" spans="14:14" x14ac:dyDescent="0.35">
      <c r="N15179" s="676"/>
    </row>
    <row r="15180" spans="14:14" x14ac:dyDescent="0.35">
      <c r="N15180" s="676"/>
    </row>
    <row r="15181" spans="14:14" x14ac:dyDescent="0.35">
      <c r="N15181" s="676"/>
    </row>
    <row r="15182" spans="14:14" x14ac:dyDescent="0.35">
      <c r="N15182" s="676"/>
    </row>
    <row r="15183" spans="14:14" x14ac:dyDescent="0.35">
      <c r="N15183" s="676"/>
    </row>
    <row r="15184" spans="14:14" x14ac:dyDescent="0.35">
      <c r="N15184" s="676"/>
    </row>
    <row r="15185" spans="14:14" x14ac:dyDescent="0.35">
      <c r="N15185" s="676"/>
    </row>
    <row r="15186" spans="14:14" x14ac:dyDescent="0.35">
      <c r="N15186" s="676"/>
    </row>
    <row r="15187" spans="14:14" x14ac:dyDescent="0.35">
      <c r="N15187" s="676"/>
    </row>
    <row r="15188" spans="14:14" x14ac:dyDescent="0.35">
      <c r="N15188" s="676"/>
    </row>
    <row r="15189" spans="14:14" x14ac:dyDescent="0.35">
      <c r="N15189" s="676"/>
    </row>
    <row r="15190" spans="14:14" x14ac:dyDescent="0.35">
      <c r="N15190" s="676"/>
    </row>
    <row r="15191" spans="14:14" x14ac:dyDescent="0.35">
      <c r="N15191" s="676"/>
    </row>
    <row r="15192" spans="14:14" x14ac:dyDescent="0.35">
      <c r="N15192" s="676"/>
    </row>
    <row r="15193" spans="14:14" x14ac:dyDescent="0.35">
      <c r="N15193" s="676"/>
    </row>
    <row r="15194" spans="14:14" x14ac:dyDescent="0.35">
      <c r="N15194" s="676"/>
    </row>
    <row r="15195" spans="14:14" x14ac:dyDescent="0.35">
      <c r="N15195" s="676"/>
    </row>
    <row r="15196" spans="14:14" x14ac:dyDescent="0.35">
      <c r="N15196" s="676"/>
    </row>
    <row r="15197" spans="14:14" x14ac:dyDescent="0.35">
      <c r="N15197" s="676"/>
    </row>
    <row r="15198" spans="14:14" x14ac:dyDescent="0.35">
      <c r="N15198" s="676"/>
    </row>
    <row r="15199" spans="14:14" x14ac:dyDescent="0.35">
      <c r="N15199" s="676"/>
    </row>
    <row r="15200" spans="14:14" x14ac:dyDescent="0.35">
      <c r="N15200" s="676"/>
    </row>
    <row r="15201" spans="14:14" x14ac:dyDescent="0.35">
      <c r="N15201" s="676"/>
    </row>
    <row r="15202" spans="14:14" x14ac:dyDescent="0.35">
      <c r="N15202" s="676"/>
    </row>
    <row r="15203" spans="14:14" x14ac:dyDescent="0.35">
      <c r="N15203" s="676"/>
    </row>
    <row r="15204" spans="14:14" x14ac:dyDescent="0.35">
      <c r="N15204" s="676"/>
    </row>
    <row r="15205" spans="14:14" x14ac:dyDescent="0.35">
      <c r="N15205" s="676"/>
    </row>
    <row r="15206" spans="14:14" x14ac:dyDescent="0.35">
      <c r="N15206" s="676"/>
    </row>
    <row r="15207" spans="14:14" x14ac:dyDescent="0.35">
      <c r="N15207" s="676"/>
    </row>
    <row r="15208" spans="14:14" x14ac:dyDescent="0.35">
      <c r="N15208" s="676"/>
    </row>
    <row r="15209" spans="14:14" x14ac:dyDescent="0.35">
      <c r="N15209" s="676"/>
    </row>
    <row r="15210" spans="14:14" x14ac:dyDescent="0.35">
      <c r="N15210" s="676"/>
    </row>
    <row r="15211" spans="14:14" x14ac:dyDescent="0.35">
      <c r="N15211" s="676"/>
    </row>
    <row r="15212" spans="14:14" x14ac:dyDescent="0.35">
      <c r="N15212" s="676"/>
    </row>
    <row r="15213" spans="14:14" x14ac:dyDescent="0.35">
      <c r="N15213" s="676"/>
    </row>
    <row r="15214" spans="14:14" x14ac:dyDescent="0.35">
      <c r="N15214" s="676"/>
    </row>
    <row r="15215" spans="14:14" x14ac:dyDescent="0.35">
      <c r="N15215" s="676"/>
    </row>
    <row r="15216" spans="14:14" x14ac:dyDescent="0.35">
      <c r="N15216" s="676"/>
    </row>
    <row r="15217" spans="14:14" x14ac:dyDescent="0.35">
      <c r="N15217" s="676"/>
    </row>
    <row r="15218" spans="14:14" x14ac:dyDescent="0.35">
      <c r="N15218" s="676"/>
    </row>
    <row r="15219" spans="14:14" x14ac:dyDescent="0.35">
      <c r="N15219" s="676"/>
    </row>
    <row r="15220" spans="14:14" x14ac:dyDescent="0.35">
      <c r="N15220" s="676"/>
    </row>
    <row r="15221" spans="14:14" x14ac:dyDescent="0.35">
      <c r="N15221" s="676"/>
    </row>
    <row r="15222" spans="14:14" x14ac:dyDescent="0.35">
      <c r="N15222" s="676"/>
    </row>
    <row r="15223" spans="14:14" x14ac:dyDescent="0.35">
      <c r="N15223" s="676"/>
    </row>
    <row r="15224" spans="14:14" x14ac:dyDescent="0.35">
      <c r="N15224" s="676"/>
    </row>
    <row r="15225" spans="14:14" x14ac:dyDescent="0.35">
      <c r="N15225" s="676"/>
    </row>
    <row r="15226" spans="14:14" x14ac:dyDescent="0.35">
      <c r="N15226" s="676"/>
    </row>
    <row r="15227" spans="14:14" x14ac:dyDescent="0.35">
      <c r="N15227" s="676"/>
    </row>
    <row r="15228" spans="14:14" x14ac:dyDescent="0.35">
      <c r="N15228" s="676"/>
    </row>
    <row r="15229" spans="14:14" x14ac:dyDescent="0.35">
      <c r="N15229" s="676"/>
    </row>
    <row r="15230" spans="14:14" x14ac:dyDescent="0.35">
      <c r="N15230" s="676"/>
    </row>
    <row r="15231" spans="14:14" x14ac:dyDescent="0.35">
      <c r="N15231" s="676"/>
    </row>
    <row r="15232" spans="14:14" x14ac:dyDescent="0.35">
      <c r="N15232" s="676"/>
    </row>
    <row r="15233" spans="14:14" x14ac:dyDescent="0.35">
      <c r="N15233" s="676"/>
    </row>
    <row r="15234" spans="14:14" x14ac:dyDescent="0.35">
      <c r="N15234" s="676"/>
    </row>
    <row r="15235" spans="14:14" x14ac:dyDescent="0.35">
      <c r="N15235" s="676"/>
    </row>
    <row r="15236" spans="14:14" x14ac:dyDescent="0.35">
      <c r="N15236" s="676"/>
    </row>
    <row r="15237" spans="14:14" x14ac:dyDescent="0.35">
      <c r="N15237" s="676"/>
    </row>
    <row r="15238" spans="14:14" x14ac:dyDescent="0.35">
      <c r="N15238" s="676"/>
    </row>
    <row r="15239" spans="14:14" x14ac:dyDescent="0.35">
      <c r="N15239" s="676"/>
    </row>
    <row r="15240" spans="14:14" x14ac:dyDescent="0.35">
      <c r="N15240" s="676"/>
    </row>
    <row r="15241" spans="14:14" x14ac:dyDescent="0.35">
      <c r="N15241" s="676"/>
    </row>
    <row r="15242" spans="14:14" x14ac:dyDescent="0.35">
      <c r="N15242" s="676"/>
    </row>
    <row r="15243" spans="14:14" x14ac:dyDescent="0.35">
      <c r="N15243" s="676"/>
    </row>
    <row r="15244" spans="14:14" x14ac:dyDescent="0.35">
      <c r="N15244" s="676"/>
    </row>
    <row r="15245" spans="14:14" x14ac:dyDescent="0.35">
      <c r="N15245" s="676"/>
    </row>
    <row r="15246" spans="14:14" x14ac:dyDescent="0.35">
      <c r="N15246" s="676"/>
    </row>
    <row r="15247" spans="14:14" x14ac:dyDescent="0.35">
      <c r="N15247" s="676"/>
    </row>
    <row r="15248" spans="14:14" x14ac:dyDescent="0.35">
      <c r="N15248" s="676"/>
    </row>
    <row r="15249" spans="14:14" x14ac:dyDescent="0.35">
      <c r="N15249" s="676"/>
    </row>
    <row r="15250" spans="14:14" x14ac:dyDescent="0.35">
      <c r="N15250" s="676"/>
    </row>
    <row r="15251" spans="14:14" x14ac:dyDescent="0.35">
      <c r="N15251" s="676"/>
    </row>
    <row r="15252" spans="14:14" x14ac:dyDescent="0.35">
      <c r="N15252" s="676"/>
    </row>
    <row r="15253" spans="14:14" x14ac:dyDescent="0.35">
      <c r="N15253" s="676"/>
    </row>
    <row r="15254" spans="14:14" x14ac:dyDescent="0.35">
      <c r="N15254" s="676"/>
    </row>
    <row r="15255" spans="14:14" x14ac:dyDescent="0.35">
      <c r="N15255" s="676"/>
    </row>
    <row r="15256" spans="14:14" x14ac:dyDescent="0.35">
      <c r="N15256" s="676"/>
    </row>
    <row r="15257" spans="14:14" x14ac:dyDescent="0.35">
      <c r="N15257" s="676"/>
    </row>
    <row r="15258" spans="14:14" x14ac:dyDescent="0.35">
      <c r="N15258" s="676"/>
    </row>
    <row r="15259" spans="14:14" x14ac:dyDescent="0.35">
      <c r="N15259" s="676"/>
    </row>
    <row r="15260" spans="14:14" x14ac:dyDescent="0.35">
      <c r="N15260" s="676"/>
    </row>
    <row r="15261" spans="14:14" x14ac:dyDescent="0.35">
      <c r="N15261" s="676"/>
    </row>
    <row r="15262" spans="14:14" x14ac:dyDescent="0.35">
      <c r="N15262" s="676"/>
    </row>
    <row r="15263" spans="14:14" x14ac:dyDescent="0.35">
      <c r="N15263" s="676"/>
    </row>
    <row r="15264" spans="14:14" x14ac:dyDescent="0.35">
      <c r="N15264" s="676"/>
    </row>
    <row r="15265" spans="14:14" x14ac:dyDescent="0.35">
      <c r="N15265" s="676"/>
    </row>
    <row r="15266" spans="14:14" x14ac:dyDescent="0.35">
      <c r="N15266" s="676"/>
    </row>
    <row r="15267" spans="14:14" x14ac:dyDescent="0.35">
      <c r="N15267" s="676"/>
    </row>
    <row r="15268" spans="14:14" x14ac:dyDescent="0.35">
      <c r="N15268" s="676"/>
    </row>
    <row r="15269" spans="14:14" x14ac:dyDescent="0.35">
      <c r="N15269" s="676"/>
    </row>
    <row r="15270" spans="14:14" x14ac:dyDescent="0.35">
      <c r="N15270" s="676"/>
    </row>
    <row r="15271" spans="14:14" x14ac:dyDescent="0.35">
      <c r="N15271" s="676"/>
    </row>
    <row r="15272" spans="14:14" x14ac:dyDescent="0.35">
      <c r="N15272" s="676"/>
    </row>
    <row r="15273" spans="14:14" x14ac:dyDescent="0.35">
      <c r="N15273" s="676"/>
    </row>
    <row r="15274" spans="14:14" x14ac:dyDescent="0.35">
      <c r="N15274" s="676"/>
    </row>
    <row r="15275" spans="14:14" x14ac:dyDescent="0.35">
      <c r="N15275" s="676"/>
    </row>
    <row r="15276" spans="14:14" x14ac:dyDescent="0.35">
      <c r="N15276" s="676"/>
    </row>
    <row r="15277" spans="14:14" x14ac:dyDescent="0.35">
      <c r="N15277" s="676"/>
    </row>
    <row r="15278" spans="14:14" x14ac:dyDescent="0.35">
      <c r="N15278" s="676"/>
    </row>
    <row r="15279" spans="14:14" x14ac:dyDescent="0.35">
      <c r="N15279" s="676"/>
    </row>
    <row r="15280" spans="14:14" x14ac:dyDescent="0.35">
      <c r="N15280" s="676"/>
    </row>
    <row r="15281" spans="14:14" x14ac:dyDescent="0.35">
      <c r="N15281" s="676"/>
    </row>
    <row r="15282" spans="14:14" x14ac:dyDescent="0.35">
      <c r="N15282" s="676"/>
    </row>
    <row r="15283" spans="14:14" x14ac:dyDescent="0.35">
      <c r="N15283" s="676"/>
    </row>
    <row r="15284" spans="14:14" x14ac:dyDescent="0.35">
      <c r="N15284" s="676"/>
    </row>
    <row r="15285" spans="14:14" x14ac:dyDescent="0.35">
      <c r="N15285" s="676"/>
    </row>
    <row r="15286" spans="14:14" x14ac:dyDescent="0.35">
      <c r="N15286" s="676"/>
    </row>
    <row r="15287" spans="14:14" x14ac:dyDescent="0.35">
      <c r="N15287" s="676"/>
    </row>
    <row r="15288" spans="14:14" x14ac:dyDescent="0.35">
      <c r="N15288" s="676"/>
    </row>
    <row r="15289" spans="14:14" x14ac:dyDescent="0.35">
      <c r="N15289" s="676"/>
    </row>
    <row r="15290" spans="14:14" x14ac:dyDescent="0.35">
      <c r="N15290" s="676"/>
    </row>
    <row r="15291" spans="14:14" x14ac:dyDescent="0.35">
      <c r="N15291" s="676"/>
    </row>
    <row r="15292" spans="14:14" x14ac:dyDescent="0.35">
      <c r="N15292" s="676"/>
    </row>
    <row r="15293" spans="14:14" x14ac:dyDescent="0.35">
      <c r="N15293" s="676"/>
    </row>
    <row r="15294" spans="14:14" x14ac:dyDescent="0.35">
      <c r="N15294" s="676"/>
    </row>
    <row r="15295" spans="14:14" x14ac:dyDescent="0.35">
      <c r="N15295" s="676"/>
    </row>
    <row r="15296" spans="14:14" x14ac:dyDescent="0.35">
      <c r="N15296" s="676"/>
    </row>
    <row r="15297" spans="14:14" x14ac:dyDescent="0.35">
      <c r="N15297" s="676"/>
    </row>
    <row r="15298" spans="14:14" x14ac:dyDescent="0.35">
      <c r="N15298" s="676"/>
    </row>
    <row r="15299" spans="14:14" x14ac:dyDescent="0.35">
      <c r="N15299" s="676"/>
    </row>
    <row r="15300" spans="14:14" x14ac:dyDescent="0.35">
      <c r="N15300" s="676"/>
    </row>
    <row r="15301" spans="14:14" x14ac:dyDescent="0.35">
      <c r="N15301" s="676"/>
    </row>
    <row r="15302" spans="14:14" x14ac:dyDescent="0.35">
      <c r="N15302" s="676"/>
    </row>
    <row r="15303" spans="14:14" x14ac:dyDescent="0.35">
      <c r="N15303" s="676"/>
    </row>
    <row r="15304" spans="14:14" x14ac:dyDescent="0.35">
      <c r="N15304" s="676"/>
    </row>
    <row r="15305" spans="14:14" x14ac:dyDescent="0.35">
      <c r="N15305" s="676"/>
    </row>
    <row r="15306" spans="14:14" x14ac:dyDescent="0.35">
      <c r="N15306" s="676"/>
    </row>
    <row r="15307" spans="14:14" x14ac:dyDescent="0.35">
      <c r="N15307" s="676"/>
    </row>
    <row r="15308" spans="14:14" x14ac:dyDescent="0.35">
      <c r="N15308" s="676"/>
    </row>
    <row r="15309" spans="14:14" x14ac:dyDescent="0.35">
      <c r="N15309" s="676"/>
    </row>
    <row r="15310" spans="14:14" x14ac:dyDescent="0.35">
      <c r="N15310" s="676"/>
    </row>
    <row r="15311" spans="14:14" x14ac:dyDescent="0.35">
      <c r="N15311" s="676"/>
    </row>
    <row r="15312" spans="14:14" x14ac:dyDescent="0.35">
      <c r="N15312" s="676"/>
    </row>
    <row r="15313" spans="14:14" x14ac:dyDescent="0.35">
      <c r="N15313" s="676"/>
    </row>
    <row r="15314" spans="14:14" x14ac:dyDescent="0.35">
      <c r="N15314" s="676"/>
    </row>
    <row r="15315" spans="14:14" x14ac:dyDescent="0.35">
      <c r="N15315" s="676"/>
    </row>
    <row r="15316" spans="14:14" x14ac:dyDescent="0.35">
      <c r="N15316" s="676"/>
    </row>
    <row r="15317" spans="14:14" x14ac:dyDescent="0.35">
      <c r="N15317" s="676"/>
    </row>
    <row r="15318" spans="14:14" x14ac:dyDescent="0.35">
      <c r="N15318" s="676"/>
    </row>
    <row r="15319" spans="14:14" x14ac:dyDescent="0.35">
      <c r="N15319" s="676"/>
    </row>
    <row r="15320" spans="14:14" x14ac:dyDescent="0.35">
      <c r="N15320" s="676"/>
    </row>
    <row r="15321" spans="14:14" x14ac:dyDescent="0.35">
      <c r="N15321" s="676"/>
    </row>
    <row r="15322" spans="14:14" x14ac:dyDescent="0.35">
      <c r="N15322" s="676"/>
    </row>
    <row r="15323" spans="14:14" x14ac:dyDescent="0.35">
      <c r="N15323" s="676"/>
    </row>
    <row r="15324" spans="14:14" x14ac:dyDescent="0.35">
      <c r="N15324" s="676"/>
    </row>
    <row r="15325" spans="14:14" x14ac:dyDescent="0.35">
      <c r="N15325" s="676"/>
    </row>
    <row r="15326" spans="14:14" x14ac:dyDescent="0.35">
      <c r="N15326" s="676"/>
    </row>
    <row r="15327" spans="14:14" x14ac:dyDescent="0.35">
      <c r="N15327" s="676"/>
    </row>
    <row r="15328" spans="14:14" x14ac:dyDescent="0.35">
      <c r="N15328" s="676"/>
    </row>
    <row r="15329" spans="14:14" x14ac:dyDescent="0.35">
      <c r="N15329" s="676"/>
    </row>
    <row r="15330" spans="14:14" x14ac:dyDescent="0.35">
      <c r="N15330" s="676"/>
    </row>
    <row r="15331" spans="14:14" x14ac:dyDescent="0.35">
      <c r="N15331" s="676"/>
    </row>
    <row r="15332" spans="14:14" x14ac:dyDescent="0.35">
      <c r="N15332" s="676"/>
    </row>
    <row r="15333" spans="14:14" x14ac:dyDescent="0.35">
      <c r="N15333" s="676"/>
    </row>
    <row r="15334" spans="14:14" x14ac:dyDescent="0.35">
      <c r="N15334" s="676"/>
    </row>
    <row r="15335" spans="14:14" x14ac:dyDescent="0.35">
      <c r="N15335" s="676"/>
    </row>
    <row r="15336" spans="14:14" x14ac:dyDescent="0.35">
      <c r="N15336" s="676"/>
    </row>
    <row r="15337" spans="14:14" x14ac:dyDescent="0.35">
      <c r="N15337" s="676"/>
    </row>
    <row r="15338" spans="14:14" x14ac:dyDescent="0.35">
      <c r="N15338" s="676"/>
    </row>
    <row r="15339" spans="14:14" x14ac:dyDescent="0.35">
      <c r="N15339" s="676"/>
    </row>
    <row r="15340" spans="14:14" x14ac:dyDescent="0.35">
      <c r="N15340" s="676"/>
    </row>
    <row r="15341" spans="14:14" x14ac:dyDescent="0.35">
      <c r="N15341" s="676"/>
    </row>
    <row r="15342" spans="14:14" x14ac:dyDescent="0.35">
      <c r="N15342" s="676"/>
    </row>
    <row r="15343" spans="14:14" x14ac:dyDescent="0.35">
      <c r="N15343" s="676"/>
    </row>
    <row r="15344" spans="14:14" x14ac:dyDescent="0.35">
      <c r="N15344" s="676"/>
    </row>
    <row r="15345" spans="14:14" x14ac:dyDescent="0.35">
      <c r="N15345" s="676"/>
    </row>
    <row r="15346" spans="14:14" x14ac:dyDescent="0.35">
      <c r="N15346" s="676"/>
    </row>
    <row r="15347" spans="14:14" x14ac:dyDescent="0.35">
      <c r="N15347" s="676"/>
    </row>
    <row r="15348" spans="14:14" x14ac:dyDescent="0.35">
      <c r="N15348" s="676"/>
    </row>
    <row r="15349" spans="14:14" x14ac:dyDescent="0.35">
      <c r="N15349" s="676"/>
    </row>
    <row r="15350" spans="14:14" x14ac:dyDescent="0.35">
      <c r="N15350" s="676"/>
    </row>
    <row r="15351" spans="14:14" x14ac:dyDescent="0.35">
      <c r="N15351" s="676"/>
    </row>
    <row r="15352" spans="14:14" x14ac:dyDescent="0.35">
      <c r="N15352" s="676"/>
    </row>
    <row r="15353" spans="14:14" x14ac:dyDescent="0.35">
      <c r="N15353" s="676"/>
    </row>
    <row r="15354" spans="14:14" x14ac:dyDescent="0.35">
      <c r="N15354" s="676"/>
    </row>
    <row r="15355" spans="14:14" x14ac:dyDescent="0.35">
      <c r="N15355" s="676"/>
    </row>
    <row r="15356" spans="14:14" x14ac:dyDescent="0.35">
      <c r="N15356" s="676"/>
    </row>
    <row r="15357" spans="14:14" x14ac:dyDescent="0.35">
      <c r="N15357" s="676"/>
    </row>
    <row r="15358" spans="14:14" x14ac:dyDescent="0.35">
      <c r="N15358" s="676"/>
    </row>
    <row r="15359" spans="14:14" x14ac:dyDescent="0.35">
      <c r="N15359" s="676"/>
    </row>
    <row r="15360" spans="14:14" x14ac:dyDescent="0.35">
      <c r="N15360" s="676"/>
    </row>
    <row r="15361" spans="14:14" x14ac:dyDescent="0.35">
      <c r="N15361" s="676"/>
    </row>
    <row r="15362" spans="14:14" x14ac:dyDescent="0.35">
      <c r="N15362" s="676"/>
    </row>
    <row r="15363" spans="14:14" x14ac:dyDescent="0.35">
      <c r="N15363" s="676"/>
    </row>
    <row r="15364" spans="14:14" x14ac:dyDescent="0.35">
      <c r="N15364" s="676"/>
    </row>
    <row r="15365" spans="14:14" x14ac:dyDescent="0.35">
      <c r="N15365" s="676"/>
    </row>
    <row r="15366" spans="14:14" x14ac:dyDescent="0.35">
      <c r="N15366" s="676"/>
    </row>
    <row r="15367" spans="14:14" x14ac:dyDescent="0.35">
      <c r="N15367" s="676"/>
    </row>
    <row r="15368" spans="14:14" x14ac:dyDescent="0.35">
      <c r="N15368" s="676"/>
    </row>
    <row r="15369" spans="14:14" x14ac:dyDescent="0.35">
      <c r="N15369" s="676"/>
    </row>
    <row r="15370" spans="14:14" x14ac:dyDescent="0.35">
      <c r="N15370" s="676"/>
    </row>
    <row r="15371" spans="14:14" x14ac:dyDescent="0.35">
      <c r="N15371" s="676"/>
    </row>
    <row r="15372" spans="14:14" x14ac:dyDescent="0.35">
      <c r="N15372" s="676"/>
    </row>
    <row r="15373" spans="14:14" x14ac:dyDescent="0.35">
      <c r="N15373" s="676"/>
    </row>
    <row r="15374" spans="14:14" x14ac:dyDescent="0.35">
      <c r="N15374" s="676"/>
    </row>
    <row r="15375" spans="14:14" x14ac:dyDescent="0.35">
      <c r="N15375" s="676"/>
    </row>
    <row r="15376" spans="14:14" x14ac:dyDescent="0.35">
      <c r="N15376" s="676"/>
    </row>
    <row r="15377" spans="14:14" x14ac:dyDescent="0.35">
      <c r="N15377" s="676"/>
    </row>
    <row r="15378" spans="14:14" x14ac:dyDescent="0.35">
      <c r="N15378" s="676"/>
    </row>
    <row r="15379" spans="14:14" x14ac:dyDescent="0.35">
      <c r="N15379" s="676"/>
    </row>
    <row r="15380" spans="14:14" x14ac:dyDescent="0.35">
      <c r="N15380" s="676"/>
    </row>
    <row r="15381" spans="14:14" x14ac:dyDescent="0.35">
      <c r="N15381" s="676"/>
    </row>
    <row r="15382" spans="14:14" x14ac:dyDescent="0.35">
      <c r="N15382" s="676"/>
    </row>
    <row r="15383" spans="14:14" x14ac:dyDescent="0.35">
      <c r="N15383" s="676"/>
    </row>
    <row r="15384" spans="14:14" x14ac:dyDescent="0.35">
      <c r="N15384" s="676"/>
    </row>
    <row r="15385" spans="14:14" x14ac:dyDescent="0.35">
      <c r="N15385" s="676"/>
    </row>
    <row r="15386" spans="14:14" x14ac:dyDescent="0.35">
      <c r="N15386" s="676"/>
    </row>
    <row r="15387" spans="14:14" x14ac:dyDescent="0.35">
      <c r="N15387" s="676"/>
    </row>
    <row r="15388" spans="14:14" x14ac:dyDescent="0.35">
      <c r="N15388" s="676"/>
    </row>
    <row r="15389" spans="14:14" x14ac:dyDescent="0.35">
      <c r="N15389" s="676"/>
    </row>
    <row r="15390" spans="14:14" x14ac:dyDescent="0.35">
      <c r="N15390" s="676"/>
    </row>
    <row r="15391" spans="14:14" x14ac:dyDescent="0.35">
      <c r="N15391" s="676"/>
    </row>
    <row r="15392" spans="14:14" x14ac:dyDescent="0.35">
      <c r="N15392" s="676"/>
    </row>
    <row r="15393" spans="14:14" x14ac:dyDescent="0.35">
      <c r="N15393" s="676"/>
    </row>
    <row r="15394" spans="14:14" x14ac:dyDescent="0.35">
      <c r="N15394" s="676"/>
    </row>
    <row r="15395" spans="14:14" x14ac:dyDescent="0.35">
      <c r="N15395" s="676"/>
    </row>
    <row r="15396" spans="14:14" x14ac:dyDescent="0.35">
      <c r="N15396" s="676"/>
    </row>
    <row r="15397" spans="14:14" x14ac:dyDescent="0.35">
      <c r="N15397" s="676"/>
    </row>
    <row r="15398" spans="14:14" x14ac:dyDescent="0.35">
      <c r="N15398" s="676"/>
    </row>
    <row r="15399" spans="14:14" x14ac:dyDescent="0.35">
      <c r="N15399" s="676"/>
    </row>
    <row r="15400" spans="14:14" x14ac:dyDescent="0.35">
      <c r="N15400" s="676"/>
    </row>
    <row r="15401" spans="14:14" x14ac:dyDescent="0.35">
      <c r="N15401" s="676"/>
    </row>
    <row r="15402" spans="14:14" x14ac:dyDescent="0.35">
      <c r="N15402" s="676"/>
    </row>
    <row r="15403" spans="14:14" x14ac:dyDescent="0.35">
      <c r="N15403" s="676"/>
    </row>
    <row r="15404" spans="14:14" x14ac:dyDescent="0.35">
      <c r="N15404" s="676"/>
    </row>
    <row r="15405" spans="14:14" x14ac:dyDescent="0.35">
      <c r="N15405" s="676"/>
    </row>
    <row r="15406" spans="14:14" x14ac:dyDescent="0.35">
      <c r="N15406" s="676"/>
    </row>
    <row r="15407" spans="14:14" x14ac:dyDescent="0.35">
      <c r="N15407" s="676"/>
    </row>
    <row r="15408" spans="14:14" x14ac:dyDescent="0.35">
      <c r="N15408" s="676"/>
    </row>
    <row r="15409" spans="14:14" x14ac:dyDescent="0.35">
      <c r="N15409" s="676"/>
    </row>
    <row r="15410" spans="14:14" x14ac:dyDescent="0.35">
      <c r="N15410" s="676"/>
    </row>
    <row r="15411" spans="14:14" x14ac:dyDescent="0.35">
      <c r="N15411" s="676"/>
    </row>
    <row r="15412" spans="14:14" x14ac:dyDescent="0.35">
      <c r="N15412" s="676"/>
    </row>
    <row r="15413" spans="14:14" x14ac:dyDescent="0.35">
      <c r="N15413" s="676"/>
    </row>
    <row r="15414" spans="14:14" x14ac:dyDescent="0.35">
      <c r="N15414" s="676"/>
    </row>
    <row r="15415" spans="14:14" x14ac:dyDescent="0.35">
      <c r="N15415" s="676"/>
    </row>
    <row r="15416" spans="14:14" x14ac:dyDescent="0.35">
      <c r="N15416" s="676"/>
    </row>
    <row r="15417" spans="14:14" x14ac:dyDescent="0.35">
      <c r="N15417" s="676"/>
    </row>
    <row r="15418" spans="14:14" x14ac:dyDescent="0.35">
      <c r="N15418" s="676"/>
    </row>
    <row r="15419" spans="14:14" x14ac:dyDescent="0.35">
      <c r="N15419" s="676"/>
    </row>
    <row r="15420" spans="14:14" x14ac:dyDescent="0.35">
      <c r="N15420" s="676"/>
    </row>
    <row r="15421" spans="14:14" x14ac:dyDescent="0.35">
      <c r="N15421" s="676"/>
    </row>
    <row r="15422" spans="14:14" x14ac:dyDescent="0.35">
      <c r="N15422" s="676"/>
    </row>
    <row r="15423" spans="14:14" x14ac:dyDescent="0.35">
      <c r="N15423" s="676"/>
    </row>
    <row r="15424" spans="14:14" x14ac:dyDescent="0.35">
      <c r="N15424" s="676"/>
    </row>
    <row r="15425" spans="14:14" x14ac:dyDescent="0.35">
      <c r="N15425" s="676"/>
    </row>
    <row r="15426" spans="14:14" x14ac:dyDescent="0.35">
      <c r="N15426" s="676"/>
    </row>
    <row r="15427" spans="14:14" x14ac:dyDescent="0.35">
      <c r="N15427" s="676"/>
    </row>
    <row r="15428" spans="14:14" x14ac:dyDescent="0.35">
      <c r="N15428" s="676"/>
    </row>
    <row r="15429" spans="14:14" x14ac:dyDescent="0.35">
      <c r="N15429" s="676"/>
    </row>
    <row r="15430" spans="14:14" x14ac:dyDescent="0.35">
      <c r="N15430" s="676"/>
    </row>
    <row r="15431" spans="14:14" x14ac:dyDescent="0.35">
      <c r="N15431" s="676"/>
    </row>
    <row r="15432" spans="14:14" x14ac:dyDescent="0.35">
      <c r="N15432" s="676"/>
    </row>
    <row r="15433" spans="14:14" x14ac:dyDescent="0.35">
      <c r="N15433" s="676"/>
    </row>
    <row r="15434" spans="14:14" x14ac:dyDescent="0.35">
      <c r="N15434" s="676"/>
    </row>
    <row r="15435" spans="14:14" x14ac:dyDescent="0.35">
      <c r="N15435" s="676"/>
    </row>
    <row r="15436" spans="14:14" x14ac:dyDescent="0.35">
      <c r="N15436" s="676"/>
    </row>
    <row r="15437" spans="14:14" x14ac:dyDescent="0.35">
      <c r="N15437" s="676"/>
    </row>
    <row r="15438" spans="14:14" x14ac:dyDescent="0.35">
      <c r="N15438" s="676"/>
    </row>
    <row r="15439" spans="14:14" x14ac:dyDescent="0.35">
      <c r="N15439" s="676"/>
    </row>
    <row r="15440" spans="14:14" x14ac:dyDescent="0.35">
      <c r="N15440" s="676"/>
    </row>
    <row r="15441" spans="14:14" x14ac:dyDescent="0.35">
      <c r="N15441" s="676"/>
    </row>
    <row r="15442" spans="14:14" x14ac:dyDescent="0.35">
      <c r="N15442" s="676"/>
    </row>
    <row r="15443" spans="14:14" x14ac:dyDescent="0.35">
      <c r="N15443" s="676"/>
    </row>
    <row r="15444" spans="14:14" x14ac:dyDescent="0.35">
      <c r="N15444" s="676"/>
    </row>
    <row r="15445" spans="14:14" x14ac:dyDescent="0.35">
      <c r="N15445" s="676"/>
    </row>
    <row r="15446" spans="14:14" x14ac:dyDescent="0.35">
      <c r="N15446" s="676"/>
    </row>
    <row r="15447" spans="14:14" x14ac:dyDescent="0.35">
      <c r="N15447" s="676"/>
    </row>
    <row r="15448" spans="14:14" x14ac:dyDescent="0.35">
      <c r="N15448" s="676"/>
    </row>
    <row r="15449" spans="14:14" x14ac:dyDescent="0.35">
      <c r="N15449" s="676"/>
    </row>
    <row r="15450" spans="14:14" x14ac:dyDescent="0.35">
      <c r="N15450" s="676"/>
    </row>
    <row r="15451" spans="14:14" x14ac:dyDescent="0.35">
      <c r="N15451" s="676"/>
    </row>
    <row r="15452" spans="14:14" x14ac:dyDescent="0.35">
      <c r="N15452" s="676"/>
    </row>
    <row r="15453" spans="14:14" x14ac:dyDescent="0.35">
      <c r="N15453" s="676"/>
    </row>
    <row r="15454" spans="14:14" x14ac:dyDescent="0.35">
      <c r="N15454" s="676"/>
    </row>
    <row r="15455" spans="14:14" x14ac:dyDescent="0.35">
      <c r="N15455" s="676"/>
    </row>
    <row r="15456" spans="14:14" x14ac:dyDescent="0.35">
      <c r="N15456" s="676"/>
    </row>
    <row r="15457" spans="14:14" x14ac:dyDescent="0.35">
      <c r="N15457" s="676"/>
    </row>
    <row r="15458" spans="14:14" x14ac:dyDescent="0.35">
      <c r="N15458" s="676"/>
    </row>
    <row r="15459" spans="14:14" x14ac:dyDescent="0.35">
      <c r="N15459" s="676"/>
    </row>
    <row r="15460" spans="14:14" x14ac:dyDescent="0.35">
      <c r="N15460" s="676"/>
    </row>
    <row r="15461" spans="14:14" x14ac:dyDescent="0.35">
      <c r="N15461" s="676"/>
    </row>
    <row r="15462" spans="14:14" x14ac:dyDescent="0.35">
      <c r="N15462" s="676"/>
    </row>
    <row r="15463" spans="14:14" x14ac:dyDescent="0.35">
      <c r="N15463" s="676"/>
    </row>
    <row r="15464" spans="14:14" x14ac:dyDescent="0.35">
      <c r="N15464" s="676"/>
    </row>
    <row r="15465" spans="14:14" x14ac:dyDescent="0.35">
      <c r="N15465" s="676"/>
    </row>
    <row r="15466" spans="14:14" x14ac:dyDescent="0.35">
      <c r="N15466" s="676"/>
    </row>
    <row r="15467" spans="14:14" x14ac:dyDescent="0.35">
      <c r="N15467" s="676"/>
    </row>
    <row r="15468" spans="14:14" x14ac:dyDescent="0.35">
      <c r="N15468" s="676"/>
    </row>
    <row r="15469" spans="14:14" x14ac:dyDescent="0.35">
      <c r="N15469" s="676"/>
    </row>
    <row r="15470" spans="14:14" x14ac:dyDescent="0.35">
      <c r="N15470" s="676"/>
    </row>
    <row r="15471" spans="14:14" x14ac:dyDescent="0.35">
      <c r="N15471" s="676"/>
    </row>
    <row r="15472" spans="14:14" x14ac:dyDescent="0.35">
      <c r="N15472" s="676"/>
    </row>
    <row r="15473" spans="14:14" x14ac:dyDescent="0.35">
      <c r="N15473" s="676"/>
    </row>
    <row r="15474" spans="14:14" x14ac:dyDescent="0.35">
      <c r="N15474" s="676"/>
    </row>
    <row r="15475" spans="14:14" x14ac:dyDescent="0.35">
      <c r="N15475" s="676"/>
    </row>
    <row r="15476" spans="14:14" x14ac:dyDescent="0.35">
      <c r="N15476" s="676"/>
    </row>
    <row r="15477" spans="14:14" x14ac:dyDescent="0.35">
      <c r="N15477" s="676"/>
    </row>
    <row r="15478" spans="14:14" x14ac:dyDescent="0.35">
      <c r="N15478" s="676"/>
    </row>
    <row r="15479" spans="14:14" x14ac:dyDescent="0.35">
      <c r="N15479" s="676"/>
    </row>
    <row r="15480" spans="14:14" x14ac:dyDescent="0.35">
      <c r="N15480" s="676"/>
    </row>
    <row r="15481" spans="14:14" x14ac:dyDescent="0.35">
      <c r="N15481" s="676"/>
    </row>
    <row r="15482" spans="14:14" x14ac:dyDescent="0.35">
      <c r="N15482" s="676"/>
    </row>
    <row r="15483" spans="14:14" x14ac:dyDescent="0.35">
      <c r="N15483" s="676"/>
    </row>
    <row r="15484" spans="14:14" x14ac:dyDescent="0.35">
      <c r="N15484" s="676"/>
    </row>
    <row r="15485" spans="14:14" x14ac:dyDescent="0.35">
      <c r="N15485" s="676"/>
    </row>
    <row r="15486" spans="14:14" x14ac:dyDescent="0.35">
      <c r="N15486" s="676"/>
    </row>
    <row r="15487" spans="14:14" x14ac:dyDescent="0.35">
      <c r="N15487" s="676"/>
    </row>
    <row r="15488" spans="14:14" x14ac:dyDescent="0.35">
      <c r="N15488" s="676"/>
    </row>
    <row r="15489" spans="14:14" x14ac:dyDescent="0.35">
      <c r="N15489" s="676"/>
    </row>
    <row r="15490" spans="14:14" x14ac:dyDescent="0.35">
      <c r="N15490" s="676"/>
    </row>
    <row r="15491" spans="14:14" x14ac:dyDescent="0.35">
      <c r="N15491" s="676"/>
    </row>
    <row r="15492" spans="14:14" x14ac:dyDescent="0.35">
      <c r="N15492" s="676"/>
    </row>
    <row r="15493" spans="14:14" x14ac:dyDescent="0.35">
      <c r="N15493" s="676"/>
    </row>
    <row r="15494" spans="14:14" x14ac:dyDescent="0.35">
      <c r="N15494" s="676"/>
    </row>
    <row r="15495" spans="14:14" x14ac:dyDescent="0.35">
      <c r="N15495" s="676"/>
    </row>
    <row r="15496" spans="14:14" x14ac:dyDescent="0.35">
      <c r="N15496" s="676"/>
    </row>
    <row r="15497" spans="14:14" x14ac:dyDescent="0.35">
      <c r="N15497" s="676"/>
    </row>
    <row r="15498" spans="14:14" x14ac:dyDescent="0.35">
      <c r="N15498" s="676"/>
    </row>
    <row r="15499" spans="14:14" x14ac:dyDescent="0.35">
      <c r="N15499" s="676"/>
    </row>
    <row r="15500" spans="14:14" x14ac:dyDescent="0.35">
      <c r="N15500" s="676"/>
    </row>
    <row r="15501" spans="14:14" x14ac:dyDescent="0.35">
      <c r="N15501" s="676"/>
    </row>
    <row r="15502" spans="14:14" x14ac:dyDescent="0.35">
      <c r="N15502" s="676"/>
    </row>
    <row r="15503" spans="14:14" x14ac:dyDescent="0.35">
      <c r="N15503" s="676"/>
    </row>
    <row r="15504" spans="14:14" x14ac:dyDescent="0.35">
      <c r="N15504" s="676"/>
    </row>
    <row r="15505" spans="14:14" x14ac:dyDescent="0.35">
      <c r="N15505" s="676"/>
    </row>
    <row r="15506" spans="14:14" x14ac:dyDescent="0.35">
      <c r="N15506" s="676"/>
    </row>
    <row r="15507" spans="14:14" x14ac:dyDescent="0.35">
      <c r="N15507" s="676"/>
    </row>
    <row r="15508" spans="14:14" x14ac:dyDescent="0.35">
      <c r="N15508" s="676"/>
    </row>
    <row r="15509" spans="14:14" x14ac:dyDescent="0.35">
      <c r="N15509" s="676"/>
    </row>
    <row r="15510" spans="14:14" x14ac:dyDescent="0.35">
      <c r="N15510" s="676"/>
    </row>
    <row r="15511" spans="14:14" x14ac:dyDescent="0.35">
      <c r="N15511" s="676"/>
    </row>
    <row r="15512" spans="14:14" x14ac:dyDescent="0.35">
      <c r="N15512" s="676"/>
    </row>
    <row r="15513" spans="14:14" x14ac:dyDescent="0.35">
      <c r="N15513" s="676"/>
    </row>
    <row r="15514" spans="14:14" x14ac:dyDescent="0.35">
      <c r="N15514" s="676"/>
    </row>
    <row r="15515" spans="14:14" x14ac:dyDescent="0.35">
      <c r="N15515" s="676"/>
    </row>
    <row r="15516" spans="14:14" x14ac:dyDescent="0.35">
      <c r="N15516" s="676"/>
    </row>
    <row r="15517" spans="14:14" x14ac:dyDescent="0.35">
      <c r="N15517" s="676"/>
    </row>
    <row r="15518" spans="14:14" x14ac:dyDescent="0.35">
      <c r="N15518" s="676"/>
    </row>
    <row r="15519" spans="14:14" x14ac:dyDescent="0.35">
      <c r="N15519" s="676"/>
    </row>
    <row r="15520" spans="14:14" x14ac:dyDescent="0.35">
      <c r="N15520" s="676"/>
    </row>
    <row r="15521" spans="14:14" x14ac:dyDescent="0.35">
      <c r="N15521" s="676"/>
    </row>
    <row r="15522" spans="14:14" x14ac:dyDescent="0.35">
      <c r="N15522" s="676"/>
    </row>
    <row r="15523" spans="14:14" x14ac:dyDescent="0.35">
      <c r="N15523" s="676"/>
    </row>
    <row r="15524" spans="14:14" x14ac:dyDescent="0.35">
      <c r="N15524" s="676"/>
    </row>
    <row r="15525" spans="14:14" x14ac:dyDescent="0.35">
      <c r="N15525" s="676"/>
    </row>
    <row r="15526" spans="14:14" x14ac:dyDescent="0.35">
      <c r="N15526" s="676"/>
    </row>
    <row r="15527" spans="14:14" x14ac:dyDescent="0.35">
      <c r="N15527" s="676"/>
    </row>
    <row r="15528" spans="14:14" x14ac:dyDescent="0.35">
      <c r="N15528" s="676"/>
    </row>
    <row r="15529" spans="14:14" x14ac:dyDescent="0.35">
      <c r="N15529" s="676"/>
    </row>
    <row r="15530" spans="14:14" x14ac:dyDescent="0.35">
      <c r="N15530" s="676"/>
    </row>
    <row r="15531" spans="14:14" x14ac:dyDescent="0.35">
      <c r="N15531" s="676"/>
    </row>
    <row r="15532" spans="14:14" x14ac:dyDescent="0.35">
      <c r="N15532" s="676"/>
    </row>
    <row r="15533" spans="14:14" x14ac:dyDescent="0.35">
      <c r="N15533" s="676"/>
    </row>
    <row r="15534" spans="14:14" x14ac:dyDescent="0.35">
      <c r="N15534" s="676"/>
    </row>
    <row r="15535" spans="14:14" x14ac:dyDescent="0.35">
      <c r="N15535" s="676"/>
    </row>
    <row r="15536" spans="14:14" x14ac:dyDescent="0.35">
      <c r="N15536" s="676"/>
    </row>
    <row r="15537" spans="14:14" x14ac:dyDescent="0.35">
      <c r="N15537" s="676"/>
    </row>
    <row r="15538" spans="14:14" x14ac:dyDescent="0.35">
      <c r="N15538" s="676"/>
    </row>
    <row r="15539" spans="14:14" x14ac:dyDescent="0.35">
      <c r="N15539" s="676"/>
    </row>
    <row r="15540" spans="14:14" x14ac:dyDescent="0.35">
      <c r="N15540" s="676"/>
    </row>
    <row r="15541" spans="14:14" x14ac:dyDescent="0.35">
      <c r="N15541" s="676"/>
    </row>
    <row r="15542" spans="14:14" x14ac:dyDescent="0.35">
      <c r="N15542" s="676"/>
    </row>
    <row r="15543" spans="14:14" x14ac:dyDescent="0.35">
      <c r="N15543" s="676"/>
    </row>
    <row r="15544" spans="14:14" x14ac:dyDescent="0.35">
      <c r="N15544" s="676"/>
    </row>
    <row r="15545" spans="14:14" x14ac:dyDescent="0.35">
      <c r="N15545" s="676"/>
    </row>
    <row r="15546" spans="14:14" x14ac:dyDescent="0.35">
      <c r="N15546" s="676"/>
    </row>
    <row r="15547" spans="14:14" x14ac:dyDescent="0.35">
      <c r="N15547" s="676"/>
    </row>
    <row r="15548" spans="14:14" x14ac:dyDescent="0.35">
      <c r="N15548" s="676"/>
    </row>
    <row r="15549" spans="14:14" x14ac:dyDescent="0.35">
      <c r="N15549" s="676"/>
    </row>
    <row r="15550" spans="14:14" x14ac:dyDescent="0.35">
      <c r="N15550" s="676"/>
    </row>
    <row r="15551" spans="14:14" x14ac:dyDescent="0.35">
      <c r="N15551" s="676"/>
    </row>
    <row r="15552" spans="14:14" x14ac:dyDescent="0.35">
      <c r="N15552" s="676"/>
    </row>
    <row r="15553" spans="14:14" x14ac:dyDescent="0.35">
      <c r="N15553" s="676"/>
    </row>
    <row r="15554" spans="14:14" x14ac:dyDescent="0.35">
      <c r="N15554" s="676"/>
    </row>
    <row r="15555" spans="14:14" x14ac:dyDescent="0.35">
      <c r="N15555" s="676"/>
    </row>
    <row r="15556" spans="14:14" x14ac:dyDescent="0.35">
      <c r="N15556" s="676"/>
    </row>
    <row r="15557" spans="14:14" x14ac:dyDescent="0.35">
      <c r="N15557" s="676"/>
    </row>
    <row r="15558" spans="14:14" x14ac:dyDescent="0.35">
      <c r="N15558" s="676"/>
    </row>
    <row r="15559" spans="14:14" x14ac:dyDescent="0.35">
      <c r="N15559" s="676"/>
    </row>
    <row r="15560" spans="14:14" x14ac:dyDescent="0.35">
      <c r="N15560" s="676"/>
    </row>
    <row r="15561" spans="14:14" x14ac:dyDescent="0.35">
      <c r="N15561" s="676"/>
    </row>
    <row r="15562" spans="14:14" x14ac:dyDescent="0.35">
      <c r="N15562" s="676"/>
    </row>
    <row r="15563" spans="14:14" x14ac:dyDescent="0.35">
      <c r="N15563" s="676"/>
    </row>
    <row r="15564" spans="14:14" x14ac:dyDescent="0.35">
      <c r="N15564" s="676"/>
    </row>
    <row r="15565" spans="14:14" x14ac:dyDescent="0.35">
      <c r="N15565" s="676"/>
    </row>
    <row r="15566" spans="14:14" x14ac:dyDescent="0.35">
      <c r="N15566" s="676"/>
    </row>
    <row r="15567" spans="14:14" x14ac:dyDescent="0.35">
      <c r="N15567" s="676"/>
    </row>
    <row r="15568" spans="14:14" x14ac:dyDescent="0.35">
      <c r="N15568" s="676"/>
    </row>
    <row r="15569" spans="14:14" x14ac:dyDescent="0.35">
      <c r="N15569" s="676"/>
    </row>
    <row r="15570" spans="14:14" x14ac:dyDescent="0.35">
      <c r="N15570" s="676"/>
    </row>
    <row r="15571" spans="14:14" x14ac:dyDescent="0.35">
      <c r="N15571" s="676"/>
    </row>
    <row r="15572" spans="14:14" x14ac:dyDescent="0.35">
      <c r="N15572" s="676"/>
    </row>
    <row r="15573" spans="14:14" x14ac:dyDescent="0.35">
      <c r="N15573" s="676"/>
    </row>
    <row r="15574" spans="14:14" x14ac:dyDescent="0.35">
      <c r="N15574" s="676"/>
    </row>
    <row r="15575" spans="14:14" x14ac:dyDescent="0.35">
      <c r="N15575" s="676"/>
    </row>
    <row r="15576" spans="14:14" x14ac:dyDescent="0.35">
      <c r="N15576" s="676"/>
    </row>
    <row r="15577" spans="14:14" x14ac:dyDescent="0.35">
      <c r="N15577" s="676"/>
    </row>
    <row r="15578" spans="14:14" x14ac:dyDescent="0.35">
      <c r="N15578" s="676"/>
    </row>
    <row r="15579" spans="14:14" x14ac:dyDescent="0.35">
      <c r="N15579" s="676"/>
    </row>
    <row r="15580" spans="14:14" x14ac:dyDescent="0.35">
      <c r="N15580" s="676"/>
    </row>
    <row r="15581" spans="14:14" x14ac:dyDescent="0.35">
      <c r="N15581" s="676"/>
    </row>
    <row r="15582" spans="14:14" x14ac:dyDescent="0.35">
      <c r="N15582" s="676"/>
    </row>
    <row r="15583" spans="14:14" x14ac:dyDescent="0.35">
      <c r="N15583" s="676"/>
    </row>
    <row r="15584" spans="14:14" x14ac:dyDescent="0.35">
      <c r="N15584" s="676"/>
    </row>
    <row r="15585" spans="14:14" x14ac:dyDescent="0.35">
      <c r="N15585" s="676"/>
    </row>
    <row r="15586" spans="14:14" x14ac:dyDescent="0.35">
      <c r="N15586" s="676"/>
    </row>
    <row r="15587" spans="14:14" x14ac:dyDescent="0.35">
      <c r="N15587" s="676"/>
    </row>
    <row r="15588" spans="14:14" x14ac:dyDescent="0.35">
      <c r="N15588" s="676"/>
    </row>
    <row r="15589" spans="14:14" x14ac:dyDescent="0.35">
      <c r="N15589" s="676"/>
    </row>
    <row r="15590" spans="14:14" x14ac:dyDescent="0.35">
      <c r="N15590" s="676"/>
    </row>
    <row r="15591" spans="14:14" x14ac:dyDescent="0.35">
      <c r="N15591" s="676"/>
    </row>
    <row r="15592" spans="14:14" x14ac:dyDescent="0.35">
      <c r="N15592" s="676"/>
    </row>
    <row r="15593" spans="14:14" x14ac:dyDescent="0.35">
      <c r="N15593" s="676"/>
    </row>
    <row r="15594" spans="14:14" x14ac:dyDescent="0.35">
      <c r="N15594" s="676"/>
    </row>
    <row r="15595" spans="14:14" x14ac:dyDescent="0.35">
      <c r="N15595" s="676"/>
    </row>
    <row r="15596" spans="14:14" x14ac:dyDescent="0.35">
      <c r="N15596" s="676"/>
    </row>
    <row r="15597" spans="14:14" x14ac:dyDescent="0.35">
      <c r="N15597" s="676"/>
    </row>
    <row r="15598" spans="14:14" x14ac:dyDescent="0.35">
      <c r="N15598" s="676"/>
    </row>
    <row r="15599" spans="14:14" x14ac:dyDescent="0.35">
      <c r="N15599" s="676"/>
    </row>
    <row r="15600" spans="14:14" x14ac:dyDescent="0.35">
      <c r="N15600" s="676"/>
    </row>
    <row r="15601" spans="14:14" x14ac:dyDescent="0.35">
      <c r="N15601" s="676"/>
    </row>
    <row r="15602" spans="14:14" x14ac:dyDescent="0.35">
      <c r="N15602" s="676"/>
    </row>
    <row r="15603" spans="14:14" x14ac:dyDescent="0.35">
      <c r="N15603" s="676"/>
    </row>
    <row r="15604" spans="14:14" x14ac:dyDescent="0.35">
      <c r="N15604" s="676"/>
    </row>
    <row r="15605" spans="14:14" x14ac:dyDescent="0.35">
      <c r="N15605" s="676"/>
    </row>
    <row r="15606" spans="14:14" x14ac:dyDescent="0.35">
      <c r="N15606" s="676"/>
    </row>
    <row r="15607" spans="14:14" x14ac:dyDescent="0.35">
      <c r="N15607" s="676"/>
    </row>
    <row r="15608" spans="14:14" x14ac:dyDescent="0.35">
      <c r="N15608" s="676"/>
    </row>
    <row r="15609" spans="14:14" x14ac:dyDescent="0.35">
      <c r="N15609" s="676"/>
    </row>
    <row r="15610" spans="14:14" x14ac:dyDescent="0.35">
      <c r="N15610" s="676"/>
    </row>
    <row r="15611" spans="14:14" x14ac:dyDescent="0.35">
      <c r="N15611" s="676"/>
    </row>
    <row r="15612" spans="14:14" x14ac:dyDescent="0.35">
      <c r="N15612" s="676"/>
    </row>
    <row r="15613" spans="14:14" x14ac:dyDescent="0.35">
      <c r="N15613" s="676"/>
    </row>
    <row r="15614" spans="14:14" x14ac:dyDescent="0.35">
      <c r="N15614" s="676"/>
    </row>
    <row r="15615" spans="14:14" x14ac:dyDescent="0.35">
      <c r="N15615" s="676"/>
    </row>
    <row r="15616" spans="14:14" x14ac:dyDescent="0.35">
      <c r="N15616" s="676"/>
    </row>
    <row r="15617" spans="14:14" x14ac:dyDescent="0.35">
      <c r="N15617" s="676"/>
    </row>
    <row r="15618" spans="14:14" x14ac:dyDescent="0.35">
      <c r="N15618" s="676"/>
    </row>
    <row r="15619" spans="14:14" x14ac:dyDescent="0.35">
      <c r="N15619" s="676"/>
    </row>
    <row r="15620" spans="14:14" x14ac:dyDescent="0.35">
      <c r="N15620" s="676"/>
    </row>
    <row r="15621" spans="14:14" x14ac:dyDescent="0.35">
      <c r="N15621" s="676"/>
    </row>
    <row r="15622" spans="14:14" x14ac:dyDescent="0.35">
      <c r="N15622" s="676"/>
    </row>
    <row r="15623" spans="14:14" x14ac:dyDescent="0.35">
      <c r="N15623" s="676"/>
    </row>
    <row r="15624" spans="14:14" x14ac:dyDescent="0.35">
      <c r="N15624" s="676"/>
    </row>
    <row r="15625" spans="14:14" x14ac:dyDescent="0.35">
      <c r="N15625" s="676"/>
    </row>
    <row r="15626" spans="14:14" x14ac:dyDescent="0.35">
      <c r="N15626" s="676"/>
    </row>
    <row r="15627" spans="14:14" x14ac:dyDescent="0.35">
      <c r="N15627" s="676"/>
    </row>
    <row r="15628" spans="14:14" x14ac:dyDescent="0.35">
      <c r="N15628" s="676"/>
    </row>
    <row r="15629" spans="14:14" x14ac:dyDescent="0.35">
      <c r="N15629" s="676"/>
    </row>
    <row r="15630" spans="14:14" x14ac:dyDescent="0.35">
      <c r="N15630" s="676"/>
    </row>
    <row r="15631" spans="14:14" x14ac:dyDescent="0.35">
      <c r="N15631" s="676"/>
    </row>
    <row r="15632" spans="14:14" x14ac:dyDescent="0.35">
      <c r="N15632" s="676"/>
    </row>
    <row r="15633" spans="14:14" x14ac:dyDescent="0.35">
      <c r="N15633" s="676"/>
    </row>
    <row r="15634" spans="14:14" x14ac:dyDescent="0.35">
      <c r="N15634" s="676"/>
    </row>
    <row r="15635" spans="14:14" x14ac:dyDescent="0.35">
      <c r="N15635" s="676"/>
    </row>
    <row r="15636" spans="14:14" x14ac:dyDescent="0.35">
      <c r="N15636" s="676"/>
    </row>
    <row r="15637" spans="14:14" x14ac:dyDescent="0.35">
      <c r="N15637" s="676"/>
    </row>
    <row r="15638" spans="14:14" x14ac:dyDescent="0.35">
      <c r="N15638" s="676"/>
    </row>
    <row r="15639" spans="14:14" x14ac:dyDescent="0.35">
      <c r="N15639" s="676"/>
    </row>
    <row r="15640" spans="14:14" x14ac:dyDescent="0.35">
      <c r="N15640" s="676"/>
    </row>
    <row r="15641" spans="14:14" x14ac:dyDescent="0.35">
      <c r="N15641" s="676"/>
    </row>
    <row r="15642" spans="14:14" x14ac:dyDescent="0.35">
      <c r="N15642" s="676"/>
    </row>
    <row r="15643" spans="14:14" x14ac:dyDescent="0.35">
      <c r="N15643" s="676"/>
    </row>
    <row r="15644" spans="14:14" x14ac:dyDescent="0.35">
      <c r="N15644" s="676"/>
    </row>
    <row r="15645" spans="14:14" x14ac:dyDescent="0.35">
      <c r="N15645" s="676"/>
    </row>
    <row r="15646" spans="14:14" x14ac:dyDescent="0.35">
      <c r="N15646" s="676"/>
    </row>
    <row r="15647" spans="14:14" x14ac:dyDescent="0.35">
      <c r="N15647" s="676"/>
    </row>
    <row r="15648" spans="14:14" x14ac:dyDescent="0.35">
      <c r="N15648" s="676"/>
    </row>
    <row r="15649" spans="14:14" x14ac:dyDescent="0.35">
      <c r="N15649" s="676"/>
    </row>
    <row r="15650" spans="14:14" x14ac:dyDescent="0.35">
      <c r="N15650" s="676"/>
    </row>
    <row r="15651" spans="14:14" x14ac:dyDescent="0.35">
      <c r="N15651" s="676"/>
    </row>
    <row r="15652" spans="14:14" x14ac:dyDescent="0.35">
      <c r="N15652" s="676"/>
    </row>
    <row r="15653" spans="14:14" x14ac:dyDescent="0.35">
      <c r="N15653" s="676"/>
    </row>
    <row r="15654" spans="14:14" x14ac:dyDescent="0.35">
      <c r="N15654" s="676"/>
    </row>
    <row r="15655" spans="14:14" x14ac:dyDescent="0.35">
      <c r="N15655" s="676"/>
    </row>
    <row r="15656" spans="14:14" x14ac:dyDescent="0.35">
      <c r="N15656" s="676"/>
    </row>
    <row r="15657" spans="14:14" x14ac:dyDescent="0.35">
      <c r="N15657" s="676"/>
    </row>
    <row r="15658" spans="14:14" x14ac:dyDescent="0.35">
      <c r="N15658" s="676"/>
    </row>
    <row r="15659" spans="14:14" x14ac:dyDescent="0.35">
      <c r="N15659" s="676"/>
    </row>
    <row r="15660" spans="14:14" x14ac:dyDescent="0.35">
      <c r="N15660" s="676"/>
    </row>
    <row r="15661" spans="14:14" x14ac:dyDescent="0.35">
      <c r="N15661" s="676"/>
    </row>
    <row r="15662" spans="14:14" x14ac:dyDescent="0.35">
      <c r="N15662" s="676"/>
    </row>
    <row r="15663" spans="14:14" x14ac:dyDescent="0.35">
      <c r="N15663" s="676"/>
    </row>
    <row r="15664" spans="14:14" x14ac:dyDescent="0.35">
      <c r="N15664" s="676"/>
    </row>
    <row r="15665" spans="14:14" x14ac:dyDescent="0.35">
      <c r="N15665" s="676"/>
    </row>
    <row r="15666" spans="14:14" x14ac:dyDescent="0.35">
      <c r="N15666" s="676"/>
    </row>
    <row r="15667" spans="14:14" x14ac:dyDescent="0.35">
      <c r="N15667" s="676"/>
    </row>
    <row r="15668" spans="14:14" x14ac:dyDescent="0.35">
      <c r="N15668" s="676"/>
    </row>
    <row r="15669" spans="14:14" x14ac:dyDescent="0.35">
      <c r="N15669" s="676"/>
    </row>
    <row r="15670" spans="14:14" x14ac:dyDescent="0.35">
      <c r="N15670" s="676"/>
    </row>
    <row r="15671" spans="14:14" x14ac:dyDescent="0.35">
      <c r="N15671" s="676"/>
    </row>
    <row r="15672" spans="14:14" x14ac:dyDescent="0.35">
      <c r="N15672" s="676"/>
    </row>
    <row r="15673" spans="14:14" x14ac:dyDescent="0.35">
      <c r="N15673" s="676"/>
    </row>
    <row r="15674" spans="14:14" x14ac:dyDescent="0.35">
      <c r="N15674" s="676"/>
    </row>
    <row r="15675" spans="14:14" x14ac:dyDescent="0.35">
      <c r="N15675" s="676"/>
    </row>
    <row r="15676" spans="14:14" x14ac:dyDescent="0.35">
      <c r="N15676" s="676"/>
    </row>
    <row r="15677" spans="14:14" x14ac:dyDescent="0.35">
      <c r="N15677" s="676"/>
    </row>
    <row r="15678" spans="14:14" x14ac:dyDescent="0.35">
      <c r="N15678" s="676"/>
    </row>
    <row r="15679" spans="14:14" x14ac:dyDescent="0.35">
      <c r="N15679" s="676"/>
    </row>
    <row r="15680" spans="14:14" x14ac:dyDescent="0.35">
      <c r="N15680" s="676"/>
    </row>
    <row r="15681" spans="14:14" x14ac:dyDescent="0.35">
      <c r="N15681" s="676"/>
    </row>
    <row r="15682" spans="14:14" x14ac:dyDescent="0.35">
      <c r="N15682" s="676"/>
    </row>
    <row r="15683" spans="14:14" x14ac:dyDescent="0.35">
      <c r="N15683" s="676"/>
    </row>
    <row r="15684" spans="14:14" x14ac:dyDescent="0.35">
      <c r="N15684" s="676"/>
    </row>
    <row r="15685" spans="14:14" x14ac:dyDescent="0.35">
      <c r="N15685" s="676"/>
    </row>
    <row r="15686" spans="14:14" x14ac:dyDescent="0.35">
      <c r="N15686" s="676"/>
    </row>
    <row r="15687" spans="14:14" x14ac:dyDescent="0.35">
      <c r="N15687" s="676"/>
    </row>
    <row r="15688" spans="14:14" x14ac:dyDescent="0.35">
      <c r="N15688" s="676"/>
    </row>
    <row r="15689" spans="14:14" x14ac:dyDescent="0.35">
      <c r="N15689" s="676"/>
    </row>
    <row r="15690" spans="14:14" x14ac:dyDescent="0.35">
      <c r="N15690" s="676"/>
    </row>
    <row r="15691" spans="14:14" x14ac:dyDescent="0.35">
      <c r="N15691" s="676"/>
    </row>
    <row r="15692" spans="14:14" x14ac:dyDescent="0.35">
      <c r="N15692" s="676"/>
    </row>
    <row r="15693" spans="14:14" x14ac:dyDescent="0.35">
      <c r="N15693" s="676"/>
    </row>
    <row r="15694" spans="14:14" x14ac:dyDescent="0.35">
      <c r="N15694" s="676"/>
    </row>
    <row r="15695" spans="14:14" x14ac:dyDescent="0.35">
      <c r="N15695" s="676"/>
    </row>
    <row r="15696" spans="14:14" x14ac:dyDescent="0.35">
      <c r="N15696" s="676"/>
    </row>
    <row r="15697" spans="14:14" x14ac:dyDescent="0.35">
      <c r="N15697" s="676"/>
    </row>
    <row r="15698" spans="14:14" x14ac:dyDescent="0.35">
      <c r="N15698" s="676"/>
    </row>
    <row r="15699" spans="14:14" x14ac:dyDescent="0.35">
      <c r="N15699" s="676"/>
    </row>
    <row r="15700" spans="14:14" x14ac:dyDescent="0.35">
      <c r="N15700" s="676"/>
    </row>
    <row r="15701" spans="14:14" x14ac:dyDescent="0.35">
      <c r="N15701" s="676"/>
    </row>
    <row r="15702" spans="14:14" x14ac:dyDescent="0.35">
      <c r="N15702" s="676"/>
    </row>
    <row r="15703" spans="14:14" x14ac:dyDescent="0.35">
      <c r="N15703" s="676"/>
    </row>
    <row r="15704" spans="14:14" x14ac:dyDescent="0.35">
      <c r="N15704" s="676"/>
    </row>
    <row r="15705" spans="14:14" x14ac:dyDescent="0.35">
      <c r="N15705" s="676"/>
    </row>
    <row r="15706" spans="14:14" x14ac:dyDescent="0.35">
      <c r="N15706" s="676"/>
    </row>
    <row r="15707" spans="14:14" x14ac:dyDescent="0.35">
      <c r="N15707" s="676"/>
    </row>
    <row r="15708" spans="14:14" x14ac:dyDescent="0.35">
      <c r="N15708" s="676"/>
    </row>
    <row r="15709" spans="14:14" x14ac:dyDescent="0.35">
      <c r="N15709" s="676"/>
    </row>
    <row r="15710" spans="14:14" x14ac:dyDescent="0.35">
      <c r="N15710" s="676"/>
    </row>
    <row r="15711" spans="14:14" x14ac:dyDescent="0.35">
      <c r="N15711" s="676"/>
    </row>
    <row r="15712" spans="14:14" x14ac:dyDescent="0.35">
      <c r="N15712" s="676"/>
    </row>
    <row r="15713" spans="14:14" x14ac:dyDescent="0.35">
      <c r="N15713" s="676"/>
    </row>
    <row r="15714" spans="14:14" x14ac:dyDescent="0.35">
      <c r="N15714" s="676"/>
    </row>
    <row r="15715" spans="14:14" x14ac:dyDescent="0.35">
      <c r="N15715" s="676"/>
    </row>
    <row r="15716" spans="14:14" x14ac:dyDescent="0.35">
      <c r="N15716" s="676"/>
    </row>
    <row r="15717" spans="14:14" x14ac:dyDescent="0.35">
      <c r="N15717" s="676"/>
    </row>
    <row r="15718" spans="14:14" x14ac:dyDescent="0.35">
      <c r="N15718" s="676"/>
    </row>
    <row r="15719" spans="14:14" x14ac:dyDescent="0.35">
      <c r="N15719" s="676"/>
    </row>
    <row r="15720" spans="14:14" x14ac:dyDescent="0.35">
      <c r="N15720" s="676"/>
    </row>
    <row r="15721" spans="14:14" x14ac:dyDescent="0.35">
      <c r="N15721" s="676"/>
    </row>
    <row r="15722" spans="14:14" x14ac:dyDescent="0.35">
      <c r="N15722" s="676"/>
    </row>
    <row r="15723" spans="14:14" x14ac:dyDescent="0.35">
      <c r="N15723" s="676"/>
    </row>
    <row r="15724" spans="14:14" x14ac:dyDescent="0.35">
      <c r="N15724" s="676"/>
    </row>
    <row r="15725" spans="14:14" x14ac:dyDescent="0.35">
      <c r="N15725" s="676"/>
    </row>
    <row r="15726" spans="14:14" x14ac:dyDescent="0.35">
      <c r="N15726" s="676"/>
    </row>
    <row r="15727" spans="14:14" x14ac:dyDescent="0.35">
      <c r="N15727" s="676"/>
    </row>
    <row r="15728" spans="14:14" x14ac:dyDescent="0.35">
      <c r="N15728" s="676"/>
    </row>
    <row r="15729" spans="14:14" x14ac:dyDescent="0.35">
      <c r="N15729" s="676"/>
    </row>
    <row r="15730" spans="14:14" x14ac:dyDescent="0.35">
      <c r="N15730" s="676"/>
    </row>
    <row r="15731" spans="14:14" x14ac:dyDescent="0.35">
      <c r="N15731" s="676"/>
    </row>
    <row r="15732" spans="14:14" x14ac:dyDescent="0.35">
      <c r="N15732" s="676"/>
    </row>
    <row r="15733" spans="14:14" x14ac:dyDescent="0.35">
      <c r="N15733" s="676"/>
    </row>
    <row r="15734" spans="14:14" x14ac:dyDescent="0.35">
      <c r="N15734" s="676"/>
    </row>
    <row r="15735" spans="14:14" x14ac:dyDescent="0.35">
      <c r="N15735" s="676"/>
    </row>
    <row r="15736" spans="14:14" x14ac:dyDescent="0.35">
      <c r="N15736" s="676"/>
    </row>
    <row r="15737" spans="14:14" x14ac:dyDescent="0.35">
      <c r="N15737" s="676"/>
    </row>
    <row r="15738" spans="14:14" x14ac:dyDescent="0.35">
      <c r="N15738" s="676"/>
    </row>
    <row r="15739" spans="14:14" x14ac:dyDescent="0.35">
      <c r="N15739" s="676"/>
    </row>
    <row r="15740" spans="14:14" x14ac:dyDescent="0.35">
      <c r="N15740" s="676"/>
    </row>
    <row r="15741" spans="14:14" x14ac:dyDescent="0.35">
      <c r="N15741" s="676"/>
    </row>
    <row r="15742" spans="14:14" x14ac:dyDescent="0.35">
      <c r="N15742" s="676"/>
    </row>
    <row r="15743" spans="14:14" x14ac:dyDescent="0.35">
      <c r="N15743" s="676"/>
    </row>
    <row r="15744" spans="14:14" x14ac:dyDescent="0.35">
      <c r="N15744" s="676"/>
    </row>
    <row r="15745" spans="14:14" x14ac:dyDescent="0.35">
      <c r="N15745" s="676"/>
    </row>
    <row r="15746" spans="14:14" x14ac:dyDescent="0.35">
      <c r="N15746" s="676"/>
    </row>
    <row r="15747" spans="14:14" x14ac:dyDescent="0.35">
      <c r="N15747" s="676"/>
    </row>
    <row r="15748" spans="14:14" x14ac:dyDescent="0.35">
      <c r="N15748" s="676"/>
    </row>
    <row r="15749" spans="14:14" x14ac:dyDescent="0.35">
      <c r="N15749" s="676"/>
    </row>
    <row r="15750" spans="14:14" x14ac:dyDescent="0.35">
      <c r="N15750" s="676"/>
    </row>
    <row r="15751" spans="14:14" x14ac:dyDescent="0.35">
      <c r="N15751" s="676"/>
    </row>
    <row r="15752" spans="14:14" x14ac:dyDescent="0.35">
      <c r="N15752" s="676"/>
    </row>
    <row r="15753" spans="14:14" x14ac:dyDescent="0.35">
      <c r="N15753" s="676"/>
    </row>
    <row r="15754" spans="14:14" x14ac:dyDescent="0.35">
      <c r="N15754" s="676"/>
    </row>
    <row r="15755" spans="14:14" x14ac:dyDescent="0.35">
      <c r="N15755" s="676"/>
    </row>
    <row r="15756" spans="14:14" x14ac:dyDescent="0.35">
      <c r="N15756" s="676"/>
    </row>
    <row r="15757" spans="14:14" x14ac:dyDescent="0.35">
      <c r="N15757" s="676"/>
    </row>
    <row r="15758" spans="14:14" x14ac:dyDescent="0.35">
      <c r="N15758" s="676"/>
    </row>
    <row r="15759" spans="14:14" x14ac:dyDescent="0.35">
      <c r="N15759" s="676"/>
    </row>
    <row r="15760" spans="14:14" x14ac:dyDescent="0.35">
      <c r="N15760" s="676"/>
    </row>
    <row r="15761" spans="14:14" x14ac:dyDescent="0.35">
      <c r="N15761" s="676"/>
    </row>
    <row r="15762" spans="14:14" x14ac:dyDescent="0.35">
      <c r="N15762" s="676"/>
    </row>
    <row r="15763" spans="14:14" x14ac:dyDescent="0.35">
      <c r="N15763" s="676"/>
    </row>
    <row r="15764" spans="14:14" x14ac:dyDescent="0.35">
      <c r="N15764" s="676"/>
    </row>
    <row r="15765" spans="14:14" x14ac:dyDescent="0.35">
      <c r="N15765" s="676"/>
    </row>
    <row r="15766" spans="14:14" x14ac:dyDescent="0.35">
      <c r="N15766" s="676"/>
    </row>
    <row r="15767" spans="14:14" x14ac:dyDescent="0.35">
      <c r="N15767" s="676"/>
    </row>
    <row r="15768" spans="14:14" x14ac:dyDescent="0.35">
      <c r="N15768" s="676"/>
    </row>
    <row r="15769" spans="14:14" x14ac:dyDescent="0.35">
      <c r="N15769" s="676"/>
    </row>
    <row r="15770" spans="14:14" x14ac:dyDescent="0.35">
      <c r="N15770" s="676"/>
    </row>
    <row r="15771" spans="14:14" x14ac:dyDescent="0.35">
      <c r="N15771" s="676"/>
    </row>
    <row r="15772" spans="14:14" x14ac:dyDescent="0.35">
      <c r="N15772" s="676"/>
    </row>
    <row r="15773" spans="14:14" x14ac:dyDescent="0.35">
      <c r="N15773" s="676"/>
    </row>
    <row r="15774" spans="14:14" x14ac:dyDescent="0.35">
      <c r="N15774" s="676"/>
    </row>
    <row r="15775" spans="14:14" x14ac:dyDescent="0.35">
      <c r="N15775" s="676"/>
    </row>
    <row r="15776" spans="14:14" x14ac:dyDescent="0.35">
      <c r="N15776" s="676"/>
    </row>
    <row r="15777" spans="14:14" x14ac:dyDescent="0.35">
      <c r="N15777" s="676"/>
    </row>
    <row r="15778" spans="14:14" x14ac:dyDescent="0.35">
      <c r="N15778" s="676"/>
    </row>
    <row r="15779" spans="14:14" x14ac:dyDescent="0.35">
      <c r="N15779" s="676"/>
    </row>
    <row r="15780" spans="14:14" x14ac:dyDescent="0.35">
      <c r="N15780" s="676"/>
    </row>
    <row r="15781" spans="14:14" x14ac:dyDescent="0.35">
      <c r="N15781" s="676"/>
    </row>
    <row r="15782" spans="14:14" x14ac:dyDescent="0.35">
      <c r="N15782" s="676"/>
    </row>
    <row r="15783" spans="14:14" x14ac:dyDescent="0.35">
      <c r="N15783" s="676"/>
    </row>
    <row r="15784" spans="14:14" x14ac:dyDescent="0.35">
      <c r="N15784" s="676"/>
    </row>
    <row r="15785" spans="14:14" x14ac:dyDescent="0.35">
      <c r="N15785" s="676"/>
    </row>
    <row r="15786" spans="14:14" x14ac:dyDescent="0.35">
      <c r="N15786" s="676"/>
    </row>
    <row r="15787" spans="14:14" x14ac:dyDescent="0.35">
      <c r="N15787" s="676"/>
    </row>
    <row r="15788" spans="14:14" x14ac:dyDescent="0.35">
      <c r="N15788" s="676"/>
    </row>
    <row r="15789" spans="14:14" x14ac:dyDescent="0.35">
      <c r="N15789" s="676"/>
    </row>
    <row r="15790" spans="14:14" x14ac:dyDescent="0.35">
      <c r="N15790" s="676"/>
    </row>
    <row r="15791" spans="14:14" x14ac:dyDescent="0.35">
      <c r="N15791" s="676"/>
    </row>
    <row r="15792" spans="14:14" x14ac:dyDescent="0.35">
      <c r="N15792" s="676"/>
    </row>
    <row r="15793" spans="14:14" x14ac:dyDescent="0.35">
      <c r="N15793" s="676"/>
    </row>
    <row r="15794" spans="14:14" x14ac:dyDescent="0.35">
      <c r="N15794" s="676"/>
    </row>
    <row r="15795" spans="14:14" x14ac:dyDescent="0.35">
      <c r="N15795" s="676"/>
    </row>
    <row r="15796" spans="14:14" x14ac:dyDescent="0.35">
      <c r="N15796" s="676"/>
    </row>
    <row r="15797" spans="14:14" x14ac:dyDescent="0.35">
      <c r="N15797" s="676"/>
    </row>
    <row r="15798" spans="14:14" x14ac:dyDescent="0.35">
      <c r="N15798" s="676"/>
    </row>
    <row r="15799" spans="14:14" x14ac:dyDescent="0.35">
      <c r="N15799" s="676"/>
    </row>
    <row r="15800" spans="14:14" x14ac:dyDescent="0.35">
      <c r="N15800" s="676"/>
    </row>
    <row r="15801" spans="14:14" x14ac:dyDescent="0.35">
      <c r="N15801" s="676"/>
    </row>
    <row r="15802" spans="14:14" x14ac:dyDescent="0.35">
      <c r="N15802" s="676"/>
    </row>
    <row r="15803" spans="14:14" x14ac:dyDescent="0.35">
      <c r="N15803" s="676"/>
    </row>
    <row r="15804" spans="14:14" x14ac:dyDescent="0.35">
      <c r="N15804" s="676"/>
    </row>
    <row r="15805" spans="14:14" x14ac:dyDescent="0.35">
      <c r="N15805" s="676"/>
    </row>
    <row r="15806" spans="14:14" x14ac:dyDescent="0.35">
      <c r="N15806" s="676"/>
    </row>
    <row r="15807" spans="14:14" x14ac:dyDescent="0.35">
      <c r="N15807" s="676"/>
    </row>
    <row r="15808" spans="14:14" x14ac:dyDescent="0.35">
      <c r="N15808" s="676"/>
    </row>
    <row r="15809" spans="14:14" x14ac:dyDescent="0.35">
      <c r="N15809" s="676"/>
    </row>
    <row r="15810" spans="14:14" x14ac:dyDescent="0.35">
      <c r="N15810" s="676"/>
    </row>
    <row r="15811" spans="14:14" x14ac:dyDescent="0.35">
      <c r="N15811" s="676"/>
    </row>
    <row r="15812" spans="14:14" x14ac:dyDescent="0.35">
      <c r="N15812" s="676"/>
    </row>
    <row r="15813" spans="14:14" x14ac:dyDescent="0.35">
      <c r="N15813" s="676"/>
    </row>
    <row r="15814" spans="14:14" x14ac:dyDescent="0.35">
      <c r="N15814" s="676"/>
    </row>
    <row r="15815" spans="14:14" x14ac:dyDescent="0.35">
      <c r="N15815" s="676"/>
    </row>
    <row r="15816" spans="14:14" x14ac:dyDescent="0.35">
      <c r="N15816" s="676"/>
    </row>
    <row r="15817" spans="14:14" x14ac:dyDescent="0.35">
      <c r="N15817" s="676"/>
    </row>
    <row r="15818" spans="14:14" x14ac:dyDescent="0.35">
      <c r="N15818" s="676"/>
    </row>
    <row r="15819" spans="14:14" x14ac:dyDescent="0.35">
      <c r="N15819" s="676"/>
    </row>
    <row r="15820" spans="14:14" x14ac:dyDescent="0.35">
      <c r="N15820" s="676"/>
    </row>
    <row r="15821" spans="14:14" x14ac:dyDescent="0.35">
      <c r="N15821" s="676"/>
    </row>
    <row r="15822" spans="14:14" x14ac:dyDescent="0.35">
      <c r="N15822" s="676"/>
    </row>
    <row r="15823" spans="14:14" x14ac:dyDescent="0.35">
      <c r="N15823" s="676"/>
    </row>
    <row r="15824" spans="14:14" x14ac:dyDescent="0.35">
      <c r="N15824" s="676"/>
    </row>
    <row r="15825" spans="14:14" x14ac:dyDescent="0.35">
      <c r="N15825" s="676"/>
    </row>
    <row r="15826" spans="14:14" x14ac:dyDescent="0.35">
      <c r="N15826" s="676"/>
    </row>
    <row r="15827" spans="14:14" x14ac:dyDescent="0.35">
      <c r="N15827" s="676"/>
    </row>
    <row r="15828" spans="14:14" x14ac:dyDescent="0.35">
      <c r="N15828" s="676"/>
    </row>
    <row r="15829" spans="14:14" x14ac:dyDescent="0.35">
      <c r="N15829" s="676"/>
    </row>
    <row r="15830" spans="14:14" x14ac:dyDescent="0.35">
      <c r="N15830" s="676"/>
    </row>
    <row r="15831" spans="14:14" x14ac:dyDescent="0.35">
      <c r="N15831" s="676"/>
    </row>
    <row r="15832" spans="14:14" x14ac:dyDescent="0.35">
      <c r="N15832" s="676"/>
    </row>
    <row r="15833" spans="14:14" x14ac:dyDescent="0.35">
      <c r="N15833" s="676"/>
    </row>
    <row r="15834" spans="14:14" x14ac:dyDescent="0.35">
      <c r="N15834" s="676"/>
    </row>
    <row r="15835" spans="14:14" x14ac:dyDescent="0.35">
      <c r="N15835" s="676"/>
    </row>
    <row r="15836" spans="14:14" x14ac:dyDescent="0.35">
      <c r="N15836" s="676"/>
    </row>
    <row r="15837" spans="14:14" x14ac:dyDescent="0.35">
      <c r="N15837" s="676"/>
    </row>
    <row r="15838" spans="14:14" x14ac:dyDescent="0.35">
      <c r="N15838" s="676"/>
    </row>
    <row r="15839" spans="14:14" x14ac:dyDescent="0.35">
      <c r="N15839" s="676"/>
    </row>
    <row r="15840" spans="14:14" x14ac:dyDescent="0.35">
      <c r="N15840" s="676"/>
    </row>
    <row r="15841" spans="14:14" x14ac:dyDescent="0.35">
      <c r="N15841" s="676"/>
    </row>
    <row r="15842" spans="14:14" x14ac:dyDescent="0.35">
      <c r="N15842" s="676"/>
    </row>
    <row r="15843" spans="14:14" x14ac:dyDescent="0.35">
      <c r="N15843" s="676"/>
    </row>
    <row r="15844" spans="14:14" x14ac:dyDescent="0.35">
      <c r="N15844" s="676"/>
    </row>
    <row r="15845" spans="14:14" x14ac:dyDescent="0.35">
      <c r="N15845" s="676"/>
    </row>
    <row r="15846" spans="14:14" x14ac:dyDescent="0.35">
      <c r="N15846" s="676"/>
    </row>
    <row r="15847" spans="14:14" x14ac:dyDescent="0.35">
      <c r="N15847" s="676"/>
    </row>
    <row r="15848" spans="14:14" x14ac:dyDescent="0.35">
      <c r="N15848" s="676"/>
    </row>
    <row r="15849" spans="14:14" x14ac:dyDescent="0.35">
      <c r="N15849" s="676"/>
    </row>
    <row r="15850" spans="14:14" x14ac:dyDescent="0.35">
      <c r="N15850" s="676"/>
    </row>
    <row r="15851" spans="14:14" x14ac:dyDescent="0.35">
      <c r="N15851" s="676"/>
    </row>
    <row r="15852" spans="14:14" x14ac:dyDescent="0.35">
      <c r="N15852" s="676"/>
    </row>
    <row r="15853" spans="14:14" x14ac:dyDescent="0.35">
      <c r="N15853" s="676"/>
    </row>
    <row r="15854" spans="14:14" x14ac:dyDescent="0.35">
      <c r="N15854" s="676"/>
    </row>
    <row r="15855" spans="14:14" x14ac:dyDescent="0.35">
      <c r="N15855" s="676"/>
    </row>
    <row r="15856" spans="14:14" x14ac:dyDescent="0.35">
      <c r="N15856" s="676"/>
    </row>
    <row r="15857" spans="14:14" x14ac:dyDescent="0.35">
      <c r="N15857" s="676"/>
    </row>
    <row r="15858" spans="14:14" x14ac:dyDescent="0.35">
      <c r="N15858" s="676"/>
    </row>
    <row r="15859" spans="14:14" x14ac:dyDescent="0.35">
      <c r="N15859" s="676"/>
    </row>
    <row r="15860" spans="14:14" x14ac:dyDescent="0.35">
      <c r="N15860" s="676"/>
    </row>
    <row r="15861" spans="14:14" x14ac:dyDescent="0.35">
      <c r="N15861" s="676"/>
    </row>
    <row r="15862" spans="14:14" x14ac:dyDescent="0.35">
      <c r="N15862" s="676"/>
    </row>
    <row r="15863" spans="14:14" x14ac:dyDescent="0.35">
      <c r="N15863" s="676"/>
    </row>
    <row r="15864" spans="14:14" x14ac:dyDescent="0.35">
      <c r="N15864" s="676"/>
    </row>
    <row r="15865" spans="14:14" x14ac:dyDescent="0.35">
      <c r="N15865" s="676"/>
    </row>
    <row r="15866" spans="14:14" x14ac:dyDescent="0.35">
      <c r="N15866" s="676"/>
    </row>
    <row r="15867" spans="14:14" x14ac:dyDescent="0.35">
      <c r="N15867" s="676"/>
    </row>
    <row r="15868" spans="14:14" x14ac:dyDescent="0.35">
      <c r="N15868" s="676"/>
    </row>
    <row r="15869" spans="14:14" x14ac:dyDescent="0.35">
      <c r="N15869" s="676"/>
    </row>
    <row r="15870" spans="14:14" x14ac:dyDescent="0.35">
      <c r="N15870" s="676"/>
    </row>
    <row r="15871" spans="14:14" x14ac:dyDescent="0.35">
      <c r="N15871" s="676"/>
    </row>
    <row r="15872" spans="14:14" x14ac:dyDescent="0.35">
      <c r="N15872" s="676"/>
    </row>
    <row r="15873" spans="14:14" x14ac:dyDescent="0.35">
      <c r="N15873" s="676"/>
    </row>
    <row r="15874" spans="14:14" x14ac:dyDescent="0.35">
      <c r="N15874" s="676"/>
    </row>
    <row r="15875" spans="14:14" x14ac:dyDescent="0.35">
      <c r="N15875" s="676"/>
    </row>
    <row r="15876" spans="14:14" x14ac:dyDescent="0.35">
      <c r="N15876" s="676"/>
    </row>
    <row r="15877" spans="14:14" x14ac:dyDescent="0.35">
      <c r="N15877" s="676"/>
    </row>
    <row r="15878" spans="14:14" x14ac:dyDescent="0.35">
      <c r="N15878" s="676"/>
    </row>
    <row r="15879" spans="14:14" x14ac:dyDescent="0.35">
      <c r="N15879" s="676"/>
    </row>
    <row r="15880" spans="14:14" x14ac:dyDescent="0.35">
      <c r="N15880" s="676"/>
    </row>
    <row r="15881" spans="14:14" x14ac:dyDescent="0.35">
      <c r="N15881" s="676"/>
    </row>
    <row r="15882" spans="14:14" x14ac:dyDescent="0.35">
      <c r="N15882" s="676"/>
    </row>
    <row r="15883" spans="14:14" x14ac:dyDescent="0.35">
      <c r="N15883" s="676"/>
    </row>
    <row r="15884" spans="14:14" x14ac:dyDescent="0.35">
      <c r="N15884" s="676"/>
    </row>
    <row r="15885" spans="14:14" x14ac:dyDescent="0.35">
      <c r="N15885" s="676"/>
    </row>
    <row r="15886" spans="14:14" x14ac:dyDescent="0.35">
      <c r="N15886" s="676"/>
    </row>
    <row r="15887" spans="14:14" x14ac:dyDescent="0.35">
      <c r="N15887" s="676"/>
    </row>
    <row r="15888" spans="14:14" x14ac:dyDescent="0.35">
      <c r="N15888" s="676"/>
    </row>
    <row r="15889" spans="14:14" x14ac:dyDescent="0.35">
      <c r="N15889" s="676"/>
    </row>
    <row r="15890" spans="14:14" x14ac:dyDescent="0.35">
      <c r="N15890" s="676"/>
    </row>
    <row r="15891" spans="14:14" x14ac:dyDescent="0.35">
      <c r="N15891" s="676"/>
    </row>
    <row r="15892" spans="14:14" x14ac:dyDescent="0.35">
      <c r="N15892" s="676"/>
    </row>
    <row r="15893" spans="14:14" x14ac:dyDescent="0.35">
      <c r="N15893" s="676"/>
    </row>
    <row r="15894" spans="14:14" x14ac:dyDescent="0.35">
      <c r="N15894" s="676"/>
    </row>
    <row r="15895" spans="14:14" x14ac:dyDescent="0.35">
      <c r="N15895" s="676"/>
    </row>
    <row r="15896" spans="14:14" x14ac:dyDescent="0.35">
      <c r="N15896" s="676"/>
    </row>
    <row r="15897" spans="14:14" x14ac:dyDescent="0.35">
      <c r="N15897" s="676"/>
    </row>
    <row r="15898" spans="14:14" x14ac:dyDescent="0.35">
      <c r="N15898" s="676"/>
    </row>
    <row r="15899" spans="14:14" x14ac:dyDescent="0.35">
      <c r="N15899" s="676"/>
    </row>
    <row r="15900" spans="14:14" x14ac:dyDescent="0.35">
      <c r="N15900" s="676"/>
    </row>
    <row r="15901" spans="14:14" x14ac:dyDescent="0.35">
      <c r="N15901" s="676"/>
    </row>
    <row r="15902" spans="14:14" x14ac:dyDescent="0.35">
      <c r="N15902" s="676"/>
    </row>
    <row r="15903" spans="14:14" x14ac:dyDescent="0.35">
      <c r="N15903" s="676"/>
    </row>
    <row r="15904" spans="14:14" x14ac:dyDescent="0.35">
      <c r="N15904" s="676"/>
    </row>
    <row r="15905" spans="14:14" x14ac:dyDescent="0.35">
      <c r="N15905" s="676"/>
    </row>
    <row r="15906" spans="14:14" x14ac:dyDescent="0.35">
      <c r="N15906" s="676"/>
    </row>
    <row r="15907" spans="14:14" x14ac:dyDescent="0.35">
      <c r="N15907" s="676"/>
    </row>
    <row r="15908" spans="14:14" x14ac:dyDescent="0.35">
      <c r="N15908" s="676"/>
    </row>
    <row r="15909" spans="14:14" x14ac:dyDescent="0.35">
      <c r="N15909" s="676"/>
    </row>
    <row r="15910" spans="14:14" x14ac:dyDescent="0.35">
      <c r="N15910" s="676"/>
    </row>
    <row r="15911" spans="14:14" x14ac:dyDescent="0.35">
      <c r="N15911" s="676"/>
    </row>
    <row r="15912" spans="14:14" x14ac:dyDescent="0.35">
      <c r="N15912" s="676"/>
    </row>
    <row r="15913" spans="14:14" x14ac:dyDescent="0.35">
      <c r="N15913" s="676"/>
    </row>
    <row r="15914" spans="14:14" x14ac:dyDescent="0.35">
      <c r="N15914" s="676"/>
    </row>
    <row r="15915" spans="14:14" x14ac:dyDescent="0.35">
      <c r="N15915" s="676"/>
    </row>
    <row r="15916" spans="14:14" x14ac:dyDescent="0.35">
      <c r="N15916" s="676"/>
    </row>
    <row r="15917" spans="14:14" x14ac:dyDescent="0.35">
      <c r="N15917" s="676"/>
    </row>
    <row r="15918" spans="14:14" x14ac:dyDescent="0.35">
      <c r="N15918" s="676"/>
    </row>
    <row r="15919" spans="14:14" x14ac:dyDescent="0.35">
      <c r="N15919" s="676"/>
    </row>
    <row r="15920" spans="14:14" x14ac:dyDescent="0.35">
      <c r="N15920" s="676"/>
    </row>
    <row r="15921" spans="14:14" x14ac:dyDescent="0.35">
      <c r="N15921" s="676"/>
    </row>
    <row r="15922" spans="14:14" x14ac:dyDescent="0.35">
      <c r="N15922" s="676"/>
    </row>
    <row r="15923" spans="14:14" x14ac:dyDescent="0.35">
      <c r="N15923" s="676"/>
    </row>
    <row r="15924" spans="14:14" x14ac:dyDescent="0.35">
      <c r="N15924" s="676"/>
    </row>
    <row r="15925" spans="14:14" x14ac:dyDescent="0.35">
      <c r="N15925" s="676"/>
    </row>
    <row r="15926" spans="14:14" x14ac:dyDescent="0.35">
      <c r="N15926" s="676"/>
    </row>
    <row r="15927" spans="14:14" x14ac:dyDescent="0.35">
      <c r="N15927" s="676"/>
    </row>
    <row r="15928" spans="14:14" x14ac:dyDescent="0.35">
      <c r="N15928" s="676"/>
    </row>
    <row r="15929" spans="14:14" x14ac:dyDescent="0.35">
      <c r="N15929" s="676"/>
    </row>
    <row r="15930" spans="14:14" x14ac:dyDescent="0.35">
      <c r="N15930" s="676"/>
    </row>
    <row r="15931" spans="14:14" x14ac:dyDescent="0.35">
      <c r="N15931" s="676"/>
    </row>
    <row r="15932" spans="14:14" x14ac:dyDescent="0.35">
      <c r="N15932" s="676"/>
    </row>
    <row r="15933" spans="14:14" x14ac:dyDescent="0.35">
      <c r="N15933" s="676"/>
    </row>
    <row r="15934" spans="14:14" x14ac:dyDescent="0.35">
      <c r="N15934" s="676"/>
    </row>
    <row r="15935" spans="14:14" x14ac:dyDescent="0.35">
      <c r="N15935" s="676"/>
    </row>
    <row r="15936" spans="14:14" x14ac:dyDescent="0.35">
      <c r="N15936" s="676"/>
    </row>
    <row r="15937" spans="14:14" x14ac:dyDescent="0.35">
      <c r="N15937" s="676"/>
    </row>
    <row r="15938" spans="14:14" x14ac:dyDescent="0.35">
      <c r="N15938" s="676"/>
    </row>
    <row r="15939" spans="14:14" x14ac:dyDescent="0.35">
      <c r="N15939" s="676"/>
    </row>
    <row r="15940" spans="14:14" x14ac:dyDescent="0.35">
      <c r="N15940" s="676"/>
    </row>
    <row r="15941" spans="14:14" x14ac:dyDescent="0.35">
      <c r="N15941" s="676"/>
    </row>
    <row r="15942" spans="14:14" x14ac:dyDescent="0.35">
      <c r="N15942" s="676"/>
    </row>
    <row r="15943" spans="14:14" x14ac:dyDescent="0.35">
      <c r="N15943" s="676"/>
    </row>
    <row r="15944" spans="14:14" x14ac:dyDescent="0.35">
      <c r="N15944" s="676"/>
    </row>
    <row r="15945" spans="14:14" x14ac:dyDescent="0.35">
      <c r="N15945" s="676"/>
    </row>
    <row r="15946" spans="14:14" x14ac:dyDescent="0.35">
      <c r="N15946" s="676"/>
    </row>
    <row r="15947" spans="14:14" x14ac:dyDescent="0.35">
      <c r="N15947" s="676"/>
    </row>
    <row r="15948" spans="14:14" x14ac:dyDescent="0.35">
      <c r="N15948" s="676"/>
    </row>
    <row r="15949" spans="14:14" x14ac:dyDescent="0.35">
      <c r="N15949" s="676"/>
    </row>
    <row r="15950" spans="14:14" x14ac:dyDescent="0.35">
      <c r="N15950" s="676"/>
    </row>
    <row r="15951" spans="14:14" x14ac:dyDescent="0.35">
      <c r="N15951" s="676"/>
    </row>
    <row r="15952" spans="14:14" x14ac:dyDescent="0.35">
      <c r="N15952" s="676"/>
    </row>
    <row r="15953" spans="14:14" x14ac:dyDescent="0.35">
      <c r="N15953" s="676"/>
    </row>
    <row r="15954" spans="14:14" x14ac:dyDescent="0.35">
      <c r="N15954" s="676"/>
    </row>
    <row r="15955" spans="14:14" x14ac:dyDescent="0.35">
      <c r="N15955" s="676"/>
    </row>
    <row r="15956" spans="14:14" x14ac:dyDescent="0.35">
      <c r="N15956" s="676"/>
    </row>
    <row r="15957" spans="14:14" x14ac:dyDescent="0.35">
      <c r="N15957" s="676"/>
    </row>
    <row r="15958" spans="14:14" x14ac:dyDescent="0.35">
      <c r="N15958" s="676"/>
    </row>
    <row r="15959" spans="14:14" x14ac:dyDescent="0.35">
      <c r="N15959" s="676"/>
    </row>
    <row r="15960" spans="14:14" x14ac:dyDescent="0.35">
      <c r="N15960" s="676"/>
    </row>
    <row r="15961" spans="14:14" x14ac:dyDescent="0.35">
      <c r="N15961" s="676"/>
    </row>
    <row r="15962" spans="14:14" x14ac:dyDescent="0.35">
      <c r="N15962" s="676"/>
    </row>
    <row r="15963" spans="14:14" x14ac:dyDescent="0.35">
      <c r="N15963" s="676"/>
    </row>
    <row r="15964" spans="14:14" x14ac:dyDescent="0.35">
      <c r="N15964" s="676"/>
    </row>
    <row r="15965" spans="14:14" x14ac:dyDescent="0.35">
      <c r="N15965" s="676"/>
    </row>
    <row r="15966" spans="14:14" x14ac:dyDescent="0.35">
      <c r="N15966" s="676"/>
    </row>
    <row r="15967" spans="14:14" x14ac:dyDescent="0.35">
      <c r="N15967" s="676"/>
    </row>
    <row r="15968" spans="14:14" x14ac:dyDescent="0.35">
      <c r="N15968" s="676"/>
    </row>
    <row r="15969" spans="14:14" x14ac:dyDescent="0.35">
      <c r="N15969" s="676"/>
    </row>
    <row r="15970" spans="14:14" x14ac:dyDescent="0.35">
      <c r="N15970" s="676"/>
    </row>
    <row r="15971" spans="14:14" x14ac:dyDescent="0.35">
      <c r="N15971" s="676"/>
    </row>
    <row r="15972" spans="14:14" x14ac:dyDescent="0.35">
      <c r="N15972" s="676"/>
    </row>
    <row r="15973" spans="14:14" x14ac:dyDescent="0.35">
      <c r="N15973" s="676"/>
    </row>
    <row r="15974" spans="14:14" x14ac:dyDescent="0.35">
      <c r="N15974" s="676"/>
    </row>
    <row r="15975" spans="14:14" x14ac:dyDescent="0.35">
      <c r="N15975" s="676"/>
    </row>
    <row r="15976" spans="14:14" x14ac:dyDescent="0.35">
      <c r="N15976" s="676"/>
    </row>
    <row r="15977" spans="14:14" x14ac:dyDescent="0.35">
      <c r="N15977" s="676"/>
    </row>
    <row r="15978" spans="14:14" x14ac:dyDescent="0.35">
      <c r="N15978" s="676"/>
    </row>
    <row r="15979" spans="14:14" x14ac:dyDescent="0.35">
      <c r="N15979" s="676"/>
    </row>
    <row r="15980" spans="14:14" x14ac:dyDescent="0.35">
      <c r="N15980" s="676"/>
    </row>
    <row r="15981" spans="14:14" x14ac:dyDescent="0.35">
      <c r="N15981" s="676"/>
    </row>
    <row r="15982" spans="14:14" x14ac:dyDescent="0.35">
      <c r="N15982" s="676"/>
    </row>
    <row r="15983" spans="14:14" x14ac:dyDescent="0.35">
      <c r="N15983" s="676"/>
    </row>
    <row r="15984" spans="14:14" x14ac:dyDescent="0.35">
      <c r="N15984" s="676"/>
    </row>
    <row r="15985" spans="14:14" x14ac:dyDescent="0.35">
      <c r="N15985" s="676"/>
    </row>
    <row r="15986" spans="14:14" x14ac:dyDescent="0.35">
      <c r="N15986" s="676"/>
    </row>
    <row r="15987" spans="14:14" x14ac:dyDescent="0.35">
      <c r="N15987" s="676"/>
    </row>
    <row r="15988" spans="14:14" x14ac:dyDescent="0.35">
      <c r="N15988" s="676"/>
    </row>
    <row r="15989" spans="14:14" x14ac:dyDescent="0.35">
      <c r="N15989" s="676"/>
    </row>
    <row r="15990" spans="14:14" x14ac:dyDescent="0.35">
      <c r="N15990" s="676"/>
    </row>
    <row r="15991" spans="14:14" x14ac:dyDescent="0.35">
      <c r="N15991" s="676"/>
    </row>
    <row r="15992" spans="14:14" x14ac:dyDescent="0.35">
      <c r="N15992" s="676"/>
    </row>
    <row r="15993" spans="14:14" x14ac:dyDescent="0.35">
      <c r="N15993" s="676"/>
    </row>
    <row r="15994" spans="14:14" x14ac:dyDescent="0.35">
      <c r="N15994" s="676"/>
    </row>
    <row r="15995" spans="14:14" x14ac:dyDescent="0.35">
      <c r="N15995" s="676"/>
    </row>
    <row r="15996" spans="14:14" x14ac:dyDescent="0.35">
      <c r="N15996" s="676"/>
    </row>
    <row r="15997" spans="14:14" x14ac:dyDescent="0.35">
      <c r="N15997" s="676"/>
    </row>
    <row r="15998" spans="14:14" x14ac:dyDescent="0.35">
      <c r="N15998" s="676"/>
    </row>
    <row r="15999" spans="14:14" x14ac:dyDescent="0.35">
      <c r="N15999" s="676"/>
    </row>
    <row r="16000" spans="14:14" x14ac:dyDescent="0.35">
      <c r="N16000" s="676"/>
    </row>
    <row r="16001" spans="14:14" x14ac:dyDescent="0.35">
      <c r="N16001" s="676"/>
    </row>
    <row r="16002" spans="14:14" x14ac:dyDescent="0.35">
      <c r="N16002" s="676"/>
    </row>
    <row r="16003" spans="14:14" x14ac:dyDescent="0.35">
      <c r="N16003" s="676"/>
    </row>
    <row r="16004" spans="14:14" x14ac:dyDescent="0.35">
      <c r="N16004" s="676"/>
    </row>
    <row r="16005" spans="14:14" x14ac:dyDescent="0.35">
      <c r="N16005" s="676"/>
    </row>
    <row r="16006" spans="14:14" x14ac:dyDescent="0.35">
      <c r="N16006" s="676"/>
    </row>
    <row r="16007" spans="14:14" x14ac:dyDescent="0.35">
      <c r="N16007" s="676"/>
    </row>
    <row r="16008" spans="14:14" x14ac:dyDescent="0.35">
      <c r="N16008" s="676"/>
    </row>
    <row r="16009" spans="14:14" x14ac:dyDescent="0.35">
      <c r="N16009" s="676"/>
    </row>
    <row r="16010" spans="14:14" x14ac:dyDescent="0.35">
      <c r="N16010" s="676"/>
    </row>
    <row r="16011" spans="14:14" x14ac:dyDescent="0.35">
      <c r="N16011" s="676"/>
    </row>
    <row r="16012" spans="14:14" x14ac:dyDescent="0.35">
      <c r="N16012" s="676"/>
    </row>
    <row r="16013" spans="14:14" x14ac:dyDescent="0.35">
      <c r="N16013" s="676"/>
    </row>
    <row r="16014" spans="14:14" x14ac:dyDescent="0.35">
      <c r="N16014" s="676"/>
    </row>
    <row r="16015" spans="14:14" x14ac:dyDescent="0.35">
      <c r="N16015" s="676"/>
    </row>
    <row r="16016" spans="14:14" x14ac:dyDescent="0.35">
      <c r="N16016" s="676"/>
    </row>
    <row r="16017" spans="14:14" x14ac:dyDescent="0.35">
      <c r="N16017" s="676"/>
    </row>
    <row r="16018" spans="14:14" x14ac:dyDescent="0.35">
      <c r="N16018" s="676"/>
    </row>
    <row r="16019" spans="14:14" x14ac:dyDescent="0.35">
      <c r="N16019" s="676"/>
    </row>
    <row r="16020" spans="14:14" x14ac:dyDescent="0.35">
      <c r="N16020" s="676"/>
    </row>
    <row r="16021" spans="14:14" x14ac:dyDescent="0.35">
      <c r="N16021" s="676"/>
    </row>
    <row r="16022" spans="14:14" x14ac:dyDescent="0.35">
      <c r="N16022" s="676"/>
    </row>
    <row r="16023" spans="14:14" x14ac:dyDescent="0.35">
      <c r="N16023" s="676"/>
    </row>
    <row r="16024" spans="14:14" x14ac:dyDescent="0.35">
      <c r="N16024" s="676"/>
    </row>
    <row r="16025" spans="14:14" x14ac:dyDescent="0.35">
      <c r="N16025" s="676"/>
    </row>
    <row r="16026" spans="14:14" x14ac:dyDescent="0.35">
      <c r="N16026" s="676"/>
    </row>
    <row r="16027" spans="14:14" x14ac:dyDescent="0.35">
      <c r="N16027" s="676"/>
    </row>
    <row r="16028" spans="14:14" x14ac:dyDescent="0.35">
      <c r="N16028" s="676"/>
    </row>
    <row r="16029" spans="14:14" x14ac:dyDescent="0.35">
      <c r="N16029" s="676"/>
    </row>
    <row r="16030" spans="14:14" x14ac:dyDescent="0.35">
      <c r="N16030" s="676"/>
    </row>
    <row r="16031" spans="14:14" x14ac:dyDescent="0.35">
      <c r="N16031" s="676"/>
    </row>
    <row r="16032" spans="14:14" x14ac:dyDescent="0.35">
      <c r="N16032" s="676"/>
    </row>
    <row r="16033" spans="14:14" x14ac:dyDescent="0.35">
      <c r="N16033" s="676"/>
    </row>
    <row r="16034" spans="14:14" x14ac:dyDescent="0.35">
      <c r="N16034" s="676"/>
    </row>
    <row r="16035" spans="14:14" x14ac:dyDescent="0.35">
      <c r="N16035" s="676"/>
    </row>
    <row r="16036" spans="14:14" x14ac:dyDescent="0.35">
      <c r="N16036" s="676"/>
    </row>
    <row r="16037" spans="14:14" x14ac:dyDescent="0.35">
      <c r="N16037" s="676"/>
    </row>
    <row r="16038" spans="14:14" x14ac:dyDescent="0.35">
      <c r="N16038" s="676"/>
    </row>
    <row r="16039" spans="14:14" x14ac:dyDescent="0.35">
      <c r="N16039" s="676"/>
    </row>
    <row r="16040" spans="14:14" x14ac:dyDescent="0.35">
      <c r="N16040" s="676"/>
    </row>
    <row r="16041" spans="14:14" x14ac:dyDescent="0.35">
      <c r="N16041" s="676"/>
    </row>
    <row r="16042" spans="14:14" x14ac:dyDescent="0.35">
      <c r="N16042" s="676"/>
    </row>
    <row r="16043" spans="14:14" x14ac:dyDescent="0.35">
      <c r="N16043" s="676"/>
    </row>
    <row r="16044" spans="14:14" x14ac:dyDescent="0.35">
      <c r="N16044" s="676"/>
    </row>
    <row r="16045" spans="14:14" x14ac:dyDescent="0.35">
      <c r="N16045" s="676"/>
    </row>
    <row r="16046" spans="14:14" x14ac:dyDescent="0.35">
      <c r="N16046" s="676"/>
    </row>
    <row r="16047" spans="14:14" x14ac:dyDescent="0.35">
      <c r="N16047" s="676"/>
    </row>
    <row r="16048" spans="14:14" x14ac:dyDescent="0.35">
      <c r="N16048" s="676"/>
    </row>
    <row r="16049" spans="14:14" x14ac:dyDescent="0.35">
      <c r="N16049" s="676"/>
    </row>
    <row r="16050" spans="14:14" x14ac:dyDescent="0.35">
      <c r="N16050" s="676"/>
    </row>
    <row r="16051" spans="14:14" x14ac:dyDescent="0.35">
      <c r="N16051" s="676"/>
    </row>
    <row r="16052" spans="14:14" x14ac:dyDescent="0.35">
      <c r="N16052" s="676"/>
    </row>
    <row r="16053" spans="14:14" x14ac:dyDescent="0.35">
      <c r="N16053" s="676"/>
    </row>
    <row r="16054" spans="14:14" x14ac:dyDescent="0.35">
      <c r="N16054" s="676"/>
    </row>
    <row r="16055" spans="14:14" x14ac:dyDescent="0.35">
      <c r="N16055" s="676"/>
    </row>
    <row r="16056" spans="14:14" x14ac:dyDescent="0.35">
      <c r="N16056" s="676"/>
    </row>
    <row r="16057" spans="14:14" x14ac:dyDescent="0.35">
      <c r="N16057" s="676"/>
    </row>
    <row r="16058" spans="14:14" x14ac:dyDescent="0.35">
      <c r="N16058" s="676"/>
    </row>
    <row r="16059" spans="14:14" x14ac:dyDescent="0.35">
      <c r="N16059" s="676"/>
    </row>
    <row r="16060" spans="14:14" x14ac:dyDescent="0.35">
      <c r="N16060" s="676"/>
    </row>
    <row r="16061" spans="14:14" x14ac:dyDescent="0.35">
      <c r="N16061" s="676"/>
    </row>
    <row r="16062" spans="14:14" x14ac:dyDescent="0.35">
      <c r="N16062" s="676"/>
    </row>
    <row r="16063" spans="14:14" x14ac:dyDescent="0.35">
      <c r="N16063" s="676"/>
    </row>
    <row r="16064" spans="14:14" x14ac:dyDescent="0.35">
      <c r="N16064" s="676"/>
    </row>
    <row r="16065" spans="14:14" x14ac:dyDescent="0.35">
      <c r="N16065" s="676"/>
    </row>
    <row r="16066" spans="14:14" x14ac:dyDescent="0.35">
      <c r="N16066" s="676"/>
    </row>
    <row r="16067" spans="14:14" x14ac:dyDescent="0.35">
      <c r="N16067" s="676"/>
    </row>
    <row r="16068" spans="14:14" x14ac:dyDescent="0.35">
      <c r="N16068" s="676"/>
    </row>
    <row r="16069" spans="14:14" x14ac:dyDescent="0.35">
      <c r="N16069" s="676"/>
    </row>
    <row r="16070" spans="14:14" x14ac:dyDescent="0.35">
      <c r="N16070" s="676"/>
    </row>
    <row r="16071" spans="14:14" x14ac:dyDescent="0.35">
      <c r="N16071" s="676"/>
    </row>
    <row r="16072" spans="14:14" x14ac:dyDescent="0.35">
      <c r="N16072" s="676"/>
    </row>
    <row r="16073" spans="14:14" x14ac:dyDescent="0.35">
      <c r="N16073" s="676"/>
    </row>
    <row r="16074" spans="14:14" x14ac:dyDescent="0.35">
      <c r="N16074" s="676"/>
    </row>
    <row r="16075" spans="14:14" x14ac:dyDescent="0.35">
      <c r="N16075" s="676"/>
    </row>
    <row r="16076" spans="14:14" x14ac:dyDescent="0.35">
      <c r="N16076" s="676"/>
    </row>
    <row r="16077" spans="14:14" x14ac:dyDescent="0.35">
      <c r="N16077" s="676"/>
    </row>
    <row r="16078" spans="14:14" x14ac:dyDescent="0.35">
      <c r="N16078" s="676"/>
    </row>
    <row r="16079" spans="14:14" x14ac:dyDescent="0.35">
      <c r="N16079" s="676"/>
    </row>
    <row r="16080" spans="14:14" x14ac:dyDescent="0.35">
      <c r="N16080" s="676"/>
    </row>
    <row r="16081" spans="14:14" x14ac:dyDescent="0.35">
      <c r="N16081" s="676"/>
    </row>
    <row r="16082" spans="14:14" x14ac:dyDescent="0.35">
      <c r="N16082" s="676"/>
    </row>
    <row r="16083" spans="14:14" x14ac:dyDescent="0.35">
      <c r="N16083" s="676"/>
    </row>
    <row r="16084" spans="14:14" x14ac:dyDescent="0.35">
      <c r="N16084" s="676"/>
    </row>
    <row r="16085" spans="14:14" x14ac:dyDescent="0.35">
      <c r="N16085" s="676"/>
    </row>
    <row r="16086" spans="14:14" x14ac:dyDescent="0.35">
      <c r="N16086" s="676"/>
    </row>
    <row r="16087" spans="14:14" x14ac:dyDescent="0.35">
      <c r="N16087" s="676"/>
    </row>
    <row r="16088" spans="14:14" x14ac:dyDescent="0.35">
      <c r="N16088" s="676"/>
    </row>
    <row r="16089" spans="14:14" x14ac:dyDescent="0.35">
      <c r="N16089" s="676"/>
    </row>
    <row r="16090" spans="14:14" x14ac:dyDescent="0.35">
      <c r="N16090" s="676"/>
    </row>
    <row r="16091" spans="14:14" x14ac:dyDescent="0.35">
      <c r="N16091" s="676"/>
    </row>
    <row r="16092" spans="14:14" x14ac:dyDescent="0.35">
      <c r="N16092" s="676"/>
    </row>
    <row r="16093" spans="14:14" x14ac:dyDescent="0.35">
      <c r="N16093" s="676"/>
    </row>
    <row r="16094" spans="14:14" x14ac:dyDescent="0.35">
      <c r="N16094" s="676"/>
    </row>
    <row r="16095" spans="14:14" x14ac:dyDescent="0.35">
      <c r="N16095" s="676"/>
    </row>
    <row r="16096" spans="14:14" x14ac:dyDescent="0.35">
      <c r="N16096" s="676"/>
    </row>
    <row r="16097" spans="14:14" x14ac:dyDescent="0.35">
      <c r="N16097" s="676"/>
    </row>
    <row r="16098" spans="14:14" x14ac:dyDescent="0.35">
      <c r="N16098" s="676"/>
    </row>
    <row r="16099" spans="14:14" x14ac:dyDescent="0.35">
      <c r="N16099" s="676"/>
    </row>
    <row r="16100" spans="14:14" x14ac:dyDescent="0.35">
      <c r="N16100" s="676"/>
    </row>
    <row r="16101" spans="14:14" x14ac:dyDescent="0.35">
      <c r="N16101" s="676"/>
    </row>
    <row r="16102" spans="14:14" x14ac:dyDescent="0.35">
      <c r="N16102" s="676"/>
    </row>
    <row r="16103" spans="14:14" x14ac:dyDescent="0.35">
      <c r="N16103" s="676"/>
    </row>
    <row r="16104" spans="14:14" x14ac:dyDescent="0.35">
      <c r="N16104" s="676"/>
    </row>
    <row r="16105" spans="14:14" x14ac:dyDescent="0.35">
      <c r="N16105" s="676"/>
    </row>
    <row r="16106" spans="14:14" x14ac:dyDescent="0.35">
      <c r="N16106" s="676"/>
    </row>
    <row r="16107" spans="14:14" x14ac:dyDescent="0.35">
      <c r="N16107" s="676"/>
    </row>
    <row r="16108" spans="14:14" x14ac:dyDescent="0.35">
      <c r="N16108" s="676"/>
    </row>
    <row r="16109" spans="14:14" x14ac:dyDescent="0.35">
      <c r="N16109" s="676"/>
    </row>
    <row r="16110" spans="14:14" x14ac:dyDescent="0.35">
      <c r="N16110" s="676"/>
    </row>
    <row r="16111" spans="14:14" x14ac:dyDescent="0.35">
      <c r="N16111" s="676"/>
    </row>
    <row r="16112" spans="14:14" x14ac:dyDescent="0.35">
      <c r="N16112" s="676"/>
    </row>
    <row r="16113" spans="14:14" x14ac:dyDescent="0.35">
      <c r="N16113" s="676"/>
    </row>
    <row r="16114" spans="14:14" x14ac:dyDescent="0.35">
      <c r="N16114" s="676"/>
    </row>
    <row r="16115" spans="14:14" x14ac:dyDescent="0.35">
      <c r="N16115" s="676"/>
    </row>
    <row r="16116" spans="14:14" x14ac:dyDescent="0.35">
      <c r="N16116" s="676"/>
    </row>
    <row r="16117" spans="14:14" x14ac:dyDescent="0.35">
      <c r="N16117" s="676"/>
    </row>
    <row r="16118" spans="14:14" x14ac:dyDescent="0.35">
      <c r="N16118" s="676"/>
    </row>
    <row r="16119" spans="14:14" x14ac:dyDescent="0.35">
      <c r="N16119" s="676"/>
    </row>
    <row r="16120" spans="14:14" x14ac:dyDescent="0.35">
      <c r="N16120" s="676"/>
    </row>
    <row r="16121" spans="14:14" x14ac:dyDescent="0.35">
      <c r="N16121" s="676"/>
    </row>
    <row r="16122" spans="14:14" x14ac:dyDescent="0.35">
      <c r="N16122" s="676"/>
    </row>
    <row r="16123" spans="14:14" x14ac:dyDescent="0.35">
      <c r="N16123" s="676"/>
    </row>
    <row r="16124" spans="14:14" x14ac:dyDescent="0.35">
      <c r="N16124" s="676"/>
    </row>
    <row r="16125" spans="14:14" x14ac:dyDescent="0.35">
      <c r="N16125" s="676"/>
    </row>
    <row r="16126" spans="14:14" x14ac:dyDescent="0.35">
      <c r="N16126" s="676"/>
    </row>
    <row r="16127" spans="14:14" x14ac:dyDescent="0.35">
      <c r="N16127" s="676"/>
    </row>
    <row r="16128" spans="14:14" x14ac:dyDescent="0.35">
      <c r="N16128" s="676"/>
    </row>
    <row r="16129" spans="14:14" x14ac:dyDescent="0.35">
      <c r="N16129" s="676"/>
    </row>
    <row r="16130" spans="14:14" x14ac:dyDescent="0.35">
      <c r="N16130" s="676"/>
    </row>
    <row r="16131" spans="14:14" x14ac:dyDescent="0.35">
      <c r="N16131" s="676"/>
    </row>
    <row r="16132" spans="14:14" x14ac:dyDescent="0.35">
      <c r="N16132" s="676"/>
    </row>
    <row r="16133" spans="14:14" x14ac:dyDescent="0.35">
      <c r="N16133" s="676"/>
    </row>
    <row r="16134" spans="14:14" x14ac:dyDescent="0.35">
      <c r="N16134" s="676"/>
    </row>
    <row r="16135" spans="14:14" x14ac:dyDescent="0.35">
      <c r="N16135" s="676"/>
    </row>
    <row r="16136" spans="14:14" x14ac:dyDescent="0.35">
      <c r="N16136" s="676"/>
    </row>
    <row r="16137" spans="14:14" x14ac:dyDescent="0.35">
      <c r="N16137" s="676"/>
    </row>
    <row r="16138" spans="14:14" x14ac:dyDescent="0.35">
      <c r="N16138" s="676"/>
    </row>
    <row r="16139" spans="14:14" x14ac:dyDescent="0.35">
      <c r="N16139" s="676"/>
    </row>
    <row r="16140" spans="14:14" x14ac:dyDescent="0.35">
      <c r="N16140" s="676"/>
    </row>
    <row r="16141" spans="14:14" x14ac:dyDescent="0.35">
      <c r="N16141" s="676"/>
    </row>
    <row r="16142" spans="14:14" x14ac:dyDescent="0.35">
      <c r="N16142" s="676"/>
    </row>
    <row r="16143" spans="14:14" x14ac:dyDescent="0.35">
      <c r="N16143" s="676"/>
    </row>
    <row r="16144" spans="14:14" x14ac:dyDescent="0.35">
      <c r="N16144" s="676"/>
    </row>
    <row r="16145" spans="14:14" x14ac:dyDescent="0.35">
      <c r="N16145" s="676"/>
    </row>
    <row r="16146" spans="14:14" x14ac:dyDescent="0.35">
      <c r="N16146" s="676"/>
    </row>
    <row r="16147" spans="14:14" x14ac:dyDescent="0.35">
      <c r="N16147" s="676"/>
    </row>
    <row r="16148" spans="14:14" x14ac:dyDescent="0.35">
      <c r="N16148" s="676"/>
    </row>
    <row r="16149" spans="14:14" x14ac:dyDescent="0.35">
      <c r="N16149" s="676"/>
    </row>
    <row r="16150" spans="14:14" x14ac:dyDescent="0.35">
      <c r="N16150" s="676"/>
    </row>
    <row r="16151" spans="14:14" x14ac:dyDescent="0.35">
      <c r="N16151" s="676"/>
    </row>
    <row r="16152" spans="14:14" x14ac:dyDescent="0.35">
      <c r="N16152" s="676"/>
    </row>
    <row r="16153" spans="14:14" x14ac:dyDescent="0.35">
      <c r="N16153" s="676"/>
    </row>
    <row r="16154" spans="14:14" x14ac:dyDescent="0.35">
      <c r="N16154" s="676"/>
    </row>
    <row r="16155" spans="14:14" x14ac:dyDescent="0.35">
      <c r="N16155" s="676"/>
    </row>
    <row r="16156" spans="14:14" x14ac:dyDescent="0.35">
      <c r="N16156" s="676"/>
    </row>
    <row r="16157" spans="14:14" x14ac:dyDescent="0.35">
      <c r="N16157" s="676"/>
    </row>
    <row r="16158" spans="14:14" x14ac:dyDescent="0.35">
      <c r="N16158" s="676"/>
    </row>
    <row r="16159" spans="14:14" x14ac:dyDescent="0.35">
      <c r="N16159" s="676"/>
    </row>
    <row r="16160" spans="14:14" x14ac:dyDescent="0.35">
      <c r="N16160" s="676"/>
    </row>
    <row r="16161" spans="14:14" x14ac:dyDescent="0.35">
      <c r="N16161" s="676"/>
    </row>
    <row r="16162" spans="14:14" x14ac:dyDescent="0.35">
      <c r="N16162" s="676"/>
    </row>
    <row r="16163" spans="14:14" x14ac:dyDescent="0.35">
      <c r="N16163" s="676"/>
    </row>
    <row r="16164" spans="14:14" x14ac:dyDescent="0.35">
      <c r="N16164" s="676"/>
    </row>
    <row r="16165" spans="14:14" x14ac:dyDescent="0.35">
      <c r="N16165" s="676"/>
    </row>
    <row r="16166" spans="14:14" x14ac:dyDescent="0.35">
      <c r="N16166" s="676"/>
    </row>
    <row r="16167" spans="14:14" x14ac:dyDescent="0.35">
      <c r="N16167" s="676"/>
    </row>
    <row r="16168" spans="14:14" x14ac:dyDescent="0.35">
      <c r="N16168" s="676"/>
    </row>
    <row r="16169" spans="14:14" x14ac:dyDescent="0.35">
      <c r="N16169" s="676"/>
    </row>
    <row r="16170" spans="14:14" x14ac:dyDescent="0.35">
      <c r="N16170" s="676"/>
    </row>
    <row r="16171" spans="14:14" x14ac:dyDescent="0.35">
      <c r="N16171" s="676"/>
    </row>
    <row r="16172" spans="14:14" x14ac:dyDescent="0.35">
      <c r="N16172" s="676"/>
    </row>
    <row r="16173" spans="14:14" x14ac:dyDescent="0.35">
      <c r="N16173" s="676"/>
    </row>
    <row r="16174" spans="14:14" x14ac:dyDescent="0.35">
      <c r="N16174" s="676"/>
    </row>
    <row r="16175" spans="14:14" x14ac:dyDescent="0.35">
      <c r="N16175" s="676"/>
    </row>
    <row r="16176" spans="14:14" x14ac:dyDescent="0.35">
      <c r="N16176" s="676"/>
    </row>
    <row r="16177" spans="14:14" x14ac:dyDescent="0.35">
      <c r="N16177" s="676"/>
    </row>
    <row r="16178" spans="14:14" x14ac:dyDescent="0.35">
      <c r="N16178" s="676"/>
    </row>
    <row r="16179" spans="14:14" x14ac:dyDescent="0.35">
      <c r="N16179" s="676"/>
    </row>
    <row r="16180" spans="14:14" x14ac:dyDescent="0.35">
      <c r="N16180" s="676"/>
    </row>
    <row r="16181" spans="14:14" x14ac:dyDescent="0.35">
      <c r="N16181" s="676"/>
    </row>
    <row r="16182" spans="14:14" x14ac:dyDescent="0.35">
      <c r="N16182" s="676"/>
    </row>
    <row r="16183" spans="14:14" x14ac:dyDescent="0.35">
      <c r="N16183" s="676"/>
    </row>
    <row r="16184" spans="14:14" x14ac:dyDescent="0.35">
      <c r="N16184" s="676"/>
    </row>
    <row r="16185" spans="14:14" x14ac:dyDescent="0.35">
      <c r="N16185" s="676"/>
    </row>
    <row r="16186" spans="14:14" x14ac:dyDescent="0.35">
      <c r="N16186" s="676"/>
    </row>
    <row r="16187" spans="14:14" x14ac:dyDescent="0.35">
      <c r="N16187" s="676"/>
    </row>
    <row r="16188" spans="14:14" x14ac:dyDescent="0.35">
      <c r="N16188" s="676"/>
    </row>
    <row r="16189" spans="14:14" x14ac:dyDescent="0.35">
      <c r="N16189" s="676"/>
    </row>
    <row r="16190" spans="14:14" x14ac:dyDescent="0.35">
      <c r="N16190" s="676"/>
    </row>
    <row r="16191" spans="14:14" x14ac:dyDescent="0.35">
      <c r="N16191" s="676"/>
    </row>
    <row r="16192" spans="14:14" x14ac:dyDescent="0.35">
      <c r="N16192" s="676"/>
    </row>
    <row r="16193" spans="14:14" x14ac:dyDescent="0.35">
      <c r="N16193" s="676"/>
    </row>
    <row r="16194" spans="14:14" x14ac:dyDescent="0.35">
      <c r="N16194" s="676"/>
    </row>
    <row r="16195" spans="14:14" x14ac:dyDescent="0.35">
      <c r="N16195" s="676"/>
    </row>
    <row r="16196" spans="14:14" x14ac:dyDescent="0.35">
      <c r="N16196" s="676"/>
    </row>
    <row r="16197" spans="14:14" x14ac:dyDescent="0.35">
      <c r="N16197" s="676"/>
    </row>
    <row r="16198" spans="14:14" x14ac:dyDescent="0.35">
      <c r="N16198" s="676"/>
    </row>
    <row r="16199" spans="14:14" x14ac:dyDescent="0.35">
      <c r="N16199" s="676"/>
    </row>
    <row r="16200" spans="14:14" x14ac:dyDescent="0.35">
      <c r="N16200" s="676"/>
    </row>
    <row r="16201" spans="14:14" x14ac:dyDescent="0.35">
      <c r="N16201" s="676"/>
    </row>
    <row r="16202" spans="14:14" x14ac:dyDescent="0.35">
      <c r="N16202" s="676"/>
    </row>
    <row r="16203" spans="14:14" x14ac:dyDescent="0.35">
      <c r="N16203" s="676"/>
    </row>
    <row r="16204" spans="14:14" x14ac:dyDescent="0.35">
      <c r="N16204" s="676"/>
    </row>
    <row r="16205" spans="14:14" x14ac:dyDescent="0.35">
      <c r="N16205" s="676"/>
    </row>
    <row r="16206" spans="14:14" x14ac:dyDescent="0.35">
      <c r="N16206" s="676"/>
    </row>
    <row r="16207" spans="14:14" x14ac:dyDescent="0.35">
      <c r="N16207" s="676"/>
    </row>
    <row r="16208" spans="14:14" x14ac:dyDescent="0.35">
      <c r="N16208" s="676"/>
    </row>
    <row r="16209" spans="14:14" x14ac:dyDescent="0.35">
      <c r="N16209" s="676"/>
    </row>
    <row r="16210" spans="14:14" x14ac:dyDescent="0.35">
      <c r="N16210" s="676"/>
    </row>
    <row r="16211" spans="14:14" x14ac:dyDescent="0.35">
      <c r="N16211" s="676"/>
    </row>
    <row r="16212" spans="14:14" x14ac:dyDescent="0.35">
      <c r="N16212" s="676"/>
    </row>
    <row r="16213" spans="14:14" x14ac:dyDescent="0.35">
      <c r="N16213" s="676"/>
    </row>
    <row r="16214" spans="14:14" x14ac:dyDescent="0.35">
      <c r="N16214" s="676"/>
    </row>
    <row r="16215" spans="14:14" x14ac:dyDescent="0.35">
      <c r="N16215" s="676"/>
    </row>
    <row r="16216" spans="14:14" x14ac:dyDescent="0.35">
      <c r="N16216" s="676"/>
    </row>
    <row r="16217" spans="14:14" x14ac:dyDescent="0.35">
      <c r="N16217" s="676"/>
    </row>
    <row r="16218" spans="14:14" x14ac:dyDescent="0.35">
      <c r="N16218" s="676"/>
    </row>
    <row r="16219" spans="14:14" x14ac:dyDescent="0.35">
      <c r="N16219" s="676"/>
    </row>
    <row r="16220" spans="14:14" x14ac:dyDescent="0.35">
      <c r="N16220" s="676"/>
    </row>
    <row r="16221" spans="14:14" x14ac:dyDescent="0.35">
      <c r="N16221" s="676"/>
    </row>
    <row r="16222" spans="14:14" x14ac:dyDescent="0.35">
      <c r="N16222" s="676"/>
    </row>
    <row r="16223" spans="14:14" x14ac:dyDescent="0.35">
      <c r="N16223" s="676"/>
    </row>
    <row r="16224" spans="14:14" x14ac:dyDescent="0.35">
      <c r="N16224" s="676"/>
    </row>
    <row r="16225" spans="14:14" x14ac:dyDescent="0.35">
      <c r="N16225" s="676"/>
    </row>
    <row r="16226" spans="14:14" x14ac:dyDescent="0.35">
      <c r="N16226" s="676"/>
    </row>
    <row r="16227" spans="14:14" x14ac:dyDescent="0.35">
      <c r="N16227" s="676"/>
    </row>
    <row r="16228" spans="14:14" x14ac:dyDescent="0.35">
      <c r="N16228" s="676"/>
    </row>
    <row r="16229" spans="14:14" x14ac:dyDescent="0.35">
      <c r="N16229" s="676"/>
    </row>
    <row r="16230" spans="14:14" x14ac:dyDescent="0.35">
      <c r="N16230" s="676"/>
    </row>
    <row r="16231" spans="14:14" x14ac:dyDescent="0.35">
      <c r="N16231" s="676"/>
    </row>
    <row r="16232" spans="14:14" x14ac:dyDescent="0.35">
      <c r="N16232" s="676"/>
    </row>
    <row r="16233" spans="14:14" x14ac:dyDescent="0.35">
      <c r="N16233" s="676"/>
    </row>
    <row r="16234" spans="14:14" x14ac:dyDescent="0.35">
      <c r="N16234" s="676"/>
    </row>
    <row r="16235" spans="14:14" x14ac:dyDescent="0.35">
      <c r="N16235" s="676"/>
    </row>
    <row r="16236" spans="14:14" x14ac:dyDescent="0.35">
      <c r="N16236" s="676"/>
    </row>
    <row r="16237" spans="14:14" x14ac:dyDescent="0.35">
      <c r="N16237" s="676"/>
    </row>
    <row r="16238" spans="14:14" x14ac:dyDescent="0.35">
      <c r="N16238" s="676"/>
    </row>
    <row r="16239" spans="14:14" x14ac:dyDescent="0.35">
      <c r="N16239" s="676"/>
    </row>
    <row r="16240" spans="14:14" x14ac:dyDescent="0.35">
      <c r="N16240" s="676"/>
    </row>
    <row r="16241" spans="14:14" x14ac:dyDescent="0.35">
      <c r="N16241" s="676"/>
    </row>
    <row r="16242" spans="14:14" x14ac:dyDescent="0.35">
      <c r="N16242" s="676"/>
    </row>
    <row r="16243" spans="14:14" x14ac:dyDescent="0.35">
      <c r="N16243" s="676"/>
    </row>
    <row r="16244" spans="14:14" x14ac:dyDescent="0.35">
      <c r="N16244" s="676"/>
    </row>
    <row r="16245" spans="14:14" x14ac:dyDescent="0.35">
      <c r="N16245" s="676"/>
    </row>
    <row r="16246" spans="14:14" x14ac:dyDescent="0.35">
      <c r="N16246" s="676"/>
    </row>
    <row r="16247" spans="14:14" x14ac:dyDescent="0.35">
      <c r="N16247" s="676"/>
    </row>
    <row r="16248" spans="14:14" x14ac:dyDescent="0.35">
      <c r="N16248" s="676"/>
    </row>
    <row r="16249" spans="14:14" x14ac:dyDescent="0.35">
      <c r="N16249" s="676"/>
    </row>
    <row r="16250" spans="14:14" x14ac:dyDescent="0.35">
      <c r="N16250" s="676"/>
    </row>
    <row r="16251" spans="14:14" x14ac:dyDescent="0.35">
      <c r="N16251" s="676"/>
    </row>
    <row r="16252" spans="14:14" x14ac:dyDescent="0.35">
      <c r="N16252" s="676"/>
    </row>
    <row r="16253" spans="14:14" x14ac:dyDescent="0.35">
      <c r="N16253" s="676"/>
    </row>
    <row r="16254" spans="14:14" x14ac:dyDescent="0.35">
      <c r="N16254" s="676"/>
    </row>
    <row r="16255" spans="14:14" x14ac:dyDescent="0.35">
      <c r="N16255" s="676"/>
    </row>
    <row r="16256" spans="14:14" x14ac:dyDescent="0.35">
      <c r="N16256" s="676"/>
    </row>
    <row r="16257" spans="14:14" x14ac:dyDescent="0.35">
      <c r="N16257" s="676"/>
    </row>
    <row r="16258" spans="14:14" x14ac:dyDescent="0.35">
      <c r="N16258" s="676"/>
    </row>
    <row r="16259" spans="14:14" x14ac:dyDescent="0.35">
      <c r="N16259" s="676"/>
    </row>
    <row r="16260" spans="14:14" x14ac:dyDescent="0.35">
      <c r="N16260" s="676"/>
    </row>
    <row r="16261" spans="14:14" x14ac:dyDescent="0.35">
      <c r="N16261" s="676"/>
    </row>
    <row r="16262" spans="14:14" x14ac:dyDescent="0.35">
      <c r="N16262" s="676"/>
    </row>
    <row r="16263" spans="14:14" x14ac:dyDescent="0.35">
      <c r="N16263" s="676"/>
    </row>
    <row r="16264" spans="14:14" x14ac:dyDescent="0.35">
      <c r="N16264" s="676"/>
    </row>
    <row r="16265" spans="14:14" x14ac:dyDescent="0.35">
      <c r="N16265" s="676"/>
    </row>
    <row r="16266" spans="14:14" x14ac:dyDescent="0.35">
      <c r="N16266" s="676"/>
    </row>
    <row r="16267" spans="14:14" x14ac:dyDescent="0.35">
      <c r="N16267" s="676"/>
    </row>
    <row r="16268" spans="14:14" x14ac:dyDescent="0.35">
      <c r="N16268" s="676"/>
    </row>
    <row r="16269" spans="14:14" x14ac:dyDescent="0.35">
      <c r="N16269" s="676"/>
    </row>
    <row r="16270" spans="14:14" x14ac:dyDescent="0.35">
      <c r="N16270" s="676"/>
    </row>
    <row r="16271" spans="14:14" x14ac:dyDescent="0.35">
      <c r="N16271" s="676"/>
    </row>
    <row r="16272" spans="14:14" x14ac:dyDescent="0.35">
      <c r="N16272" s="676"/>
    </row>
    <row r="16273" spans="14:14" x14ac:dyDescent="0.35">
      <c r="N16273" s="676"/>
    </row>
    <row r="16274" spans="14:14" x14ac:dyDescent="0.35">
      <c r="N16274" s="676"/>
    </row>
    <row r="16275" spans="14:14" x14ac:dyDescent="0.35">
      <c r="N16275" s="676"/>
    </row>
    <row r="16276" spans="14:14" x14ac:dyDescent="0.35">
      <c r="N16276" s="676"/>
    </row>
    <row r="16277" spans="14:14" x14ac:dyDescent="0.35">
      <c r="N16277" s="676"/>
    </row>
    <row r="16278" spans="14:14" x14ac:dyDescent="0.35">
      <c r="N16278" s="676"/>
    </row>
    <row r="16279" spans="14:14" x14ac:dyDescent="0.35">
      <c r="N16279" s="676"/>
    </row>
    <row r="16280" spans="14:14" x14ac:dyDescent="0.35">
      <c r="N16280" s="676"/>
    </row>
    <row r="16281" spans="14:14" x14ac:dyDescent="0.35">
      <c r="N16281" s="676"/>
    </row>
    <row r="16282" spans="14:14" x14ac:dyDescent="0.35">
      <c r="N16282" s="676"/>
    </row>
    <row r="16283" spans="14:14" x14ac:dyDescent="0.35">
      <c r="N16283" s="676"/>
    </row>
    <row r="16284" spans="14:14" x14ac:dyDescent="0.35">
      <c r="N16284" s="676"/>
    </row>
    <row r="16285" spans="14:14" x14ac:dyDescent="0.35">
      <c r="N16285" s="676"/>
    </row>
    <row r="16286" spans="14:14" x14ac:dyDescent="0.35">
      <c r="N16286" s="676"/>
    </row>
    <row r="16287" spans="14:14" x14ac:dyDescent="0.35">
      <c r="N16287" s="676"/>
    </row>
    <row r="16288" spans="14:14" x14ac:dyDescent="0.35">
      <c r="N16288" s="676"/>
    </row>
    <row r="16289" spans="14:14" x14ac:dyDescent="0.35">
      <c r="N16289" s="676"/>
    </row>
    <row r="16290" spans="14:14" x14ac:dyDescent="0.35">
      <c r="N16290" s="676"/>
    </row>
    <row r="16291" spans="14:14" x14ac:dyDescent="0.35">
      <c r="N16291" s="676"/>
    </row>
    <row r="16292" spans="14:14" x14ac:dyDescent="0.35">
      <c r="N16292" s="676"/>
    </row>
    <row r="16293" spans="14:14" x14ac:dyDescent="0.35">
      <c r="N16293" s="676"/>
    </row>
    <row r="16294" spans="14:14" x14ac:dyDescent="0.35">
      <c r="N16294" s="676"/>
    </row>
    <row r="16295" spans="14:14" x14ac:dyDescent="0.35">
      <c r="N16295" s="676"/>
    </row>
    <row r="16296" spans="14:14" x14ac:dyDescent="0.35">
      <c r="N16296" s="676"/>
    </row>
    <row r="16297" spans="14:14" x14ac:dyDescent="0.35">
      <c r="N16297" s="676"/>
    </row>
    <row r="16298" spans="14:14" x14ac:dyDescent="0.35">
      <c r="N16298" s="676"/>
    </row>
    <row r="16299" spans="14:14" x14ac:dyDescent="0.35">
      <c r="N16299" s="676"/>
    </row>
    <row r="16300" spans="14:14" x14ac:dyDescent="0.35">
      <c r="N16300" s="676"/>
    </row>
    <row r="16301" spans="14:14" x14ac:dyDescent="0.35">
      <c r="N16301" s="676"/>
    </row>
    <row r="16302" spans="14:14" x14ac:dyDescent="0.35">
      <c r="N16302" s="676"/>
    </row>
    <row r="16303" spans="14:14" x14ac:dyDescent="0.35">
      <c r="N16303" s="676"/>
    </row>
    <row r="16304" spans="14:14" x14ac:dyDescent="0.35">
      <c r="N16304" s="676"/>
    </row>
    <row r="16305" spans="14:14" x14ac:dyDescent="0.35">
      <c r="N16305" s="676"/>
    </row>
    <row r="16306" spans="14:14" x14ac:dyDescent="0.35">
      <c r="N16306" s="676"/>
    </row>
    <row r="16307" spans="14:14" x14ac:dyDescent="0.35">
      <c r="N16307" s="676"/>
    </row>
    <row r="16308" spans="14:14" x14ac:dyDescent="0.35">
      <c r="N16308" s="676"/>
    </row>
    <row r="16309" spans="14:14" x14ac:dyDescent="0.35">
      <c r="N16309" s="676"/>
    </row>
    <row r="16310" spans="14:14" x14ac:dyDescent="0.35">
      <c r="N16310" s="676"/>
    </row>
    <row r="16311" spans="14:14" x14ac:dyDescent="0.35">
      <c r="N16311" s="676"/>
    </row>
    <row r="16312" spans="14:14" x14ac:dyDescent="0.35">
      <c r="N16312" s="676"/>
    </row>
    <row r="16313" spans="14:14" x14ac:dyDescent="0.35">
      <c r="N16313" s="676"/>
    </row>
    <row r="16314" spans="14:14" x14ac:dyDescent="0.35">
      <c r="N16314" s="676"/>
    </row>
    <row r="16315" spans="14:14" x14ac:dyDescent="0.35">
      <c r="N16315" s="676"/>
    </row>
    <row r="16316" spans="14:14" x14ac:dyDescent="0.35">
      <c r="N16316" s="676"/>
    </row>
    <row r="16317" spans="14:14" x14ac:dyDescent="0.35">
      <c r="N16317" s="676"/>
    </row>
    <row r="16318" spans="14:14" x14ac:dyDescent="0.35">
      <c r="N16318" s="676"/>
    </row>
    <row r="16319" spans="14:14" x14ac:dyDescent="0.35">
      <c r="N16319" s="676"/>
    </row>
    <row r="16320" spans="14:14" x14ac:dyDescent="0.35">
      <c r="N16320" s="676"/>
    </row>
    <row r="16321" spans="14:14" x14ac:dyDescent="0.35">
      <c r="N16321" s="676"/>
    </row>
    <row r="16322" spans="14:14" x14ac:dyDescent="0.35">
      <c r="N16322" s="676"/>
    </row>
    <row r="16323" spans="14:14" x14ac:dyDescent="0.35">
      <c r="N16323" s="676"/>
    </row>
    <row r="16324" spans="14:14" x14ac:dyDescent="0.35">
      <c r="N16324" s="676"/>
    </row>
    <row r="16325" spans="14:14" x14ac:dyDescent="0.35">
      <c r="N16325" s="676"/>
    </row>
    <row r="16326" spans="14:14" x14ac:dyDescent="0.35">
      <c r="N16326" s="676"/>
    </row>
    <row r="16327" spans="14:14" x14ac:dyDescent="0.35">
      <c r="N16327" s="676"/>
    </row>
    <row r="16328" spans="14:14" x14ac:dyDescent="0.35">
      <c r="N16328" s="676"/>
    </row>
    <row r="16329" spans="14:14" x14ac:dyDescent="0.35">
      <c r="N16329" s="676"/>
    </row>
    <row r="16330" spans="14:14" x14ac:dyDescent="0.35">
      <c r="N16330" s="676"/>
    </row>
    <row r="16331" spans="14:14" x14ac:dyDescent="0.35">
      <c r="N16331" s="676"/>
    </row>
    <row r="16332" spans="14:14" x14ac:dyDescent="0.35">
      <c r="N16332" s="676"/>
    </row>
    <row r="16333" spans="14:14" x14ac:dyDescent="0.35">
      <c r="N16333" s="676"/>
    </row>
    <row r="16334" spans="14:14" x14ac:dyDescent="0.35">
      <c r="N16334" s="676"/>
    </row>
    <row r="16335" spans="14:14" x14ac:dyDescent="0.35">
      <c r="N16335" s="676"/>
    </row>
    <row r="16336" spans="14:14" x14ac:dyDescent="0.35">
      <c r="N16336" s="676"/>
    </row>
    <row r="16337" spans="14:14" x14ac:dyDescent="0.35">
      <c r="N16337" s="676"/>
    </row>
    <row r="16338" spans="14:14" x14ac:dyDescent="0.35">
      <c r="N16338" s="676"/>
    </row>
    <row r="16339" spans="14:14" x14ac:dyDescent="0.35">
      <c r="N16339" s="676"/>
    </row>
    <row r="16340" spans="14:14" x14ac:dyDescent="0.35">
      <c r="N16340" s="676"/>
    </row>
    <row r="16341" spans="14:14" x14ac:dyDescent="0.35">
      <c r="N16341" s="676"/>
    </row>
    <row r="16342" spans="14:14" x14ac:dyDescent="0.35">
      <c r="N16342" s="676"/>
    </row>
    <row r="16343" spans="14:14" x14ac:dyDescent="0.35">
      <c r="N16343" s="676"/>
    </row>
    <row r="16344" spans="14:14" x14ac:dyDescent="0.35">
      <c r="N16344" s="676"/>
    </row>
    <row r="16345" spans="14:14" x14ac:dyDescent="0.35">
      <c r="N16345" s="676"/>
    </row>
    <row r="16346" spans="14:14" x14ac:dyDescent="0.35">
      <c r="N16346" s="676"/>
    </row>
    <row r="16347" spans="14:14" x14ac:dyDescent="0.35">
      <c r="N16347" s="676"/>
    </row>
    <row r="16348" spans="14:14" x14ac:dyDescent="0.35">
      <c r="N16348" s="676"/>
    </row>
    <row r="16349" spans="14:14" x14ac:dyDescent="0.35">
      <c r="N16349" s="676"/>
    </row>
    <row r="16350" spans="14:14" x14ac:dyDescent="0.35">
      <c r="N16350" s="676"/>
    </row>
    <row r="16351" spans="14:14" x14ac:dyDescent="0.35">
      <c r="N16351" s="676"/>
    </row>
    <row r="16352" spans="14:14" x14ac:dyDescent="0.35">
      <c r="N16352" s="676"/>
    </row>
    <row r="16353" spans="14:14" x14ac:dyDescent="0.35">
      <c r="N16353" s="676"/>
    </row>
    <row r="16354" spans="14:14" x14ac:dyDescent="0.35">
      <c r="N16354" s="676"/>
    </row>
    <row r="16355" spans="14:14" x14ac:dyDescent="0.35">
      <c r="N16355" s="676"/>
    </row>
    <row r="16356" spans="14:14" x14ac:dyDescent="0.35">
      <c r="N16356" s="676"/>
    </row>
    <row r="16357" spans="14:14" x14ac:dyDescent="0.35">
      <c r="N16357" s="676"/>
    </row>
    <row r="16358" spans="14:14" x14ac:dyDescent="0.35">
      <c r="N16358" s="676"/>
    </row>
    <row r="16359" spans="14:14" x14ac:dyDescent="0.35">
      <c r="N16359" s="676"/>
    </row>
    <row r="16360" spans="14:14" x14ac:dyDescent="0.35">
      <c r="N16360" s="676"/>
    </row>
    <row r="16361" spans="14:14" x14ac:dyDescent="0.35">
      <c r="N16361" s="676"/>
    </row>
    <row r="16362" spans="14:14" x14ac:dyDescent="0.35">
      <c r="N16362" s="676"/>
    </row>
    <row r="16363" spans="14:14" x14ac:dyDescent="0.35">
      <c r="N16363" s="676"/>
    </row>
    <row r="16364" spans="14:14" x14ac:dyDescent="0.35">
      <c r="N16364" s="676"/>
    </row>
    <row r="16365" spans="14:14" x14ac:dyDescent="0.35">
      <c r="N16365" s="676"/>
    </row>
    <row r="16366" spans="14:14" x14ac:dyDescent="0.35">
      <c r="N16366" s="676"/>
    </row>
    <row r="16367" spans="14:14" x14ac:dyDescent="0.35">
      <c r="N16367" s="676"/>
    </row>
    <row r="16368" spans="14:14" x14ac:dyDescent="0.35">
      <c r="N16368" s="676"/>
    </row>
    <row r="16369" spans="14:14" x14ac:dyDescent="0.35">
      <c r="N16369" s="676"/>
    </row>
    <row r="16370" spans="14:14" x14ac:dyDescent="0.35">
      <c r="N16370" s="676"/>
    </row>
    <row r="16371" spans="14:14" x14ac:dyDescent="0.35">
      <c r="N16371" s="676"/>
    </row>
    <row r="16372" spans="14:14" x14ac:dyDescent="0.35">
      <c r="N16372" s="676"/>
    </row>
    <row r="16373" spans="14:14" x14ac:dyDescent="0.35">
      <c r="N16373" s="676"/>
    </row>
    <row r="16374" spans="14:14" x14ac:dyDescent="0.35">
      <c r="N16374" s="676"/>
    </row>
    <row r="16375" spans="14:14" x14ac:dyDescent="0.35">
      <c r="N16375" s="676"/>
    </row>
    <row r="16376" spans="14:14" x14ac:dyDescent="0.35">
      <c r="N16376" s="676"/>
    </row>
    <row r="16377" spans="14:14" x14ac:dyDescent="0.35">
      <c r="N16377" s="676"/>
    </row>
    <row r="16378" spans="14:14" x14ac:dyDescent="0.35">
      <c r="N16378" s="676"/>
    </row>
    <row r="16379" spans="14:14" x14ac:dyDescent="0.35">
      <c r="N16379" s="676"/>
    </row>
    <row r="16380" spans="14:14" x14ac:dyDescent="0.35">
      <c r="N16380" s="676"/>
    </row>
    <row r="16381" spans="14:14" x14ac:dyDescent="0.35">
      <c r="N16381" s="676"/>
    </row>
    <row r="16382" spans="14:14" x14ac:dyDescent="0.35">
      <c r="N16382" s="676"/>
    </row>
    <row r="16383" spans="14:14" x14ac:dyDescent="0.35">
      <c r="N16383" s="676"/>
    </row>
    <row r="16384" spans="14:14" x14ac:dyDescent="0.35">
      <c r="N16384" s="676"/>
    </row>
    <row r="16385" spans="14:14" x14ac:dyDescent="0.35">
      <c r="N16385" s="676"/>
    </row>
    <row r="16386" spans="14:14" x14ac:dyDescent="0.35">
      <c r="N16386" s="676"/>
    </row>
    <row r="16387" spans="14:14" x14ac:dyDescent="0.35">
      <c r="N16387" s="676"/>
    </row>
    <row r="16388" spans="14:14" x14ac:dyDescent="0.35">
      <c r="N16388" s="676"/>
    </row>
    <row r="16389" spans="14:14" x14ac:dyDescent="0.35">
      <c r="N16389" s="676"/>
    </row>
    <row r="16390" spans="14:14" x14ac:dyDescent="0.35">
      <c r="N16390" s="676"/>
    </row>
    <row r="16391" spans="14:14" x14ac:dyDescent="0.35">
      <c r="N16391" s="676"/>
    </row>
    <row r="16392" spans="14:14" x14ac:dyDescent="0.35">
      <c r="N16392" s="676"/>
    </row>
    <row r="16393" spans="14:14" x14ac:dyDescent="0.35">
      <c r="N16393" s="676"/>
    </row>
    <row r="16394" spans="14:14" x14ac:dyDescent="0.35">
      <c r="N16394" s="676"/>
    </row>
    <row r="16395" spans="14:14" x14ac:dyDescent="0.35">
      <c r="N16395" s="676"/>
    </row>
    <row r="16396" spans="14:14" x14ac:dyDescent="0.35">
      <c r="N16396" s="676"/>
    </row>
    <row r="16397" spans="14:14" x14ac:dyDescent="0.35">
      <c r="N16397" s="676"/>
    </row>
    <row r="16398" spans="14:14" x14ac:dyDescent="0.35">
      <c r="N16398" s="676"/>
    </row>
    <row r="16399" spans="14:14" x14ac:dyDescent="0.35">
      <c r="N16399" s="676"/>
    </row>
    <row r="16400" spans="14:14" x14ac:dyDescent="0.35">
      <c r="N16400" s="676"/>
    </row>
    <row r="16401" spans="14:14" x14ac:dyDescent="0.35">
      <c r="N16401" s="676"/>
    </row>
    <row r="16402" spans="14:14" x14ac:dyDescent="0.35">
      <c r="N16402" s="676"/>
    </row>
    <row r="16403" spans="14:14" x14ac:dyDescent="0.35">
      <c r="N16403" s="676"/>
    </row>
    <row r="16404" spans="14:14" x14ac:dyDescent="0.35">
      <c r="N16404" s="676"/>
    </row>
    <row r="16405" spans="14:14" x14ac:dyDescent="0.35">
      <c r="N16405" s="676"/>
    </row>
    <row r="16406" spans="14:14" x14ac:dyDescent="0.35">
      <c r="N16406" s="676"/>
    </row>
    <row r="16407" spans="14:14" x14ac:dyDescent="0.35">
      <c r="N16407" s="676"/>
    </row>
    <row r="16408" spans="14:14" x14ac:dyDescent="0.35">
      <c r="N16408" s="676"/>
    </row>
    <row r="16409" spans="14:14" x14ac:dyDescent="0.35">
      <c r="N16409" s="676"/>
    </row>
    <row r="16410" spans="14:14" x14ac:dyDescent="0.35">
      <c r="N16410" s="676"/>
    </row>
    <row r="16411" spans="14:14" x14ac:dyDescent="0.35">
      <c r="N16411" s="676"/>
    </row>
    <row r="16412" spans="14:14" x14ac:dyDescent="0.35">
      <c r="N16412" s="676"/>
    </row>
    <row r="16413" spans="14:14" x14ac:dyDescent="0.35">
      <c r="N16413" s="676"/>
    </row>
    <row r="16414" spans="14:14" x14ac:dyDescent="0.35">
      <c r="N16414" s="676"/>
    </row>
    <row r="16415" spans="14:14" x14ac:dyDescent="0.35">
      <c r="N16415" s="676"/>
    </row>
    <row r="16416" spans="14:14" x14ac:dyDescent="0.35">
      <c r="N16416" s="676"/>
    </row>
    <row r="16417" spans="14:14" x14ac:dyDescent="0.35">
      <c r="N16417" s="676"/>
    </row>
    <row r="16418" spans="14:14" x14ac:dyDescent="0.35">
      <c r="N16418" s="676"/>
    </row>
    <row r="16419" spans="14:14" x14ac:dyDescent="0.35">
      <c r="N16419" s="676"/>
    </row>
    <row r="16420" spans="14:14" x14ac:dyDescent="0.35">
      <c r="N16420" s="676"/>
    </row>
    <row r="16421" spans="14:14" x14ac:dyDescent="0.35">
      <c r="N16421" s="676"/>
    </row>
    <row r="16422" spans="14:14" x14ac:dyDescent="0.35">
      <c r="N16422" s="676"/>
    </row>
    <row r="16423" spans="14:14" x14ac:dyDescent="0.35">
      <c r="N16423" s="676"/>
    </row>
    <row r="16424" spans="14:14" x14ac:dyDescent="0.35">
      <c r="N16424" s="676"/>
    </row>
    <row r="16425" spans="14:14" x14ac:dyDescent="0.35">
      <c r="N16425" s="676"/>
    </row>
    <row r="16426" spans="14:14" x14ac:dyDescent="0.35">
      <c r="N16426" s="676"/>
    </row>
    <row r="16427" spans="14:14" x14ac:dyDescent="0.35">
      <c r="N16427" s="676"/>
    </row>
    <row r="16428" spans="14:14" x14ac:dyDescent="0.35">
      <c r="N16428" s="676"/>
    </row>
    <row r="16429" spans="14:14" x14ac:dyDescent="0.35">
      <c r="N16429" s="676"/>
    </row>
    <row r="16430" spans="14:14" x14ac:dyDescent="0.35">
      <c r="N16430" s="676"/>
    </row>
    <row r="16431" spans="14:14" x14ac:dyDescent="0.35">
      <c r="N16431" s="676"/>
    </row>
    <row r="16432" spans="14:14" x14ac:dyDescent="0.35">
      <c r="N16432" s="676"/>
    </row>
    <row r="16433" spans="14:14" x14ac:dyDescent="0.35">
      <c r="N16433" s="676"/>
    </row>
    <row r="16434" spans="14:14" x14ac:dyDescent="0.35">
      <c r="N16434" s="676"/>
    </row>
    <row r="16435" spans="14:14" x14ac:dyDescent="0.35">
      <c r="N16435" s="676"/>
    </row>
    <row r="16436" spans="14:14" x14ac:dyDescent="0.35">
      <c r="N16436" s="676"/>
    </row>
    <row r="16437" spans="14:14" x14ac:dyDescent="0.35">
      <c r="N16437" s="676"/>
    </row>
    <row r="16438" spans="14:14" x14ac:dyDescent="0.35">
      <c r="N16438" s="676"/>
    </row>
    <row r="16439" spans="14:14" x14ac:dyDescent="0.35">
      <c r="N16439" s="676"/>
    </row>
    <row r="16440" spans="14:14" x14ac:dyDescent="0.35">
      <c r="N16440" s="676"/>
    </row>
    <row r="16441" spans="14:14" x14ac:dyDescent="0.35">
      <c r="N16441" s="676"/>
    </row>
    <row r="16442" spans="14:14" x14ac:dyDescent="0.35">
      <c r="N16442" s="676"/>
    </row>
    <row r="16443" spans="14:14" x14ac:dyDescent="0.35">
      <c r="N16443" s="676"/>
    </row>
    <row r="16444" spans="14:14" x14ac:dyDescent="0.35">
      <c r="N16444" s="676"/>
    </row>
    <row r="16445" spans="14:14" x14ac:dyDescent="0.35">
      <c r="N16445" s="676"/>
    </row>
    <row r="16446" spans="14:14" x14ac:dyDescent="0.35">
      <c r="N16446" s="676"/>
    </row>
    <row r="16447" spans="14:14" x14ac:dyDescent="0.35">
      <c r="N16447" s="676"/>
    </row>
    <row r="16448" spans="14:14" x14ac:dyDescent="0.35">
      <c r="N16448" s="676"/>
    </row>
    <row r="16449" spans="14:14" x14ac:dyDescent="0.35">
      <c r="N16449" s="676"/>
    </row>
    <row r="16450" spans="14:14" x14ac:dyDescent="0.35">
      <c r="N16450" s="676"/>
    </row>
    <row r="16451" spans="14:14" x14ac:dyDescent="0.35">
      <c r="N16451" s="676"/>
    </row>
    <row r="16452" spans="14:14" x14ac:dyDescent="0.35">
      <c r="N16452" s="676"/>
    </row>
    <row r="16453" spans="14:14" x14ac:dyDescent="0.35">
      <c r="N16453" s="676"/>
    </row>
    <row r="16454" spans="14:14" x14ac:dyDescent="0.35">
      <c r="N16454" s="676"/>
    </row>
    <row r="16455" spans="14:14" x14ac:dyDescent="0.35">
      <c r="N16455" s="676"/>
    </row>
    <row r="16456" spans="14:14" x14ac:dyDescent="0.35">
      <c r="N16456" s="676"/>
    </row>
    <row r="16457" spans="14:14" x14ac:dyDescent="0.35">
      <c r="N16457" s="676"/>
    </row>
    <row r="16458" spans="14:14" x14ac:dyDescent="0.35">
      <c r="N16458" s="676"/>
    </row>
    <row r="16459" spans="14:14" x14ac:dyDescent="0.35">
      <c r="N16459" s="676"/>
    </row>
    <row r="16460" spans="14:14" x14ac:dyDescent="0.35">
      <c r="N16460" s="676"/>
    </row>
    <row r="16461" spans="14:14" x14ac:dyDescent="0.35">
      <c r="N16461" s="676"/>
    </row>
    <row r="16462" spans="14:14" x14ac:dyDescent="0.35">
      <c r="N16462" s="676"/>
    </row>
    <row r="16463" spans="14:14" x14ac:dyDescent="0.35">
      <c r="N16463" s="676"/>
    </row>
    <row r="16464" spans="14:14" x14ac:dyDescent="0.35">
      <c r="N16464" s="676"/>
    </row>
    <row r="16465" spans="14:14" x14ac:dyDescent="0.35">
      <c r="N16465" s="676"/>
    </row>
    <row r="16466" spans="14:14" x14ac:dyDescent="0.35">
      <c r="N16466" s="676"/>
    </row>
    <row r="16467" spans="14:14" x14ac:dyDescent="0.35">
      <c r="N16467" s="676"/>
    </row>
    <row r="16468" spans="14:14" x14ac:dyDescent="0.35">
      <c r="N16468" s="676"/>
    </row>
    <row r="16469" spans="14:14" x14ac:dyDescent="0.35">
      <c r="N16469" s="676"/>
    </row>
    <row r="16470" spans="14:14" x14ac:dyDescent="0.35">
      <c r="N16470" s="676"/>
    </row>
    <row r="16471" spans="14:14" x14ac:dyDescent="0.35">
      <c r="N16471" s="676"/>
    </row>
    <row r="16472" spans="14:14" x14ac:dyDescent="0.35">
      <c r="N16472" s="676"/>
    </row>
    <row r="16473" spans="14:14" x14ac:dyDescent="0.35">
      <c r="N16473" s="676"/>
    </row>
    <row r="16474" spans="14:14" x14ac:dyDescent="0.35">
      <c r="N16474" s="676"/>
    </row>
    <row r="16475" spans="14:14" x14ac:dyDescent="0.35">
      <c r="N16475" s="676"/>
    </row>
    <row r="16476" spans="14:14" x14ac:dyDescent="0.35">
      <c r="N16476" s="676"/>
    </row>
    <row r="16477" spans="14:14" x14ac:dyDescent="0.35">
      <c r="N16477" s="676"/>
    </row>
    <row r="16478" spans="14:14" x14ac:dyDescent="0.35">
      <c r="N16478" s="676"/>
    </row>
    <row r="16479" spans="14:14" x14ac:dyDescent="0.35">
      <c r="N16479" s="676"/>
    </row>
    <row r="16480" spans="14:14" x14ac:dyDescent="0.35">
      <c r="N16480" s="676"/>
    </row>
    <row r="16481" spans="14:14" x14ac:dyDescent="0.35">
      <c r="N16481" s="676"/>
    </row>
    <row r="16482" spans="14:14" x14ac:dyDescent="0.35">
      <c r="N16482" s="676"/>
    </row>
    <row r="16483" spans="14:14" x14ac:dyDescent="0.35">
      <c r="N16483" s="676"/>
    </row>
    <row r="16484" spans="14:14" x14ac:dyDescent="0.35">
      <c r="N16484" s="676"/>
    </row>
    <row r="16485" spans="14:14" x14ac:dyDescent="0.35">
      <c r="N16485" s="676"/>
    </row>
    <row r="16486" spans="14:14" x14ac:dyDescent="0.35">
      <c r="N16486" s="676"/>
    </row>
    <row r="16487" spans="14:14" x14ac:dyDescent="0.35">
      <c r="N16487" s="676"/>
    </row>
    <row r="16488" spans="14:14" x14ac:dyDescent="0.35">
      <c r="N16488" s="676"/>
    </row>
    <row r="16489" spans="14:14" x14ac:dyDescent="0.35">
      <c r="N16489" s="676"/>
    </row>
    <row r="16490" spans="14:14" x14ac:dyDescent="0.35">
      <c r="N16490" s="676"/>
    </row>
    <row r="16491" spans="14:14" x14ac:dyDescent="0.35">
      <c r="N16491" s="676"/>
    </row>
    <row r="16492" spans="14:14" x14ac:dyDescent="0.35">
      <c r="N16492" s="676"/>
    </row>
    <row r="16493" spans="14:14" x14ac:dyDescent="0.35">
      <c r="N16493" s="676"/>
    </row>
    <row r="16494" spans="14:14" x14ac:dyDescent="0.35">
      <c r="N16494" s="676"/>
    </row>
    <row r="16495" spans="14:14" x14ac:dyDescent="0.35">
      <c r="N16495" s="676"/>
    </row>
    <row r="16496" spans="14:14" x14ac:dyDescent="0.35">
      <c r="N16496" s="676"/>
    </row>
    <row r="16497" spans="14:14" x14ac:dyDescent="0.35">
      <c r="N16497" s="676"/>
    </row>
    <row r="16498" spans="14:14" x14ac:dyDescent="0.35">
      <c r="N16498" s="676"/>
    </row>
    <row r="16499" spans="14:14" x14ac:dyDescent="0.35">
      <c r="N16499" s="676"/>
    </row>
    <row r="16500" spans="14:14" x14ac:dyDescent="0.35">
      <c r="N16500" s="676"/>
    </row>
    <row r="16501" spans="14:14" x14ac:dyDescent="0.35">
      <c r="N16501" s="676"/>
    </row>
    <row r="16502" spans="14:14" x14ac:dyDescent="0.35">
      <c r="N16502" s="676"/>
    </row>
    <row r="16503" spans="14:14" x14ac:dyDescent="0.35">
      <c r="N16503" s="676"/>
    </row>
    <row r="16504" spans="14:14" x14ac:dyDescent="0.35">
      <c r="N16504" s="676"/>
    </row>
    <row r="16505" spans="14:14" x14ac:dyDescent="0.35">
      <c r="N16505" s="676"/>
    </row>
    <row r="16506" spans="14:14" x14ac:dyDescent="0.35">
      <c r="N16506" s="676"/>
    </row>
    <row r="16507" spans="14:14" x14ac:dyDescent="0.35">
      <c r="N16507" s="676"/>
    </row>
    <row r="16508" spans="14:14" x14ac:dyDescent="0.35">
      <c r="N16508" s="676"/>
    </row>
    <row r="16509" spans="14:14" x14ac:dyDescent="0.35">
      <c r="N16509" s="676"/>
    </row>
    <row r="16510" spans="14:14" x14ac:dyDescent="0.35">
      <c r="N16510" s="676"/>
    </row>
    <row r="16511" spans="14:14" x14ac:dyDescent="0.35">
      <c r="N16511" s="676"/>
    </row>
    <row r="16512" spans="14:14" x14ac:dyDescent="0.35">
      <c r="N16512" s="676"/>
    </row>
    <row r="16513" spans="14:14" x14ac:dyDescent="0.35">
      <c r="N16513" s="676"/>
    </row>
    <row r="16514" spans="14:14" x14ac:dyDescent="0.35">
      <c r="N16514" s="676"/>
    </row>
    <row r="16515" spans="14:14" x14ac:dyDescent="0.35">
      <c r="N16515" s="676"/>
    </row>
    <row r="16516" spans="14:14" x14ac:dyDescent="0.35">
      <c r="N16516" s="676"/>
    </row>
    <row r="16517" spans="14:14" x14ac:dyDescent="0.35">
      <c r="N16517" s="676"/>
    </row>
    <row r="16518" spans="14:14" x14ac:dyDescent="0.35">
      <c r="N16518" s="676"/>
    </row>
    <row r="16519" spans="14:14" x14ac:dyDescent="0.35">
      <c r="N16519" s="676"/>
    </row>
    <row r="16520" spans="14:14" x14ac:dyDescent="0.35">
      <c r="N16520" s="676"/>
    </row>
    <row r="16521" spans="14:14" x14ac:dyDescent="0.35">
      <c r="N16521" s="676"/>
    </row>
    <row r="16522" spans="14:14" x14ac:dyDescent="0.35">
      <c r="N16522" s="676"/>
    </row>
    <row r="16523" spans="14:14" x14ac:dyDescent="0.35">
      <c r="N16523" s="676"/>
    </row>
    <row r="16524" spans="14:14" x14ac:dyDescent="0.35">
      <c r="N16524" s="676"/>
    </row>
    <row r="16525" spans="14:14" x14ac:dyDescent="0.35">
      <c r="N16525" s="676"/>
    </row>
    <row r="16526" spans="14:14" x14ac:dyDescent="0.35">
      <c r="N16526" s="676"/>
    </row>
    <row r="16527" spans="14:14" x14ac:dyDescent="0.35">
      <c r="N16527" s="676"/>
    </row>
    <row r="16528" spans="14:14" x14ac:dyDescent="0.35">
      <c r="N16528" s="676"/>
    </row>
    <row r="16529" spans="14:14" x14ac:dyDescent="0.35">
      <c r="N16529" s="676"/>
    </row>
    <row r="16530" spans="14:14" x14ac:dyDescent="0.35">
      <c r="N16530" s="676"/>
    </row>
    <row r="16531" spans="14:14" x14ac:dyDescent="0.35">
      <c r="N16531" s="676"/>
    </row>
    <row r="16532" spans="14:14" x14ac:dyDescent="0.35">
      <c r="N16532" s="676"/>
    </row>
    <row r="16533" spans="14:14" x14ac:dyDescent="0.35">
      <c r="N16533" s="676"/>
    </row>
    <row r="16534" spans="14:14" x14ac:dyDescent="0.35">
      <c r="N16534" s="676"/>
    </row>
    <row r="16535" spans="14:14" x14ac:dyDescent="0.35">
      <c r="N16535" s="676"/>
    </row>
    <row r="16536" spans="14:14" x14ac:dyDescent="0.35">
      <c r="N16536" s="676"/>
    </row>
    <row r="16537" spans="14:14" x14ac:dyDescent="0.35">
      <c r="N16537" s="676"/>
    </row>
    <row r="16538" spans="14:14" x14ac:dyDescent="0.35">
      <c r="N16538" s="676"/>
    </row>
    <row r="16539" spans="14:14" x14ac:dyDescent="0.35">
      <c r="N16539" s="676"/>
    </row>
    <row r="16540" spans="14:14" x14ac:dyDescent="0.35">
      <c r="N16540" s="676"/>
    </row>
    <row r="16541" spans="14:14" x14ac:dyDescent="0.35">
      <c r="N16541" s="676"/>
    </row>
    <row r="16542" spans="14:14" x14ac:dyDescent="0.35">
      <c r="N16542" s="676"/>
    </row>
    <row r="16543" spans="14:14" x14ac:dyDescent="0.35">
      <c r="N16543" s="676"/>
    </row>
    <row r="16544" spans="14:14" x14ac:dyDescent="0.35">
      <c r="N16544" s="676"/>
    </row>
    <row r="16545" spans="14:14" x14ac:dyDescent="0.35">
      <c r="N16545" s="676"/>
    </row>
    <row r="16546" spans="14:14" x14ac:dyDescent="0.35">
      <c r="N16546" s="676"/>
    </row>
    <row r="16547" spans="14:14" x14ac:dyDescent="0.35">
      <c r="N16547" s="676"/>
    </row>
    <row r="16548" spans="14:14" x14ac:dyDescent="0.35">
      <c r="N16548" s="676"/>
    </row>
    <row r="16549" spans="14:14" x14ac:dyDescent="0.35">
      <c r="N16549" s="676"/>
    </row>
    <row r="16550" spans="14:14" x14ac:dyDescent="0.35">
      <c r="N16550" s="676"/>
    </row>
    <row r="16551" spans="14:14" x14ac:dyDescent="0.35">
      <c r="N16551" s="676"/>
    </row>
    <row r="16552" spans="14:14" x14ac:dyDescent="0.35">
      <c r="N16552" s="676"/>
    </row>
    <row r="16553" spans="14:14" x14ac:dyDescent="0.35">
      <c r="N16553" s="676"/>
    </row>
    <row r="16554" spans="14:14" x14ac:dyDescent="0.35">
      <c r="N16554" s="676"/>
    </row>
    <row r="16555" spans="14:14" x14ac:dyDescent="0.35">
      <c r="N16555" s="676"/>
    </row>
    <row r="16556" spans="14:14" x14ac:dyDescent="0.35">
      <c r="N16556" s="676"/>
    </row>
    <row r="16557" spans="14:14" x14ac:dyDescent="0.35">
      <c r="N16557" s="676"/>
    </row>
    <row r="16558" spans="14:14" x14ac:dyDescent="0.35">
      <c r="N16558" s="676"/>
    </row>
    <row r="16559" spans="14:14" x14ac:dyDescent="0.35">
      <c r="N16559" s="676"/>
    </row>
    <row r="16560" spans="14:14" x14ac:dyDescent="0.35">
      <c r="N16560" s="676"/>
    </row>
    <row r="16561" spans="14:14" x14ac:dyDescent="0.35">
      <c r="N16561" s="676"/>
    </row>
    <row r="16562" spans="14:14" x14ac:dyDescent="0.35">
      <c r="N16562" s="676"/>
    </row>
    <row r="16563" spans="14:14" x14ac:dyDescent="0.35">
      <c r="N16563" s="676"/>
    </row>
    <row r="16564" spans="14:14" x14ac:dyDescent="0.35">
      <c r="N16564" s="676"/>
    </row>
    <row r="16565" spans="14:14" x14ac:dyDescent="0.35">
      <c r="N16565" s="676"/>
    </row>
    <row r="16566" spans="14:14" x14ac:dyDescent="0.35">
      <c r="N16566" s="676"/>
    </row>
    <row r="16567" spans="14:14" x14ac:dyDescent="0.35">
      <c r="N16567" s="676"/>
    </row>
    <row r="16568" spans="14:14" x14ac:dyDescent="0.35">
      <c r="N16568" s="676"/>
    </row>
    <row r="16569" spans="14:14" x14ac:dyDescent="0.35">
      <c r="N16569" s="676"/>
    </row>
    <row r="16570" spans="14:14" x14ac:dyDescent="0.35">
      <c r="N16570" s="676"/>
    </row>
    <row r="16571" spans="14:14" x14ac:dyDescent="0.35">
      <c r="N16571" s="676"/>
    </row>
    <row r="16572" spans="14:14" x14ac:dyDescent="0.35">
      <c r="N16572" s="676"/>
    </row>
    <row r="16573" spans="14:14" x14ac:dyDescent="0.35">
      <c r="N16573" s="676"/>
    </row>
    <row r="16574" spans="14:14" x14ac:dyDescent="0.35">
      <c r="N16574" s="676"/>
    </row>
    <row r="16575" spans="14:14" x14ac:dyDescent="0.35">
      <c r="N16575" s="676"/>
    </row>
    <row r="16576" spans="14:14" x14ac:dyDescent="0.35">
      <c r="N16576" s="676"/>
    </row>
    <row r="16577" spans="14:14" x14ac:dyDescent="0.35">
      <c r="N16577" s="676"/>
    </row>
    <row r="16578" spans="14:14" x14ac:dyDescent="0.35">
      <c r="N16578" s="676"/>
    </row>
    <row r="16579" spans="14:14" x14ac:dyDescent="0.35">
      <c r="N16579" s="676"/>
    </row>
    <row r="16580" spans="14:14" x14ac:dyDescent="0.35">
      <c r="N16580" s="676"/>
    </row>
    <row r="16581" spans="14:14" x14ac:dyDescent="0.35">
      <c r="N16581" s="676"/>
    </row>
    <row r="16582" spans="14:14" x14ac:dyDescent="0.35">
      <c r="N16582" s="676"/>
    </row>
    <row r="16583" spans="14:14" x14ac:dyDescent="0.35">
      <c r="N16583" s="676"/>
    </row>
    <row r="16584" spans="14:14" x14ac:dyDescent="0.35">
      <c r="N16584" s="676"/>
    </row>
    <row r="16585" spans="14:14" x14ac:dyDescent="0.35">
      <c r="N16585" s="676"/>
    </row>
    <row r="16586" spans="14:14" x14ac:dyDescent="0.35">
      <c r="N16586" s="676"/>
    </row>
    <row r="16587" spans="14:14" x14ac:dyDescent="0.35">
      <c r="N16587" s="676"/>
    </row>
    <row r="16588" spans="14:14" x14ac:dyDescent="0.35">
      <c r="N16588" s="676"/>
    </row>
    <row r="16589" spans="14:14" x14ac:dyDescent="0.35">
      <c r="N16589" s="676"/>
    </row>
    <row r="16590" spans="14:14" x14ac:dyDescent="0.35">
      <c r="N16590" s="676"/>
    </row>
    <row r="16591" spans="14:14" x14ac:dyDescent="0.35">
      <c r="N16591" s="676"/>
    </row>
    <row r="16592" spans="14:14" x14ac:dyDescent="0.35">
      <c r="N16592" s="676"/>
    </row>
    <row r="16593" spans="14:14" x14ac:dyDescent="0.35">
      <c r="N16593" s="676"/>
    </row>
    <row r="16594" spans="14:14" x14ac:dyDescent="0.35">
      <c r="N16594" s="676"/>
    </row>
    <row r="16595" spans="14:14" x14ac:dyDescent="0.35">
      <c r="N16595" s="676"/>
    </row>
    <row r="16596" spans="14:14" x14ac:dyDescent="0.35">
      <c r="N16596" s="676"/>
    </row>
    <row r="16597" spans="14:14" x14ac:dyDescent="0.35">
      <c r="N16597" s="676"/>
    </row>
    <row r="16598" spans="14:14" x14ac:dyDescent="0.35">
      <c r="N16598" s="676"/>
    </row>
    <row r="16599" spans="14:14" x14ac:dyDescent="0.35">
      <c r="N16599" s="676"/>
    </row>
    <row r="16600" spans="14:14" x14ac:dyDescent="0.35">
      <c r="N16600" s="676"/>
    </row>
    <row r="16601" spans="14:14" x14ac:dyDescent="0.35">
      <c r="N16601" s="676"/>
    </row>
    <row r="16602" spans="14:14" x14ac:dyDescent="0.35">
      <c r="N16602" s="676"/>
    </row>
    <row r="16603" spans="14:14" x14ac:dyDescent="0.35">
      <c r="N16603" s="676"/>
    </row>
    <row r="16604" spans="14:14" x14ac:dyDescent="0.35">
      <c r="N16604" s="676"/>
    </row>
    <row r="16605" spans="14:14" x14ac:dyDescent="0.35">
      <c r="N16605" s="676"/>
    </row>
    <row r="16606" spans="14:14" x14ac:dyDescent="0.35">
      <c r="N16606" s="676"/>
    </row>
    <row r="16607" spans="14:14" x14ac:dyDescent="0.35">
      <c r="N16607" s="676"/>
    </row>
    <row r="16608" spans="14:14" x14ac:dyDescent="0.35">
      <c r="N16608" s="676"/>
    </row>
    <row r="16609" spans="14:14" x14ac:dyDescent="0.35">
      <c r="N16609" s="676"/>
    </row>
    <row r="16610" spans="14:14" x14ac:dyDescent="0.35">
      <c r="N16610" s="676"/>
    </row>
    <row r="16611" spans="14:14" x14ac:dyDescent="0.35">
      <c r="N16611" s="676"/>
    </row>
    <row r="16612" spans="14:14" x14ac:dyDescent="0.35">
      <c r="N16612" s="676"/>
    </row>
    <row r="16613" spans="14:14" x14ac:dyDescent="0.35">
      <c r="N16613" s="676"/>
    </row>
    <row r="16614" spans="14:14" x14ac:dyDescent="0.35">
      <c r="N16614" s="676"/>
    </row>
    <row r="16615" spans="14:14" x14ac:dyDescent="0.35">
      <c r="N16615" s="676"/>
    </row>
    <row r="16616" spans="14:14" x14ac:dyDescent="0.35">
      <c r="N16616" s="676"/>
    </row>
    <row r="16617" spans="14:14" x14ac:dyDescent="0.35">
      <c r="N16617" s="676"/>
    </row>
    <row r="16618" spans="14:14" x14ac:dyDescent="0.35">
      <c r="N16618" s="676"/>
    </row>
    <row r="16619" spans="14:14" x14ac:dyDescent="0.35">
      <c r="N16619" s="676"/>
    </row>
    <row r="16620" spans="14:14" x14ac:dyDescent="0.35">
      <c r="N16620" s="676"/>
    </row>
    <row r="16621" spans="14:14" x14ac:dyDescent="0.35">
      <c r="N16621" s="676"/>
    </row>
    <row r="16622" spans="14:14" x14ac:dyDescent="0.35">
      <c r="N16622" s="676"/>
    </row>
    <row r="16623" spans="14:14" x14ac:dyDescent="0.35">
      <c r="N16623" s="676"/>
    </row>
    <row r="16624" spans="14:14" x14ac:dyDescent="0.35">
      <c r="N16624" s="676"/>
    </row>
    <row r="16625" spans="14:14" x14ac:dyDescent="0.35">
      <c r="N16625" s="676"/>
    </row>
    <row r="16626" spans="14:14" x14ac:dyDescent="0.35">
      <c r="N16626" s="676"/>
    </row>
    <row r="16627" spans="14:14" x14ac:dyDescent="0.35">
      <c r="N16627" s="676"/>
    </row>
    <row r="16628" spans="14:14" x14ac:dyDescent="0.35">
      <c r="N16628" s="676"/>
    </row>
    <row r="16629" spans="14:14" x14ac:dyDescent="0.35">
      <c r="N16629" s="676"/>
    </row>
    <row r="16630" spans="14:14" x14ac:dyDescent="0.35">
      <c r="N16630" s="676"/>
    </row>
    <row r="16631" spans="14:14" x14ac:dyDescent="0.35">
      <c r="N16631" s="676"/>
    </row>
    <row r="16632" spans="14:14" x14ac:dyDescent="0.35">
      <c r="N16632" s="676"/>
    </row>
    <row r="16633" spans="14:14" x14ac:dyDescent="0.35">
      <c r="N16633" s="676"/>
    </row>
    <row r="16634" spans="14:14" x14ac:dyDescent="0.35">
      <c r="N16634" s="676"/>
    </row>
    <row r="16635" spans="14:14" x14ac:dyDescent="0.35">
      <c r="N16635" s="676"/>
    </row>
    <row r="16636" spans="14:14" x14ac:dyDescent="0.35">
      <c r="N16636" s="676"/>
    </row>
    <row r="16637" spans="14:14" x14ac:dyDescent="0.35">
      <c r="N16637" s="676"/>
    </row>
    <row r="16638" spans="14:14" x14ac:dyDescent="0.35">
      <c r="N16638" s="676"/>
    </row>
    <row r="16639" spans="14:14" x14ac:dyDescent="0.35">
      <c r="N16639" s="676"/>
    </row>
    <row r="16640" spans="14:14" x14ac:dyDescent="0.35">
      <c r="N16640" s="676"/>
    </row>
    <row r="16641" spans="14:14" x14ac:dyDescent="0.35">
      <c r="N16641" s="676"/>
    </row>
    <row r="16642" spans="14:14" x14ac:dyDescent="0.35">
      <c r="N16642" s="676"/>
    </row>
    <row r="16643" spans="14:14" x14ac:dyDescent="0.35">
      <c r="N16643" s="676"/>
    </row>
    <row r="16644" spans="14:14" x14ac:dyDescent="0.35">
      <c r="N16644" s="676"/>
    </row>
    <row r="16645" spans="14:14" x14ac:dyDescent="0.35">
      <c r="N16645" s="676"/>
    </row>
    <row r="16646" spans="14:14" x14ac:dyDescent="0.35">
      <c r="N16646" s="676"/>
    </row>
    <row r="16647" spans="14:14" x14ac:dyDescent="0.35">
      <c r="N16647" s="676"/>
    </row>
    <row r="16648" spans="14:14" x14ac:dyDescent="0.35">
      <c r="N16648" s="676"/>
    </row>
    <row r="16649" spans="14:14" x14ac:dyDescent="0.35">
      <c r="N16649" s="676"/>
    </row>
    <row r="16650" spans="14:14" x14ac:dyDescent="0.35">
      <c r="N16650" s="676"/>
    </row>
    <row r="16651" spans="14:14" x14ac:dyDescent="0.35">
      <c r="N16651" s="676"/>
    </row>
    <row r="16652" spans="14:14" x14ac:dyDescent="0.35">
      <c r="N16652" s="676"/>
    </row>
    <row r="16653" spans="14:14" x14ac:dyDescent="0.35">
      <c r="N16653" s="676"/>
    </row>
    <row r="16654" spans="14:14" x14ac:dyDescent="0.35">
      <c r="N16654" s="676"/>
    </row>
    <row r="16655" spans="14:14" x14ac:dyDescent="0.35">
      <c r="N16655" s="676"/>
    </row>
    <row r="16656" spans="14:14" x14ac:dyDescent="0.35">
      <c r="N16656" s="676"/>
    </row>
    <row r="16657" spans="14:14" x14ac:dyDescent="0.35">
      <c r="N16657" s="676"/>
    </row>
    <row r="16658" spans="14:14" x14ac:dyDescent="0.35">
      <c r="N16658" s="676"/>
    </row>
    <row r="16659" spans="14:14" x14ac:dyDescent="0.35">
      <c r="N16659" s="676"/>
    </row>
    <row r="16660" spans="14:14" x14ac:dyDescent="0.35">
      <c r="N16660" s="676"/>
    </row>
    <row r="16661" spans="14:14" x14ac:dyDescent="0.35">
      <c r="N16661" s="676"/>
    </row>
    <row r="16662" spans="14:14" x14ac:dyDescent="0.35">
      <c r="N16662" s="676"/>
    </row>
    <row r="16663" spans="14:14" x14ac:dyDescent="0.35">
      <c r="N16663" s="676"/>
    </row>
    <row r="16664" spans="14:14" x14ac:dyDescent="0.35">
      <c r="N16664" s="676"/>
    </row>
    <row r="16665" spans="14:14" x14ac:dyDescent="0.35">
      <c r="N16665" s="676"/>
    </row>
    <row r="16666" spans="14:14" x14ac:dyDescent="0.35">
      <c r="N16666" s="676"/>
    </row>
    <row r="16667" spans="14:14" x14ac:dyDescent="0.35">
      <c r="N16667" s="676"/>
    </row>
    <row r="16668" spans="14:14" x14ac:dyDescent="0.35">
      <c r="N16668" s="676"/>
    </row>
    <row r="16669" spans="14:14" x14ac:dyDescent="0.35">
      <c r="N16669" s="676"/>
    </row>
    <row r="16670" spans="14:14" x14ac:dyDescent="0.35">
      <c r="N16670" s="676"/>
    </row>
    <row r="16671" spans="14:14" x14ac:dyDescent="0.35">
      <c r="N16671" s="676"/>
    </row>
    <row r="16672" spans="14:14" x14ac:dyDescent="0.35">
      <c r="N16672" s="676"/>
    </row>
    <row r="16673" spans="14:14" x14ac:dyDescent="0.35">
      <c r="N16673" s="676"/>
    </row>
    <row r="16674" spans="14:14" x14ac:dyDescent="0.35">
      <c r="N16674" s="676"/>
    </row>
    <row r="16675" spans="14:14" x14ac:dyDescent="0.35">
      <c r="N16675" s="676"/>
    </row>
    <row r="16676" spans="14:14" x14ac:dyDescent="0.35">
      <c r="N16676" s="676"/>
    </row>
    <row r="16677" spans="14:14" x14ac:dyDescent="0.35">
      <c r="N16677" s="676"/>
    </row>
    <row r="16678" spans="14:14" x14ac:dyDescent="0.35">
      <c r="N16678" s="676"/>
    </row>
    <row r="16679" spans="14:14" x14ac:dyDescent="0.35">
      <c r="N16679" s="676"/>
    </row>
    <row r="16680" spans="14:14" x14ac:dyDescent="0.35">
      <c r="N16680" s="676"/>
    </row>
    <row r="16681" spans="14:14" x14ac:dyDescent="0.35">
      <c r="N16681" s="676"/>
    </row>
    <row r="16682" spans="14:14" x14ac:dyDescent="0.35">
      <c r="N16682" s="676"/>
    </row>
    <row r="16683" spans="14:14" x14ac:dyDescent="0.35">
      <c r="N16683" s="676"/>
    </row>
    <row r="16684" spans="14:14" x14ac:dyDescent="0.35">
      <c r="N16684" s="676"/>
    </row>
    <row r="16685" spans="14:14" x14ac:dyDescent="0.35">
      <c r="N16685" s="676"/>
    </row>
    <row r="16686" spans="14:14" x14ac:dyDescent="0.35">
      <c r="N16686" s="676"/>
    </row>
    <row r="16687" spans="14:14" x14ac:dyDescent="0.35">
      <c r="N16687" s="676"/>
    </row>
    <row r="16688" spans="14:14" x14ac:dyDescent="0.35">
      <c r="N16688" s="676"/>
    </row>
    <row r="16689" spans="14:14" x14ac:dyDescent="0.35">
      <c r="N16689" s="676"/>
    </row>
    <row r="16690" spans="14:14" x14ac:dyDescent="0.35">
      <c r="N16690" s="676"/>
    </row>
    <row r="16691" spans="14:14" x14ac:dyDescent="0.35">
      <c r="N16691" s="676"/>
    </row>
    <row r="16692" spans="14:14" x14ac:dyDescent="0.35">
      <c r="N16692" s="676"/>
    </row>
    <row r="16693" spans="14:14" x14ac:dyDescent="0.35">
      <c r="N16693" s="676"/>
    </row>
    <row r="16694" spans="14:14" x14ac:dyDescent="0.35">
      <c r="N16694" s="676"/>
    </row>
    <row r="16695" spans="14:14" x14ac:dyDescent="0.35">
      <c r="N16695" s="676"/>
    </row>
    <row r="16696" spans="14:14" x14ac:dyDescent="0.35">
      <c r="N16696" s="676"/>
    </row>
    <row r="16697" spans="14:14" x14ac:dyDescent="0.35">
      <c r="N16697" s="676"/>
    </row>
    <row r="16698" spans="14:14" x14ac:dyDescent="0.35">
      <c r="N16698" s="676"/>
    </row>
    <row r="16699" spans="14:14" x14ac:dyDescent="0.35">
      <c r="N16699" s="676"/>
    </row>
    <row r="16700" spans="14:14" x14ac:dyDescent="0.35">
      <c r="N16700" s="676"/>
    </row>
    <row r="16701" spans="14:14" x14ac:dyDescent="0.35">
      <c r="N16701" s="676"/>
    </row>
    <row r="16702" spans="14:14" x14ac:dyDescent="0.35">
      <c r="N16702" s="676"/>
    </row>
    <row r="16703" spans="14:14" x14ac:dyDescent="0.35">
      <c r="N16703" s="676"/>
    </row>
    <row r="16704" spans="14:14" x14ac:dyDescent="0.35">
      <c r="N16704" s="676"/>
    </row>
    <row r="16705" spans="14:14" x14ac:dyDescent="0.35">
      <c r="N16705" s="676"/>
    </row>
    <row r="16706" spans="14:14" x14ac:dyDescent="0.35">
      <c r="N16706" s="676"/>
    </row>
    <row r="16707" spans="14:14" x14ac:dyDescent="0.35">
      <c r="N16707" s="676"/>
    </row>
    <row r="16708" spans="14:14" x14ac:dyDescent="0.35">
      <c r="N16708" s="676"/>
    </row>
    <row r="16709" spans="14:14" x14ac:dyDescent="0.35">
      <c r="N16709" s="676"/>
    </row>
    <row r="16710" spans="14:14" x14ac:dyDescent="0.35">
      <c r="N16710" s="676"/>
    </row>
    <row r="16711" spans="14:14" x14ac:dyDescent="0.35">
      <c r="N16711" s="676"/>
    </row>
    <row r="16712" spans="14:14" x14ac:dyDescent="0.35">
      <c r="N16712" s="676"/>
    </row>
    <row r="16713" spans="14:14" x14ac:dyDescent="0.35">
      <c r="N16713" s="676"/>
    </row>
    <row r="16714" spans="14:14" x14ac:dyDescent="0.35">
      <c r="N16714" s="676"/>
    </row>
    <row r="16715" spans="14:14" x14ac:dyDescent="0.35">
      <c r="N16715" s="676"/>
    </row>
    <row r="16716" spans="14:14" x14ac:dyDescent="0.35">
      <c r="N16716" s="676"/>
    </row>
    <row r="16717" spans="14:14" x14ac:dyDescent="0.35">
      <c r="N16717" s="676"/>
    </row>
    <row r="16718" spans="14:14" x14ac:dyDescent="0.35">
      <c r="N16718" s="676"/>
    </row>
    <row r="16719" spans="14:14" x14ac:dyDescent="0.35">
      <c r="N16719" s="676"/>
    </row>
    <row r="16720" spans="14:14" x14ac:dyDescent="0.35">
      <c r="N16720" s="676"/>
    </row>
    <row r="16721" spans="14:14" x14ac:dyDescent="0.35">
      <c r="N16721" s="676"/>
    </row>
    <row r="16722" spans="14:14" x14ac:dyDescent="0.35">
      <c r="N16722" s="676"/>
    </row>
    <row r="16723" spans="14:14" x14ac:dyDescent="0.35">
      <c r="N16723" s="676"/>
    </row>
    <row r="16724" spans="14:14" x14ac:dyDescent="0.35">
      <c r="N16724" s="676"/>
    </row>
    <row r="16725" spans="14:14" x14ac:dyDescent="0.35">
      <c r="N16725" s="676"/>
    </row>
    <row r="16726" spans="14:14" x14ac:dyDescent="0.35">
      <c r="N16726" s="676"/>
    </row>
    <row r="16727" spans="14:14" x14ac:dyDescent="0.35">
      <c r="N16727" s="676"/>
    </row>
    <row r="16728" spans="14:14" x14ac:dyDescent="0.35">
      <c r="N16728" s="676"/>
    </row>
    <row r="16729" spans="14:14" x14ac:dyDescent="0.35">
      <c r="N16729" s="676"/>
    </row>
    <row r="16730" spans="14:14" x14ac:dyDescent="0.35">
      <c r="N16730" s="676"/>
    </row>
    <row r="16731" spans="14:14" x14ac:dyDescent="0.35">
      <c r="N16731" s="676"/>
    </row>
    <row r="16732" spans="14:14" x14ac:dyDescent="0.35">
      <c r="N16732" s="676"/>
    </row>
    <row r="16733" spans="14:14" x14ac:dyDescent="0.35">
      <c r="N16733" s="676"/>
    </row>
    <row r="16734" spans="14:14" x14ac:dyDescent="0.35">
      <c r="N16734" s="676"/>
    </row>
    <row r="16735" spans="14:14" x14ac:dyDescent="0.35">
      <c r="N16735" s="676"/>
    </row>
    <row r="16736" spans="14:14" x14ac:dyDescent="0.35">
      <c r="N16736" s="676"/>
    </row>
    <row r="16737" spans="14:14" x14ac:dyDescent="0.35">
      <c r="N16737" s="676"/>
    </row>
    <row r="16738" spans="14:14" x14ac:dyDescent="0.35">
      <c r="N16738" s="676"/>
    </row>
    <row r="16739" spans="14:14" x14ac:dyDescent="0.35">
      <c r="N16739" s="676"/>
    </row>
    <row r="16740" spans="14:14" x14ac:dyDescent="0.35">
      <c r="N16740" s="676"/>
    </row>
    <row r="16741" spans="14:14" x14ac:dyDescent="0.35">
      <c r="N16741" s="676"/>
    </row>
    <row r="16742" spans="14:14" x14ac:dyDescent="0.35">
      <c r="N16742" s="676"/>
    </row>
    <row r="16743" spans="14:14" x14ac:dyDescent="0.35">
      <c r="N16743" s="676"/>
    </row>
    <row r="16744" spans="14:14" x14ac:dyDescent="0.35">
      <c r="N16744" s="676"/>
    </row>
    <row r="16745" spans="14:14" x14ac:dyDescent="0.35">
      <c r="N16745" s="676"/>
    </row>
    <row r="16746" spans="14:14" x14ac:dyDescent="0.35">
      <c r="N16746" s="676"/>
    </row>
    <row r="16747" spans="14:14" x14ac:dyDescent="0.35">
      <c r="N16747" s="676"/>
    </row>
    <row r="16748" spans="14:14" x14ac:dyDescent="0.35">
      <c r="N16748" s="676"/>
    </row>
    <row r="16749" spans="14:14" x14ac:dyDescent="0.35">
      <c r="N16749" s="676"/>
    </row>
    <row r="16750" spans="14:14" x14ac:dyDescent="0.35">
      <c r="N16750" s="676"/>
    </row>
    <row r="16751" spans="14:14" x14ac:dyDescent="0.35">
      <c r="N16751" s="676"/>
    </row>
    <row r="16752" spans="14:14" x14ac:dyDescent="0.35">
      <c r="N16752" s="676"/>
    </row>
    <row r="16753" spans="14:14" x14ac:dyDescent="0.35">
      <c r="N16753" s="676"/>
    </row>
    <row r="16754" spans="14:14" x14ac:dyDescent="0.35">
      <c r="N16754" s="676"/>
    </row>
    <row r="16755" spans="14:14" x14ac:dyDescent="0.35">
      <c r="N16755" s="676"/>
    </row>
    <row r="16756" spans="14:14" x14ac:dyDescent="0.35">
      <c r="N16756" s="676"/>
    </row>
    <row r="16757" spans="14:14" x14ac:dyDescent="0.35">
      <c r="N16757" s="676"/>
    </row>
    <row r="16758" spans="14:14" x14ac:dyDescent="0.35">
      <c r="N16758" s="676"/>
    </row>
    <row r="16759" spans="14:14" x14ac:dyDescent="0.35">
      <c r="N16759" s="676"/>
    </row>
    <row r="16760" spans="14:14" x14ac:dyDescent="0.35">
      <c r="N16760" s="676"/>
    </row>
    <row r="16761" spans="14:14" x14ac:dyDescent="0.35">
      <c r="N16761" s="676"/>
    </row>
    <row r="16762" spans="14:14" x14ac:dyDescent="0.35">
      <c r="N16762" s="676"/>
    </row>
    <row r="16763" spans="14:14" x14ac:dyDescent="0.35">
      <c r="N16763" s="676"/>
    </row>
    <row r="16764" spans="14:14" x14ac:dyDescent="0.35">
      <c r="N16764" s="676"/>
    </row>
    <row r="16765" spans="14:14" x14ac:dyDescent="0.35">
      <c r="N16765" s="676"/>
    </row>
    <row r="16766" spans="14:14" x14ac:dyDescent="0.35">
      <c r="N16766" s="676"/>
    </row>
    <row r="16767" spans="14:14" x14ac:dyDescent="0.35">
      <c r="N16767" s="676"/>
    </row>
    <row r="16768" spans="14:14" x14ac:dyDescent="0.35">
      <c r="N16768" s="676"/>
    </row>
    <row r="16769" spans="14:14" x14ac:dyDescent="0.35">
      <c r="N16769" s="676"/>
    </row>
    <row r="16770" spans="14:14" x14ac:dyDescent="0.35">
      <c r="N16770" s="676"/>
    </row>
    <row r="16771" spans="14:14" x14ac:dyDescent="0.35">
      <c r="N16771" s="676"/>
    </row>
    <row r="16772" spans="14:14" x14ac:dyDescent="0.35">
      <c r="N16772" s="676"/>
    </row>
    <row r="16773" spans="14:14" x14ac:dyDescent="0.35">
      <c r="N16773" s="676"/>
    </row>
    <row r="16774" spans="14:14" x14ac:dyDescent="0.35">
      <c r="N16774" s="676"/>
    </row>
    <row r="16775" spans="14:14" x14ac:dyDescent="0.35">
      <c r="N16775" s="676"/>
    </row>
    <row r="16776" spans="14:14" x14ac:dyDescent="0.35">
      <c r="N16776" s="676"/>
    </row>
    <row r="16777" spans="14:14" x14ac:dyDescent="0.35">
      <c r="N16777" s="676"/>
    </row>
    <row r="16778" spans="14:14" x14ac:dyDescent="0.35">
      <c r="N16778" s="676"/>
    </row>
    <row r="16779" spans="14:14" x14ac:dyDescent="0.35">
      <c r="N16779" s="676"/>
    </row>
    <row r="16780" spans="14:14" x14ac:dyDescent="0.35">
      <c r="N16780" s="676"/>
    </row>
    <row r="16781" spans="14:14" x14ac:dyDescent="0.35">
      <c r="N16781" s="676"/>
    </row>
    <row r="16782" spans="14:14" x14ac:dyDescent="0.35">
      <c r="N16782" s="676"/>
    </row>
    <row r="16783" spans="14:14" x14ac:dyDescent="0.35">
      <c r="N16783" s="676"/>
    </row>
    <row r="16784" spans="14:14" x14ac:dyDescent="0.35">
      <c r="N16784" s="676"/>
    </row>
    <row r="16785" spans="14:14" x14ac:dyDescent="0.35">
      <c r="N16785" s="676"/>
    </row>
    <row r="16786" spans="14:14" x14ac:dyDescent="0.35">
      <c r="N16786" s="676"/>
    </row>
    <row r="16787" spans="14:14" x14ac:dyDescent="0.35">
      <c r="N16787" s="676"/>
    </row>
    <row r="16788" spans="14:14" x14ac:dyDescent="0.35">
      <c r="N16788" s="676"/>
    </row>
    <row r="16789" spans="14:14" x14ac:dyDescent="0.35">
      <c r="N16789" s="676"/>
    </row>
    <row r="16790" spans="14:14" x14ac:dyDescent="0.35">
      <c r="N16790" s="676"/>
    </row>
    <row r="16791" spans="14:14" x14ac:dyDescent="0.35">
      <c r="N16791" s="676"/>
    </row>
    <row r="16792" spans="14:14" x14ac:dyDescent="0.35">
      <c r="N16792" s="676"/>
    </row>
    <row r="16793" spans="14:14" x14ac:dyDescent="0.35">
      <c r="N16793" s="676"/>
    </row>
    <row r="16794" spans="14:14" x14ac:dyDescent="0.35">
      <c r="N16794" s="676"/>
    </row>
    <row r="16795" spans="14:14" x14ac:dyDescent="0.35">
      <c r="N16795" s="676"/>
    </row>
    <row r="16796" spans="14:14" x14ac:dyDescent="0.35">
      <c r="N16796" s="676"/>
    </row>
    <row r="16797" spans="14:14" x14ac:dyDescent="0.35">
      <c r="N16797" s="676"/>
    </row>
    <row r="16798" spans="14:14" x14ac:dyDescent="0.35">
      <c r="N16798" s="676"/>
    </row>
    <row r="16799" spans="14:14" x14ac:dyDescent="0.35">
      <c r="N16799" s="676"/>
    </row>
    <row r="16800" spans="14:14" x14ac:dyDescent="0.35">
      <c r="N16800" s="676"/>
    </row>
    <row r="16801" spans="14:14" x14ac:dyDescent="0.35">
      <c r="N16801" s="676"/>
    </row>
    <row r="16802" spans="14:14" x14ac:dyDescent="0.35">
      <c r="N16802" s="676"/>
    </row>
    <row r="16803" spans="14:14" x14ac:dyDescent="0.35">
      <c r="N16803" s="676"/>
    </row>
    <row r="16804" spans="14:14" x14ac:dyDescent="0.35">
      <c r="N16804" s="676"/>
    </row>
    <row r="16805" spans="14:14" x14ac:dyDescent="0.35">
      <c r="N16805" s="676"/>
    </row>
    <row r="16806" spans="14:14" x14ac:dyDescent="0.35">
      <c r="N16806" s="676"/>
    </row>
    <row r="16807" spans="14:14" x14ac:dyDescent="0.35">
      <c r="N16807" s="676"/>
    </row>
    <row r="16808" spans="14:14" x14ac:dyDescent="0.35">
      <c r="N16808" s="676"/>
    </row>
    <row r="16809" spans="14:14" x14ac:dyDescent="0.35">
      <c r="N16809" s="676"/>
    </row>
    <row r="16810" spans="14:14" x14ac:dyDescent="0.35">
      <c r="N16810" s="676"/>
    </row>
    <row r="16811" spans="14:14" x14ac:dyDescent="0.35">
      <c r="N16811" s="676"/>
    </row>
    <row r="16812" spans="14:14" x14ac:dyDescent="0.35">
      <c r="N16812" s="676"/>
    </row>
    <row r="16813" spans="14:14" x14ac:dyDescent="0.35">
      <c r="N16813" s="676"/>
    </row>
    <row r="16814" spans="14:14" x14ac:dyDescent="0.35">
      <c r="N16814" s="676"/>
    </row>
    <row r="16815" spans="14:14" x14ac:dyDescent="0.35">
      <c r="N16815" s="676"/>
    </row>
    <row r="16816" spans="14:14" x14ac:dyDescent="0.35">
      <c r="N16816" s="676"/>
    </row>
    <row r="16817" spans="14:14" x14ac:dyDescent="0.35">
      <c r="N16817" s="676"/>
    </row>
    <row r="16818" spans="14:14" x14ac:dyDescent="0.35">
      <c r="N16818" s="676"/>
    </row>
    <row r="16819" spans="14:14" x14ac:dyDescent="0.35">
      <c r="N16819" s="676"/>
    </row>
    <row r="16820" spans="14:14" x14ac:dyDescent="0.35">
      <c r="N16820" s="676"/>
    </row>
    <row r="16821" spans="14:14" x14ac:dyDescent="0.35">
      <c r="N16821" s="676"/>
    </row>
    <row r="16822" spans="14:14" x14ac:dyDescent="0.35">
      <c r="N16822" s="676"/>
    </row>
    <row r="16823" spans="14:14" x14ac:dyDescent="0.35">
      <c r="N16823" s="676"/>
    </row>
    <row r="16824" spans="14:14" x14ac:dyDescent="0.35">
      <c r="N16824" s="676"/>
    </row>
    <row r="16825" spans="14:14" x14ac:dyDescent="0.35">
      <c r="N16825" s="676"/>
    </row>
    <row r="16826" spans="14:14" x14ac:dyDescent="0.35">
      <c r="N16826" s="676"/>
    </row>
    <row r="16827" spans="14:14" x14ac:dyDescent="0.35">
      <c r="N16827" s="676"/>
    </row>
    <row r="16828" spans="14:14" x14ac:dyDescent="0.35">
      <c r="N16828" s="676"/>
    </row>
    <row r="16829" spans="14:14" x14ac:dyDescent="0.35">
      <c r="N16829" s="676"/>
    </row>
    <row r="16830" spans="14:14" x14ac:dyDescent="0.35">
      <c r="N16830" s="676"/>
    </row>
    <row r="16831" spans="14:14" x14ac:dyDescent="0.35">
      <c r="N16831" s="676"/>
    </row>
    <row r="16832" spans="14:14" x14ac:dyDescent="0.35">
      <c r="N16832" s="676"/>
    </row>
    <row r="16833" spans="14:14" x14ac:dyDescent="0.35">
      <c r="N16833" s="676"/>
    </row>
    <row r="16834" spans="14:14" x14ac:dyDescent="0.35">
      <c r="N16834" s="676"/>
    </row>
    <row r="16835" spans="14:14" x14ac:dyDescent="0.35">
      <c r="N16835" s="676"/>
    </row>
    <row r="16836" spans="14:14" x14ac:dyDescent="0.35">
      <c r="N16836" s="676"/>
    </row>
    <row r="16837" spans="14:14" x14ac:dyDescent="0.35">
      <c r="N16837" s="676"/>
    </row>
    <row r="16838" spans="14:14" x14ac:dyDescent="0.35">
      <c r="N16838" s="676"/>
    </row>
    <row r="16839" spans="14:14" x14ac:dyDescent="0.35">
      <c r="N16839" s="676"/>
    </row>
    <row r="16840" spans="14:14" x14ac:dyDescent="0.35">
      <c r="N16840" s="676"/>
    </row>
    <row r="16841" spans="14:14" x14ac:dyDescent="0.35">
      <c r="N16841" s="676"/>
    </row>
    <row r="16842" spans="14:14" x14ac:dyDescent="0.35">
      <c r="N16842" s="676"/>
    </row>
    <row r="16843" spans="14:14" x14ac:dyDescent="0.35">
      <c r="N16843" s="676"/>
    </row>
    <row r="16844" spans="14:14" x14ac:dyDescent="0.35">
      <c r="N16844" s="676"/>
    </row>
    <row r="16845" spans="14:14" x14ac:dyDescent="0.35">
      <c r="N16845" s="676"/>
    </row>
    <row r="16846" spans="14:14" x14ac:dyDescent="0.35">
      <c r="N16846" s="676"/>
    </row>
    <row r="16847" spans="14:14" x14ac:dyDescent="0.35">
      <c r="N16847" s="676"/>
    </row>
    <row r="16848" spans="14:14" x14ac:dyDescent="0.35">
      <c r="N16848" s="676"/>
    </row>
    <row r="16849" spans="14:14" x14ac:dyDescent="0.35">
      <c r="N16849" s="676"/>
    </row>
    <row r="16850" spans="14:14" x14ac:dyDescent="0.35">
      <c r="N16850" s="676"/>
    </row>
    <row r="16851" spans="14:14" x14ac:dyDescent="0.35">
      <c r="N16851" s="676"/>
    </row>
    <row r="16852" spans="14:14" x14ac:dyDescent="0.35">
      <c r="N16852" s="676"/>
    </row>
    <row r="16853" spans="14:14" x14ac:dyDescent="0.35">
      <c r="N16853" s="676"/>
    </row>
    <row r="16854" spans="14:14" x14ac:dyDescent="0.35">
      <c r="N16854" s="676"/>
    </row>
    <row r="16855" spans="14:14" x14ac:dyDescent="0.35">
      <c r="N16855" s="676"/>
    </row>
    <row r="16856" spans="14:14" x14ac:dyDescent="0.35">
      <c r="N16856" s="676"/>
    </row>
    <row r="16857" spans="14:14" x14ac:dyDescent="0.35">
      <c r="N16857" s="676"/>
    </row>
    <row r="16858" spans="14:14" x14ac:dyDescent="0.35">
      <c r="N16858" s="676"/>
    </row>
    <row r="16859" spans="14:14" x14ac:dyDescent="0.35">
      <c r="N16859" s="676"/>
    </row>
    <row r="16860" spans="14:14" x14ac:dyDescent="0.35">
      <c r="N16860" s="676"/>
    </row>
    <row r="16861" spans="14:14" x14ac:dyDescent="0.35">
      <c r="N16861" s="676"/>
    </row>
    <row r="16862" spans="14:14" x14ac:dyDescent="0.35">
      <c r="N16862" s="676"/>
    </row>
    <row r="16863" spans="14:14" x14ac:dyDescent="0.35">
      <c r="N16863" s="676"/>
    </row>
    <row r="16864" spans="14:14" x14ac:dyDescent="0.35">
      <c r="N16864" s="676"/>
    </row>
    <row r="16865" spans="14:14" x14ac:dyDescent="0.35">
      <c r="N16865" s="676"/>
    </row>
    <row r="16866" spans="14:14" x14ac:dyDescent="0.35">
      <c r="N16866" s="676"/>
    </row>
    <row r="16867" spans="14:14" x14ac:dyDescent="0.35">
      <c r="N16867" s="676"/>
    </row>
    <row r="16868" spans="14:14" x14ac:dyDescent="0.35">
      <c r="N16868" s="676"/>
    </row>
    <row r="16869" spans="14:14" x14ac:dyDescent="0.35">
      <c r="N16869" s="676"/>
    </row>
    <row r="16870" spans="14:14" x14ac:dyDescent="0.35">
      <c r="N16870" s="676"/>
    </row>
    <row r="16871" spans="14:14" x14ac:dyDescent="0.35">
      <c r="N16871" s="676"/>
    </row>
    <row r="16872" spans="14:14" x14ac:dyDescent="0.35">
      <c r="N16872" s="676"/>
    </row>
    <row r="16873" spans="14:14" x14ac:dyDescent="0.35">
      <c r="N16873" s="676"/>
    </row>
    <row r="16874" spans="14:14" x14ac:dyDescent="0.35">
      <c r="N16874" s="676"/>
    </row>
    <row r="16875" spans="14:14" x14ac:dyDescent="0.35">
      <c r="N16875" s="676"/>
    </row>
    <row r="16876" spans="14:14" x14ac:dyDescent="0.35">
      <c r="N16876" s="676"/>
    </row>
    <row r="16877" spans="14:14" x14ac:dyDescent="0.35">
      <c r="N16877" s="676"/>
    </row>
    <row r="16878" spans="14:14" x14ac:dyDescent="0.35">
      <c r="N16878" s="676"/>
    </row>
    <row r="16879" spans="14:14" x14ac:dyDescent="0.35">
      <c r="N16879" s="676"/>
    </row>
    <row r="16880" spans="14:14" x14ac:dyDescent="0.35">
      <c r="N16880" s="676"/>
    </row>
    <row r="16881" spans="14:14" x14ac:dyDescent="0.35">
      <c r="N16881" s="676"/>
    </row>
    <row r="16882" spans="14:14" x14ac:dyDescent="0.35">
      <c r="N16882" s="676"/>
    </row>
    <row r="16883" spans="14:14" x14ac:dyDescent="0.35">
      <c r="N16883" s="676"/>
    </row>
    <row r="16884" spans="14:14" x14ac:dyDescent="0.35">
      <c r="N16884" s="676"/>
    </row>
    <row r="16885" spans="14:14" x14ac:dyDescent="0.35">
      <c r="N16885" s="676"/>
    </row>
    <row r="16886" spans="14:14" x14ac:dyDescent="0.35">
      <c r="N16886" s="676"/>
    </row>
    <row r="16887" spans="14:14" x14ac:dyDescent="0.35">
      <c r="N16887" s="676"/>
    </row>
    <row r="16888" spans="14:14" x14ac:dyDescent="0.35">
      <c r="N16888" s="676"/>
    </row>
    <row r="16889" spans="14:14" x14ac:dyDescent="0.35">
      <c r="N16889" s="676"/>
    </row>
    <row r="16890" spans="14:14" x14ac:dyDescent="0.35">
      <c r="N16890" s="676"/>
    </row>
    <row r="16891" spans="14:14" x14ac:dyDescent="0.35">
      <c r="N16891" s="676"/>
    </row>
    <row r="16892" spans="14:14" x14ac:dyDescent="0.35">
      <c r="N16892" s="676"/>
    </row>
    <row r="16893" spans="14:14" x14ac:dyDescent="0.35">
      <c r="N16893" s="676"/>
    </row>
    <row r="16894" spans="14:14" x14ac:dyDescent="0.35">
      <c r="N16894" s="676"/>
    </row>
    <row r="16895" spans="14:14" x14ac:dyDescent="0.35">
      <c r="N16895" s="676"/>
    </row>
    <row r="16896" spans="14:14" x14ac:dyDescent="0.35">
      <c r="N16896" s="676"/>
    </row>
    <row r="16897" spans="14:14" x14ac:dyDescent="0.35">
      <c r="N16897" s="676"/>
    </row>
    <row r="16898" spans="14:14" x14ac:dyDescent="0.35">
      <c r="N16898" s="676"/>
    </row>
    <row r="16899" spans="14:14" x14ac:dyDescent="0.35">
      <c r="N16899" s="676"/>
    </row>
    <row r="16900" spans="14:14" x14ac:dyDescent="0.35">
      <c r="N16900" s="676"/>
    </row>
    <row r="16901" spans="14:14" x14ac:dyDescent="0.35">
      <c r="N16901" s="676"/>
    </row>
    <row r="16902" spans="14:14" x14ac:dyDescent="0.35">
      <c r="N16902" s="676"/>
    </row>
    <row r="16903" spans="14:14" x14ac:dyDescent="0.35">
      <c r="N16903" s="676"/>
    </row>
    <row r="16904" spans="14:14" x14ac:dyDescent="0.35">
      <c r="N16904" s="676"/>
    </row>
    <row r="16905" spans="14:14" x14ac:dyDescent="0.35">
      <c r="N16905" s="676"/>
    </row>
    <row r="16906" spans="14:14" x14ac:dyDescent="0.35">
      <c r="N16906" s="676"/>
    </row>
    <row r="16907" spans="14:14" x14ac:dyDescent="0.35">
      <c r="N16907" s="676"/>
    </row>
    <row r="16908" spans="14:14" x14ac:dyDescent="0.35">
      <c r="N16908" s="676"/>
    </row>
    <row r="16909" spans="14:14" x14ac:dyDescent="0.35">
      <c r="N16909" s="676"/>
    </row>
    <row r="16910" spans="14:14" x14ac:dyDescent="0.35">
      <c r="N16910" s="676"/>
    </row>
    <row r="16911" spans="14:14" x14ac:dyDescent="0.35">
      <c r="N16911" s="676"/>
    </row>
    <row r="16912" spans="14:14" x14ac:dyDescent="0.35">
      <c r="N16912" s="676"/>
    </row>
    <row r="16913" spans="14:14" x14ac:dyDescent="0.35">
      <c r="N16913" s="676"/>
    </row>
    <row r="16914" spans="14:14" x14ac:dyDescent="0.35">
      <c r="N16914" s="676"/>
    </row>
    <row r="16915" spans="14:14" x14ac:dyDescent="0.35">
      <c r="N16915" s="676"/>
    </row>
    <row r="16916" spans="14:14" x14ac:dyDescent="0.35">
      <c r="N16916" s="676"/>
    </row>
    <row r="16917" spans="14:14" x14ac:dyDescent="0.35">
      <c r="N16917" s="676"/>
    </row>
    <row r="16918" spans="14:14" x14ac:dyDescent="0.35">
      <c r="N16918" s="676"/>
    </row>
    <row r="16919" spans="14:14" x14ac:dyDescent="0.35">
      <c r="N16919" s="676"/>
    </row>
    <row r="16920" spans="14:14" x14ac:dyDescent="0.35">
      <c r="N16920" s="676"/>
    </row>
    <row r="16921" spans="14:14" x14ac:dyDescent="0.35">
      <c r="N16921" s="676"/>
    </row>
    <row r="16922" spans="14:14" x14ac:dyDescent="0.35">
      <c r="N16922" s="676"/>
    </row>
    <row r="16923" spans="14:14" x14ac:dyDescent="0.35">
      <c r="N16923" s="676"/>
    </row>
    <row r="16924" spans="14:14" x14ac:dyDescent="0.35">
      <c r="N16924" s="676"/>
    </row>
    <row r="16925" spans="14:14" x14ac:dyDescent="0.35">
      <c r="N16925" s="676"/>
    </row>
    <row r="16926" spans="14:14" x14ac:dyDescent="0.35">
      <c r="N16926" s="676"/>
    </row>
    <row r="16927" spans="14:14" x14ac:dyDescent="0.35">
      <c r="N16927" s="676"/>
    </row>
    <row r="16928" spans="14:14" x14ac:dyDescent="0.35">
      <c r="N16928" s="676"/>
    </row>
    <row r="16929" spans="14:14" x14ac:dyDescent="0.35">
      <c r="N16929" s="676"/>
    </row>
    <row r="16930" spans="14:14" x14ac:dyDescent="0.35">
      <c r="N16930" s="676"/>
    </row>
    <row r="16931" spans="14:14" x14ac:dyDescent="0.35">
      <c r="N16931" s="676"/>
    </row>
    <row r="16932" spans="14:14" x14ac:dyDescent="0.35">
      <c r="N16932" s="676"/>
    </row>
    <row r="16933" spans="14:14" x14ac:dyDescent="0.35">
      <c r="N16933" s="676"/>
    </row>
    <row r="16934" spans="14:14" x14ac:dyDescent="0.35">
      <c r="N16934" s="676"/>
    </row>
    <row r="16935" spans="14:14" x14ac:dyDescent="0.35">
      <c r="N16935" s="676"/>
    </row>
    <row r="16936" spans="14:14" x14ac:dyDescent="0.35">
      <c r="N16936" s="676"/>
    </row>
    <row r="16937" spans="14:14" x14ac:dyDescent="0.35">
      <c r="N16937" s="676"/>
    </row>
    <row r="16938" spans="14:14" x14ac:dyDescent="0.35">
      <c r="N16938" s="676"/>
    </row>
    <row r="16939" spans="14:14" x14ac:dyDescent="0.35">
      <c r="N16939" s="676"/>
    </row>
    <row r="16940" spans="14:14" x14ac:dyDescent="0.35">
      <c r="N16940" s="676"/>
    </row>
    <row r="16941" spans="14:14" x14ac:dyDescent="0.35">
      <c r="N16941" s="676"/>
    </row>
    <row r="16942" spans="14:14" x14ac:dyDescent="0.35">
      <c r="N16942" s="676"/>
    </row>
    <row r="16943" spans="14:14" x14ac:dyDescent="0.35">
      <c r="N16943" s="676"/>
    </row>
    <row r="16944" spans="14:14" x14ac:dyDescent="0.35">
      <c r="N16944" s="676"/>
    </row>
    <row r="16945" spans="14:14" x14ac:dyDescent="0.35">
      <c r="N16945" s="676"/>
    </row>
    <row r="16946" spans="14:14" x14ac:dyDescent="0.35">
      <c r="N16946" s="676"/>
    </row>
    <row r="16947" spans="14:14" x14ac:dyDescent="0.35">
      <c r="N16947" s="676"/>
    </row>
    <row r="16948" spans="14:14" x14ac:dyDescent="0.35">
      <c r="N16948" s="676"/>
    </row>
    <row r="16949" spans="14:14" x14ac:dyDescent="0.35">
      <c r="N16949" s="676"/>
    </row>
    <row r="16950" spans="14:14" x14ac:dyDescent="0.35">
      <c r="N16950" s="676"/>
    </row>
    <row r="16951" spans="14:14" x14ac:dyDescent="0.35">
      <c r="N16951" s="676"/>
    </row>
    <row r="16952" spans="14:14" x14ac:dyDescent="0.35">
      <c r="N16952" s="676"/>
    </row>
    <row r="16953" spans="14:14" x14ac:dyDescent="0.35">
      <c r="N16953" s="676"/>
    </row>
    <row r="16954" spans="14:14" x14ac:dyDescent="0.35">
      <c r="N16954" s="676"/>
    </row>
    <row r="16955" spans="14:14" x14ac:dyDescent="0.35">
      <c r="N16955" s="676"/>
    </row>
    <row r="16956" spans="14:14" x14ac:dyDescent="0.35">
      <c r="N16956" s="676"/>
    </row>
    <row r="16957" spans="14:14" x14ac:dyDescent="0.35">
      <c r="N16957" s="676"/>
    </row>
    <row r="16958" spans="14:14" x14ac:dyDescent="0.35">
      <c r="N16958" s="676"/>
    </row>
    <row r="16959" spans="14:14" x14ac:dyDescent="0.35">
      <c r="N16959" s="676"/>
    </row>
    <row r="16960" spans="14:14" x14ac:dyDescent="0.35">
      <c r="N16960" s="676"/>
    </row>
    <row r="16961" spans="14:14" x14ac:dyDescent="0.35">
      <c r="N16961" s="676"/>
    </row>
    <row r="16962" spans="14:14" x14ac:dyDescent="0.35">
      <c r="N16962" s="676"/>
    </row>
    <row r="16963" spans="14:14" x14ac:dyDescent="0.35">
      <c r="N16963" s="676"/>
    </row>
    <row r="16964" spans="14:14" x14ac:dyDescent="0.35">
      <c r="N16964" s="676"/>
    </row>
    <row r="16965" spans="14:14" x14ac:dyDescent="0.35">
      <c r="N16965" s="676"/>
    </row>
    <row r="16966" spans="14:14" x14ac:dyDescent="0.35">
      <c r="N16966" s="676"/>
    </row>
    <row r="16967" spans="14:14" x14ac:dyDescent="0.35">
      <c r="N16967" s="676"/>
    </row>
    <row r="16968" spans="14:14" x14ac:dyDescent="0.35">
      <c r="N16968" s="676"/>
    </row>
    <row r="16969" spans="14:14" x14ac:dyDescent="0.35">
      <c r="N16969" s="676"/>
    </row>
    <row r="16970" spans="14:14" x14ac:dyDescent="0.35">
      <c r="N16970" s="676"/>
    </row>
    <row r="16971" spans="14:14" x14ac:dyDescent="0.35">
      <c r="N16971" s="676"/>
    </row>
    <row r="16972" spans="14:14" x14ac:dyDescent="0.35">
      <c r="N16972" s="676"/>
    </row>
    <row r="16973" spans="14:14" x14ac:dyDescent="0.35">
      <c r="N16973" s="676"/>
    </row>
    <row r="16974" spans="14:14" x14ac:dyDescent="0.35">
      <c r="N16974" s="676"/>
    </row>
    <row r="16975" spans="14:14" x14ac:dyDescent="0.35">
      <c r="N16975" s="676"/>
    </row>
    <row r="16976" spans="14:14" x14ac:dyDescent="0.35">
      <c r="N16976" s="676"/>
    </row>
    <row r="16977" spans="14:14" x14ac:dyDescent="0.35">
      <c r="N16977" s="676"/>
    </row>
    <row r="16978" spans="14:14" x14ac:dyDescent="0.35">
      <c r="N16978" s="676"/>
    </row>
    <row r="16979" spans="14:14" x14ac:dyDescent="0.35">
      <c r="N16979" s="676"/>
    </row>
    <row r="16980" spans="14:14" x14ac:dyDescent="0.35">
      <c r="N16980" s="676"/>
    </row>
    <row r="16981" spans="14:14" x14ac:dyDescent="0.35">
      <c r="N16981" s="676"/>
    </row>
    <row r="16982" spans="14:14" x14ac:dyDescent="0.35">
      <c r="N16982" s="676"/>
    </row>
    <row r="16983" spans="14:14" x14ac:dyDescent="0.35">
      <c r="N16983" s="676"/>
    </row>
    <row r="16984" spans="14:14" x14ac:dyDescent="0.35">
      <c r="N16984" s="676"/>
    </row>
    <row r="16985" spans="14:14" x14ac:dyDescent="0.35">
      <c r="N16985" s="676"/>
    </row>
    <row r="16986" spans="14:14" x14ac:dyDescent="0.35">
      <c r="N16986" s="676"/>
    </row>
    <row r="16987" spans="14:14" x14ac:dyDescent="0.35">
      <c r="N16987" s="676"/>
    </row>
    <row r="16988" spans="14:14" x14ac:dyDescent="0.35">
      <c r="N16988" s="676"/>
    </row>
    <row r="16989" spans="14:14" x14ac:dyDescent="0.35">
      <c r="N16989" s="676"/>
    </row>
    <row r="16990" spans="14:14" x14ac:dyDescent="0.35">
      <c r="N16990" s="676"/>
    </row>
    <row r="16991" spans="14:14" x14ac:dyDescent="0.35">
      <c r="N16991" s="676"/>
    </row>
    <row r="16992" spans="14:14" x14ac:dyDescent="0.35">
      <c r="N16992" s="676"/>
    </row>
    <row r="16993" spans="14:14" x14ac:dyDescent="0.35">
      <c r="N16993" s="676"/>
    </row>
    <row r="16994" spans="14:14" x14ac:dyDescent="0.35">
      <c r="N16994" s="676"/>
    </row>
    <row r="16995" spans="14:14" x14ac:dyDescent="0.35">
      <c r="N16995" s="676"/>
    </row>
    <row r="16996" spans="14:14" x14ac:dyDescent="0.35">
      <c r="N16996" s="676"/>
    </row>
    <row r="16997" spans="14:14" x14ac:dyDescent="0.35">
      <c r="N16997" s="676"/>
    </row>
    <row r="16998" spans="14:14" x14ac:dyDescent="0.35">
      <c r="N16998" s="676"/>
    </row>
    <row r="16999" spans="14:14" x14ac:dyDescent="0.35">
      <c r="N16999" s="676"/>
    </row>
    <row r="17000" spans="14:14" x14ac:dyDescent="0.35">
      <c r="N17000" s="676"/>
    </row>
    <row r="17001" spans="14:14" x14ac:dyDescent="0.35">
      <c r="N17001" s="676"/>
    </row>
    <row r="17002" spans="14:14" x14ac:dyDescent="0.35">
      <c r="N17002" s="676"/>
    </row>
    <row r="17003" spans="14:14" x14ac:dyDescent="0.35">
      <c r="N17003" s="676"/>
    </row>
    <row r="17004" spans="14:14" x14ac:dyDescent="0.35">
      <c r="N17004" s="676"/>
    </row>
    <row r="17005" spans="14:14" x14ac:dyDescent="0.35">
      <c r="N17005" s="676"/>
    </row>
    <row r="17006" spans="14:14" x14ac:dyDescent="0.35">
      <c r="N17006" s="676"/>
    </row>
    <row r="17007" spans="14:14" x14ac:dyDescent="0.35">
      <c r="N17007" s="676"/>
    </row>
    <row r="17008" spans="14:14" x14ac:dyDescent="0.35">
      <c r="N17008" s="676"/>
    </row>
    <row r="17009" spans="14:14" x14ac:dyDescent="0.35">
      <c r="N17009" s="676"/>
    </row>
    <row r="17010" spans="14:14" x14ac:dyDescent="0.35">
      <c r="N17010" s="676"/>
    </row>
    <row r="17011" spans="14:14" x14ac:dyDescent="0.35">
      <c r="N17011" s="676"/>
    </row>
    <row r="17012" spans="14:14" x14ac:dyDescent="0.35">
      <c r="N17012" s="676"/>
    </row>
    <row r="17013" spans="14:14" x14ac:dyDescent="0.35">
      <c r="N17013" s="676"/>
    </row>
    <row r="17014" spans="14:14" x14ac:dyDescent="0.35">
      <c r="N17014" s="676"/>
    </row>
    <row r="17015" spans="14:14" x14ac:dyDescent="0.35">
      <c r="N17015" s="676"/>
    </row>
    <row r="17016" spans="14:14" x14ac:dyDescent="0.35">
      <c r="N17016" s="676"/>
    </row>
    <row r="17017" spans="14:14" x14ac:dyDescent="0.35">
      <c r="N17017" s="676"/>
    </row>
    <row r="17018" spans="14:14" x14ac:dyDescent="0.35">
      <c r="N17018" s="676"/>
    </row>
    <row r="17019" spans="14:14" x14ac:dyDescent="0.35">
      <c r="N17019" s="676"/>
    </row>
    <row r="17020" spans="14:14" x14ac:dyDescent="0.35">
      <c r="N17020" s="676"/>
    </row>
    <row r="17021" spans="14:14" x14ac:dyDescent="0.35">
      <c r="N17021" s="676"/>
    </row>
    <row r="17022" spans="14:14" x14ac:dyDescent="0.35">
      <c r="N17022" s="676"/>
    </row>
    <row r="17023" spans="14:14" x14ac:dyDescent="0.35">
      <c r="N17023" s="676"/>
    </row>
    <row r="17024" spans="14:14" x14ac:dyDescent="0.35">
      <c r="N17024" s="676"/>
    </row>
    <row r="17025" spans="14:14" x14ac:dyDescent="0.35">
      <c r="N17025" s="676"/>
    </row>
    <row r="17026" spans="14:14" x14ac:dyDescent="0.35">
      <c r="N17026" s="676"/>
    </row>
    <row r="17027" spans="14:14" x14ac:dyDescent="0.35">
      <c r="N17027" s="676"/>
    </row>
    <row r="17028" spans="14:14" x14ac:dyDescent="0.35">
      <c r="N17028" s="676"/>
    </row>
    <row r="17029" spans="14:14" x14ac:dyDescent="0.35">
      <c r="N17029" s="676"/>
    </row>
    <row r="17030" spans="14:14" x14ac:dyDescent="0.35">
      <c r="N17030" s="676"/>
    </row>
    <row r="17031" spans="14:14" x14ac:dyDescent="0.35">
      <c r="N17031" s="676"/>
    </row>
    <row r="17032" spans="14:14" x14ac:dyDescent="0.35">
      <c r="N17032" s="676"/>
    </row>
    <row r="17033" spans="14:14" x14ac:dyDescent="0.35">
      <c r="N17033" s="676"/>
    </row>
    <row r="17034" spans="14:14" x14ac:dyDescent="0.35">
      <c r="N17034" s="676"/>
    </row>
    <row r="17035" spans="14:14" x14ac:dyDescent="0.35">
      <c r="N17035" s="676"/>
    </row>
    <row r="17036" spans="14:14" x14ac:dyDescent="0.35">
      <c r="N17036" s="676"/>
    </row>
    <row r="17037" spans="14:14" x14ac:dyDescent="0.35">
      <c r="N17037" s="676"/>
    </row>
    <row r="17038" spans="14:14" x14ac:dyDescent="0.35">
      <c r="N17038" s="676"/>
    </row>
    <row r="17039" spans="14:14" x14ac:dyDescent="0.35">
      <c r="N17039" s="676"/>
    </row>
    <row r="17040" spans="14:14" x14ac:dyDescent="0.35">
      <c r="N17040" s="676"/>
    </row>
    <row r="17041" spans="14:14" x14ac:dyDescent="0.35">
      <c r="N17041" s="676"/>
    </row>
    <row r="17042" spans="14:14" x14ac:dyDescent="0.35">
      <c r="N17042" s="676"/>
    </row>
    <row r="17043" spans="14:14" x14ac:dyDescent="0.35">
      <c r="N17043" s="676"/>
    </row>
    <row r="17044" spans="14:14" x14ac:dyDescent="0.35">
      <c r="N17044" s="676"/>
    </row>
    <row r="17045" spans="14:14" x14ac:dyDescent="0.35">
      <c r="N17045" s="676"/>
    </row>
    <row r="17046" spans="14:14" x14ac:dyDescent="0.35">
      <c r="N17046" s="676"/>
    </row>
    <row r="17047" spans="14:14" x14ac:dyDescent="0.35">
      <c r="N17047" s="676"/>
    </row>
    <row r="17048" spans="14:14" x14ac:dyDescent="0.35">
      <c r="N17048" s="676"/>
    </row>
    <row r="17049" spans="14:14" x14ac:dyDescent="0.35">
      <c r="N17049" s="676"/>
    </row>
    <row r="17050" spans="14:14" x14ac:dyDescent="0.35">
      <c r="N17050" s="676"/>
    </row>
    <row r="17051" spans="14:14" x14ac:dyDescent="0.35">
      <c r="N17051" s="676"/>
    </row>
    <row r="17052" spans="14:14" x14ac:dyDescent="0.35">
      <c r="N17052" s="676"/>
    </row>
    <row r="17053" spans="14:14" x14ac:dyDescent="0.35">
      <c r="N17053" s="676"/>
    </row>
    <row r="17054" spans="14:14" x14ac:dyDescent="0.35">
      <c r="N17054" s="676"/>
    </row>
    <row r="17055" spans="14:14" x14ac:dyDescent="0.35">
      <c r="N17055" s="676"/>
    </row>
    <row r="17056" spans="14:14" x14ac:dyDescent="0.35">
      <c r="N17056" s="676"/>
    </row>
    <row r="17057" spans="14:14" x14ac:dyDescent="0.35">
      <c r="N17057" s="676"/>
    </row>
    <row r="17058" spans="14:14" x14ac:dyDescent="0.35">
      <c r="N17058" s="676"/>
    </row>
    <row r="17059" spans="14:14" x14ac:dyDescent="0.35">
      <c r="N17059" s="676"/>
    </row>
    <row r="17060" spans="14:14" x14ac:dyDescent="0.35">
      <c r="N17060" s="676"/>
    </row>
    <row r="17061" spans="14:14" x14ac:dyDescent="0.35">
      <c r="N17061" s="676"/>
    </row>
    <row r="17062" spans="14:14" x14ac:dyDescent="0.35">
      <c r="N17062" s="676"/>
    </row>
    <row r="17063" spans="14:14" x14ac:dyDescent="0.35">
      <c r="N17063" s="676"/>
    </row>
    <row r="17064" spans="14:14" x14ac:dyDescent="0.35">
      <c r="N17064" s="676"/>
    </row>
    <row r="17065" spans="14:14" x14ac:dyDescent="0.35">
      <c r="N17065" s="676"/>
    </row>
    <row r="17066" spans="14:14" x14ac:dyDescent="0.35">
      <c r="N17066" s="676"/>
    </row>
    <row r="17067" spans="14:14" x14ac:dyDescent="0.35">
      <c r="N17067" s="676"/>
    </row>
    <row r="17068" spans="14:14" x14ac:dyDescent="0.35">
      <c r="N17068" s="676"/>
    </row>
    <row r="17069" spans="14:14" x14ac:dyDescent="0.35">
      <c r="N17069" s="676"/>
    </row>
    <row r="17070" spans="14:14" x14ac:dyDescent="0.35">
      <c r="N17070" s="676"/>
    </row>
    <row r="17071" spans="14:14" x14ac:dyDescent="0.35">
      <c r="N17071" s="676"/>
    </row>
    <row r="17072" spans="14:14" x14ac:dyDescent="0.35">
      <c r="N17072" s="676"/>
    </row>
    <row r="17073" spans="14:14" x14ac:dyDescent="0.35">
      <c r="N17073" s="676"/>
    </row>
    <row r="17074" spans="14:14" x14ac:dyDescent="0.35">
      <c r="N17074" s="676"/>
    </row>
    <row r="17075" spans="14:14" x14ac:dyDescent="0.35">
      <c r="N17075" s="676"/>
    </row>
    <row r="17076" spans="14:14" x14ac:dyDescent="0.35">
      <c r="N17076" s="676"/>
    </row>
    <row r="17077" spans="14:14" x14ac:dyDescent="0.35">
      <c r="N17077" s="676"/>
    </row>
    <row r="17078" spans="14:14" x14ac:dyDescent="0.35">
      <c r="N17078" s="676"/>
    </row>
    <row r="17079" spans="14:14" x14ac:dyDescent="0.35">
      <c r="N17079" s="676"/>
    </row>
    <row r="17080" spans="14:14" x14ac:dyDescent="0.35">
      <c r="N17080" s="676"/>
    </row>
    <row r="17081" spans="14:14" x14ac:dyDescent="0.35">
      <c r="N17081" s="676"/>
    </row>
    <row r="17082" spans="14:14" x14ac:dyDescent="0.35">
      <c r="N17082" s="676"/>
    </row>
    <row r="17083" spans="14:14" x14ac:dyDescent="0.35">
      <c r="N17083" s="676"/>
    </row>
    <row r="17084" spans="14:14" x14ac:dyDescent="0.35">
      <c r="N17084" s="676"/>
    </row>
    <row r="17085" spans="14:14" x14ac:dyDescent="0.35">
      <c r="N17085" s="676"/>
    </row>
    <row r="17086" spans="14:14" x14ac:dyDescent="0.35">
      <c r="N17086" s="676"/>
    </row>
    <row r="17087" spans="14:14" x14ac:dyDescent="0.35">
      <c r="N17087" s="676"/>
    </row>
    <row r="17088" spans="14:14" x14ac:dyDescent="0.35">
      <c r="N17088" s="676"/>
    </row>
    <row r="17089" spans="14:14" x14ac:dyDescent="0.35">
      <c r="N17089" s="676"/>
    </row>
    <row r="17090" spans="14:14" x14ac:dyDescent="0.35">
      <c r="N17090" s="676"/>
    </row>
    <row r="17091" spans="14:14" x14ac:dyDescent="0.35">
      <c r="N17091" s="676"/>
    </row>
    <row r="17092" spans="14:14" x14ac:dyDescent="0.35">
      <c r="N17092" s="676"/>
    </row>
    <row r="17093" spans="14:14" x14ac:dyDescent="0.35">
      <c r="N17093" s="676"/>
    </row>
    <row r="17094" spans="14:14" x14ac:dyDescent="0.35">
      <c r="N17094" s="676"/>
    </row>
    <row r="17095" spans="14:14" x14ac:dyDescent="0.35">
      <c r="N17095" s="676"/>
    </row>
    <row r="17096" spans="14:14" x14ac:dyDescent="0.35">
      <c r="N17096" s="676"/>
    </row>
    <row r="17097" spans="14:14" x14ac:dyDescent="0.35">
      <c r="N17097" s="676"/>
    </row>
    <row r="17098" spans="14:14" x14ac:dyDescent="0.35">
      <c r="N17098" s="676"/>
    </row>
    <row r="17099" spans="14:14" x14ac:dyDescent="0.35">
      <c r="N17099" s="676"/>
    </row>
    <row r="17100" spans="14:14" x14ac:dyDescent="0.35">
      <c r="N17100" s="676"/>
    </row>
    <row r="17101" spans="14:14" x14ac:dyDescent="0.35">
      <c r="N17101" s="676"/>
    </row>
    <row r="17102" spans="14:14" x14ac:dyDescent="0.35">
      <c r="N17102" s="676"/>
    </row>
    <row r="17103" spans="14:14" x14ac:dyDescent="0.35">
      <c r="N17103" s="676"/>
    </row>
    <row r="17104" spans="14:14" x14ac:dyDescent="0.35">
      <c r="N17104" s="676"/>
    </row>
    <row r="17105" spans="14:14" x14ac:dyDescent="0.35">
      <c r="N17105" s="676"/>
    </row>
    <row r="17106" spans="14:14" x14ac:dyDescent="0.35">
      <c r="N17106" s="676"/>
    </row>
    <row r="17107" spans="14:14" x14ac:dyDescent="0.35">
      <c r="N17107" s="676"/>
    </row>
    <row r="17108" spans="14:14" x14ac:dyDescent="0.35">
      <c r="N17108" s="676"/>
    </row>
    <row r="17109" spans="14:14" x14ac:dyDescent="0.35">
      <c r="N17109" s="676"/>
    </row>
    <row r="17110" spans="14:14" x14ac:dyDescent="0.35">
      <c r="N17110" s="676"/>
    </row>
    <row r="17111" spans="14:14" x14ac:dyDescent="0.35">
      <c r="N17111" s="676"/>
    </row>
    <row r="17112" spans="14:14" x14ac:dyDescent="0.35">
      <c r="N17112" s="676"/>
    </row>
    <row r="17113" spans="14:14" x14ac:dyDescent="0.35">
      <c r="N17113" s="676"/>
    </row>
    <row r="17114" spans="14:14" x14ac:dyDescent="0.35">
      <c r="N17114" s="676"/>
    </row>
    <row r="17115" spans="14:14" x14ac:dyDescent="0.35">
      <c r="N17115" s="676"/>
    </row>
    <row r="17116" spans="14:14" x14ac:dyDescent="0.35">
      <c r="N17116" s="676"/>
    </row>
    <row r="17117" spans="14:14" x14ac:dyDescent="0.35">
      <c r="N17117" s="676"/>
    </row>
    <row r="17118" spans="14:14" x14ac:dyDescent="0.35">
      <c r="N17118" s="676"/>
    </row>
    <row r="17119" spans="14:14" x14ac:dyDescent="0.35">
      <c r="N17119" s="676"/>
    </row>
    <row r="17120" spans="14:14" x14ac:dyDescent="0.35">
      <c r="N17120" s="676"/>
    </row>
    <row r="17121" spans="14:14" x14ac:dyDescent="0.35">
      <c r="N17121" s="676"/>
    </row>
    <row r="17122" spans="14:14" x14ac:dyDescent="0.35">
      <c r="N17122" s="676"/>
    </row>
    <row r="17123" spans="14:14" x14ac:dyDescent="0.35">
      <c r="N17123" s="676"/>
    </row>
    <row r="17124" spans="14:14" x14ac:dyDescent="0.35">
      <c r="N17124" s="676"/>
    </row>
    <row r="17125" spans="14:14" x14ac:dyDescent="0.35">
      <c r="N17125" s="676"/>
    </row>
    <row r="17126" spans="14:14" x14ac:dyDescent="0.35">
      <c r="N17126" s="676"/>
    </row>
    <row r="17127" spans="14:14" x14ac:dyDescent="0.35">
      <c r="N17127" s="676"/>
    </row>
    <row r="17128" spans="14:14" x14ac:dyDescent="0.35">
      <c r="N17128" s="676"/>
    </row>
    <row r="17129" spans="14:14" x14ac:dyDescent="0.35">
      <c r="N17129" s="676"/>
    </row>
    <row r="17130" spans="14:14" x14ac:dyDescent="0.35">
      <c r="N17130" s="676"/>
    </row>
    <row r="17131" spans="14:14" x14ac:dyDescent="0.35">
      <c r="N17131" s="676"/>
    </row>
    <row r="17132" spans="14:14" x14ac:dyDescent="0.35">
      <c r="N17132" s="676"/>
    </row>
    <row r="17133" spans="14:14" x14ac:dyDescent="0.35">
      <c r="N17133" s="676"/>
    </row>
    <row r="17134" spans="14:14" x14ac:dyDescent="0.35">
      <c r="N17134" s="676"/>
    </row>
    <row r="17135" spans="14:14" x14ac:dyDescent="0.35">
      <c r="N17135" s="676"/>
    </row>
    <row r="17136" spans="14:14" x14ac:dyDescent="0.35">
      <c r="N17136" s="676"/>
    </row>
    <row r="17137" spans="14:14" x14ac:dyDescent="0.35">
      <c r="N17137" s="676"/>
    </row>
    <row r="17138" spans="14:14" x14ac:dyDescent="0.35">
      <c r="N17138" s="676"/>
    </row>
    <row r="17139" spans="14:14" x14ac:dyDescent="0.35">
      <c r="N17139" s="676"/>
    </row>
    <row r="17140" spans="14:14" x14ac:dyDescent="0.35">
      <c r="N17140" s="676"/>
    </row>
    <row r="17141" spans="14:14" x14ac:dyDescent="0.35">
      <c r="N17141" s="676"/>
    </row>
    <row r="17142" spans="14:14" x14ac:dyDescent="0.35">
      <c r="N17142" s="676"/>
    </row>
    <row r="17143" spans="14:14" x14ac:dyDescent="0.35">
      <c r="N17143" s="676"/>
    </row>
    <row r="17144" spans="14:14" x14ac:dyDescent="0.35">
      <c r="N17144" s="676"/>
    </row>
    <row r="17145" spans="14:14" x14ac:dyDescent="0.35">
      <c r="N17145" s="676"/>
    </row>
    <row r="17146" spans="14:14" x14ac:dyDescent="0.35">
      <c r="N17146" s="676"/>
    </row>
    <row r="17147" spans="14:14" x14ac:dyDescent="0.35">
      <c r="N17147" s="676"/>
    </row>
    <row r="17148" spans="14:14" x14ac:dyDescent="0.35">
      <c r="N17148" s="676"/>
    </row>
    <row r="17149" spans="14:14" x14ac:dyDescent="0.35">
      <c r="N17149" s="676"/>
    </row>
    <row r="17150" spans="14:14" x14ac:dyDescent="0.35">
      <c r="N17150" s="676"/>
    </row>
    <row r="17151" spans="14:14" x14ac:dyDescent="0.35">
      <c r="N17151" s="676"/>
    </row>
    <row r="17152" spans="14:14" x14ac:dyDescent="0.35">
      <c r="N17152" s="676"/>
    </row>
    <row r="17153" spans="14:14" x14ac:dyDescent="0.35">
      <c r="N17153" s="676"/>
    </row>
    <row r="17154" spans="14:14" x14ac:dyDescent="0.35">
      <c r="N17154" s="676"/>
    </row>
    <row r="17155" spans="14:14" x14ac:dyDescent="0.35">
      <c r="N17155" s="676"/>
    </row>
    <row r="17156" spans="14:14" x14ac:dyDescent="0.35">
      <c r="N17156" s="676"/>
    </row>
    <row r="17157" spans="14:14" x14ac:dyDescent="0.35">
      <c r="N17157" s="676"/>
    </row>
    <row r="17158" spans="14:14" x14ac:dyDescent="0.35">
      <c r="N17158" s="676"/>
    </row>
    <row r="17159" spans="14:14" x14ac:dyDescent="0.35">
      <c r="N17159" s="676"/>
    </row>
    <row r="17160" spans="14:14" x14ac:dyDescent="0.35">
      <c r="N17160" s="676"/>
    </row>
    <row r="17161" spans="14:14" x14ac:dyDescent="0.35">
      <c r="N17161" s="676"/>
    </row>
    <row r="17162" spans="14:14" x14ac:dyDescent="0.35">
      <c r="N17162" s="676"/>
    </row>
    <row r="17163" spans="14:14" x14ac:dyDescent="0.35">
      <c r="N17163" s="676"/>
    </row>
    <row r="17164" spans="14:14" x14ac:dyDescent="0.35">
      <c r="N17164" s="676"/>
    </row>
    <row r="17165" spans="14:14" x14ac:dyDescent="0.35">
      <c r="N17165" s="676"/>
    </row>
    <row r="17166" spans="14:14" x14ac:dyDescent="0.35">
      <c r="N17166" s="676"/>
    </row>
    <row r="17167" spans="14:14" x14ac:dyDescent="0.35">
      <c r="N17167" s="676"/>
    </row>
    <row r="17168" spans="14:14" x14ac:dyDescent="0.35">
      <c r="N17168" s="676"/>
    </row>
    <row r="17169" spans="14:14" x14ac:dyDescent="0.35">
      <c r="N17169" s="676"/>
    </row>
    <row r="17170" spans="14:14" x14ac:dyDescent="0.35">
      <c r="N17170" s="676"/>
    </row>
    <row r="17171" spans="14:14" x14ac:dyDescent="0.35">
      <c r="N17171" s="676"/>
    </row>
    <row r="17172" spans="14:14" x14ac:dyDescent="0.35">
      <c r="N17172" s="676"/>
    </row>
    <row r="17173" spans="14:14" x14ac:dyDescent="0.35">
      <c r="N17173" s="676"/>
    </row>
    <row r="17174" spans="14:14" x14ac:dyDescent="0.35">
      <c r="N17174" s="676"/>
    </row>
    <row r="17175" spans="14:14" x14ac:dyDescent="0.35">
      <c r="N17175" s="676"/>
    </row>
    <row r="17176" spans="14:14" x14ac:dyDescent="0.35">
      <c r="N17176" s="676"/>
    </row>
    <row r="17177" spans="14:14" x14ac:dyDescent="0.35">
      <c r="N17177" s="676"/>
    </row>
    <row r="17178" spans="14:14" x14ac:dyDescent="0.35">
      <c r="N17178" s="676"/>
    </row>
    <row r="17179" spans="14:14" x14ac:dyDescent="0.35">
      <c r="N17179" s="676"/>
    </row>
    <row r="17180" spans="14:14" x14ac:dyDescent="0.35">
      <c r="N17180" s="676"/>
    </row>
    <row r="17181" spans="14:14" x14ac:dyDescent="0.35">
      <c r="N17181" s="676"/>
    </row>
    <row r="17182" spans="14:14" x14ac:dyDescent="0.35">
      <c r="N17182" s="676"/>
    </row>
    <row r="17183" spans="14:14" x14ac:dyDescent="0.35">
      <c r="N17183" s="676"/>
    </row>
    <row r="17184" spans="14:14" x14ac:dyDescent="0.35">
      <c r="N17184" s="676"/>
    </row>
    <row r="17185" spans="14:14" x14ac:dyDescent="0.35">
      <c r="N17185" s="676"/>
    </row>
    <row r="17186" spans="14:14" x14ac:dyDescent="0.35">
      <c r="N17186" s="676"/>
    </row>
    <row r="17187" spans="14:14" x14ac:dyDescent="0.35">
      <c r="N17187" s="676"/>
    </row>
    <row r="17188" spans="14:14" x14ac:dyDescent="0.35">
      <c r="N17188" s="676"/>
    </row>
    <row r="17189" spans="14:14" x14ac:dyDescent="0.35">
      <c r="N17189" s="676"/>
    </row>
    <row r="17190" spans="14:14" x14ac:dyDescent="0.35">
      <c r="N17190" s="676"/>
    </row>
    <row r="17191" spans="14:14" x14ac:dyDescent="0.35">
      <c r="N17191" s="676"/>
    </row>
    <row r="17192" spans="14:14" x14ac:dyDescent="0.35">
      <c r="N17192" s="676"/>
    </row>
    <row r="17193" spans="14:14" x14ac:dyDescent="0.35">
      <c r="N17193" s="676"/>
    </row>
    <row r="17194" spans="14:14" x14ac:dyDescent="0.35">
      <c r="N17194" s="676"/>
    </row>
    <row r="17195" spans="14:14" x14ac:dyDescent="0.35">
      <c r="N17195" s="676"/>
    </row>
    <row r="17196" spans="14:14" x14ac:dyDescent="0.35">
      <c r="N17196" s="676"/>
    </row>
    <row r="17197" spans="14:14" x14ac:dyDescent="0.35">
      <c r="N17197" s="676"/>
    </row>
    <row r="17198" spans="14:14" x14ac:dyDescent="0.35">
      <c r="N17198" s="676"/>
    </row>
    <row r="17199" spans="14:14" x14ac:dyDescent="0.35">
      <c r="N17199" s="676"/>
    </row>
    <row r="17200" spans="14:14" x14ac:dyDescent="0.35">
      <c r="N17200" s="676"/>
    </row>
    <row r="17201" spans="14:14" x14ac:dyDescent="0.35">
      <c r="N17201" s="676"/>
    </row>
    <row r="17202" spans="14:14" x14ac:dyDescent="0.35">
      <c r="N17202" s="676"/>
    </row>
    <row r="17203" spans="14:14" x14ac:dyDescent="0.35">
      <c r="N17203" s="676"/>
    </row>
    <row r="17204" spans="14:14" x14ac:dyDescent="0.35">
      <c r="N17204" s="676"/>
    </row>
    <row r="17205" spans="14:14" x14ac:dyDescent="0.35">
      <c r="N17205" s="676"/>
    </row>
    <row r="17206" spans="14:14" x14ac:dyDescent="0.35">
      <c r="N17206" s="676"/>
    </row>
    <row r="17207" spans="14:14" x14ac:dyDescent="0.35">
      <c r="N17207" s="676"/>
    </row>
    <row r="17208" spans="14:14" x14ac:dyDescent="0.35">
      <c r="N17208" s="676"/>
    </row>
    <row r="17209" spans="14:14" x14ac:dyDescent="0.35">
      <c r="N17209" s="676"/>
    </row>
    <row r="17210" spans="14:14" x14ac:dyDescent="0.35">
      <c r="N17210" s="676"/>
    </row>
    <row r="17211" spans="14:14" x14ac:dyDescent="0.35">
      <c r="N17211" s="676"/>
    </row>
    <row r="17212" spans="14:14" x14ac:dyDescent="0.35">
      <c r="N17212" s="676"/>
    </row>
    <row r="17213" spans="14:14" x14ac:dyDescent="0.35">
      <c r="N17213" s="676"/>
    </row>
    <row r="17214" spans="14:14" x14ac:dyDescent="0.35">
      <c r="N17214" s="676"/>
    </row>
    <row r="17215" spans="14:14" x14ac:dyDescent="0.35">
      <c r="N17215" s="676"/>
    </row>
    <row r="17216" spans="14:14" x14ac:dyDescent="0.35">
      <c r="N17216" s="676"/>
    </row>
    <row r="17217" spans="14:14" x14ac:dyDescent="0.35">
      <c r="N17217" s="676"/>
    </row>
    <row r="17218" spans="14:14" x14ac:dyDescent="0.35">
      <c r="N17218" s="676"/>
    </row>
    <row r="17219" spans="14:14" x14ac:dyDescent="0.35">
      <c r="N17219" s="676"/>
    </row>
    <row r="17220" spans="14:14" x14ac:dyDescent="0.35">
      <c r="N17220" s="676"/>
    </row>
    <row r="17221" spans="14:14" x14ac:dyDescent="0.35">
      <c r="N17221" s="676"/>
    </row>
    <row r="17222" spans="14:14" x14ac:dyDescent="0.35">
      <c r="N17222" s="676"/>
    </row>
    <row r="17223" spans="14:14" x14ac:dyDescent="0.35">
      <c r="N17223" s="676"/>
    </row>
    <row r="17224" spans="14:14" x14ac:dyDescent="0.35">
      <c r="N17224" s="676"/>
    </row>
    <row r="17225" spans="14:14" x14ac:dyDescent="0.35">
      <c r="N17225" s="676"/>
    </row>
    <row r="17226" spans="14:14" x14ac:dyDescent="0.35">
      <c r="N17226" s="676"/>
    </row>
    <row r="17227" spans="14:14" x14ac:dyDescent="0.35">
      <c r="N17227" s="676"/>
    </row>
    <row r="17228" spans="14:14" x14ac:dyDescent="0.35">
      <c r="N17228" s="676"/>
    </row>
    <row r="17229" spans="14:14" x14ac:dyDescent="0.35">
      <c r="N17229" s="676"/>
    </row>
    <row r="17230" spans="14:14" x14ac:dyDescent="0.35">
      <c r="N17230" s="676"/>
    </row>
    <row r="17231" spans="14:14" x14ac:dyDescent="0.35">
      <c r="N17231" s="676"/>
    </row>
    <row r="17232" spans="14:14" x14ac:dyDescent="0.35">
      <c r="N17232" s="676"/>
    </row>
    <row r="17233" spans="14:14" x14ac:dyDescent="0.35">
      <c r="N17233" s="676"/>
    </row>
    <row r="17234" spans="14:14" x14ac:dyDescent="0.35">
      <c r="N17234" s="676"/>
    </row>
    <row r="17235" spans="14:14" x14ac:dyDescent="0.35">
      <c r="N17235" s="676"/>
    </row>
    <row r="17236" spans="14:14" x14ac:dyDescent="0.35">
      <c r="N17236" s="676"/>
    </row>
    <row r="17237" spans="14:14" x14ac:dyDescent="0.35">
      <c r="N17237" s="676"/>
    </row>
    <row r="17238" spans="14:14" x14ac:dyDescent="0.35">
      <c r="N17238" s="676"/>
    </row>
    <row r="17239" spans="14:14" x14ac:dyDescent="0.35">
      <c r="N17239" s="676"/>
    </row>
    <row r="17240" spans="14:14" x14ac:dyDescent="0.35">
      <c r="N17240" s="676"/>
    </row>
    <row r="17241" spans="14:14" x14ac:dyDescent="0.35">
      <c r="N17241" s="676"/>
    </row>
    <row r="17242" spans="14:14" x14ac:dyDescent="0.35">
      <c r="N17242" s="676"/>
    </row>
    <row r="17243" spans="14:14" x14ac:dyDescent="0.35">
      <c r="N17243" s="676"/>
    </row>
    <row r="17244" spans="14:14" x14ac:dyDescent="0.35">
      <c r="N17244" s="676"/>
    </row>
    <row r="17245" spans="14:14" x14ac:dyDescent="0.35">
      <c r="N17245" s="676"/>
    </row>
    <row r="17246" spans="14:14" x14ac:dyDescent="0.35">
      <c r="N17246" s="676"/>
    </row>
    <row r="17247" spans="14:14" x14ac:dyDescent="0.35">
      <c r="N17247" s="676"/>
    </row>
    <row r="17248" spans="14:14" x14ac:dyDescent="0.35">
      <c r="N17248" s="676"/>
    </row>
    <row r="17249" spans="14:14" x14ac:dyDescent="0.35">
      <c r="N17249" s="676"/>
    </row>
    <row r="17250" spans="14:14" x14ac:dyDescent="0.35">
      <c r="N17250" s="676"/>
    </row>
    <row r="17251" spans="14:14" x14ac:dyDescent="0.35">
      <c r="N17251" s="676"/>
    </row>
    <row r="17252" spans="14:14" x14ac:dyDescent="0.35">
      <c r="N17252" s="676"/>
    </row>
    <row r="17253" spans="14:14" x14ac:dyDescent="0.35">
      <c r="N17253" s="676"/>
    </row>
    <row r="17254" spans="14:14" x14ac:dyDescent="0.35">
      <c r="N17254" s="676"/>
    </row>
    <row r="17255" spans="14:14" x14ac:dyDescent="0.35">
      <c r="N17255" s="676"/>
    </row>
    <row r="17256" spans="14:14" x14ac:dyDescent="0.35">
      <c r="N17256" s="676"/>
    </row>
    <row r="17257" spans="14:14" x14ac:dyDescent="0.35">
      <c r="N17257" s="676"/>
    </row>
    <row r="17258" spans="14:14" x14ac:dyDescent="0.35">
      <c r="N17258" s="676"/>
    </row>
    <row r="17259" spans="14:14" x14ac:dyDescent="0.35">
      <c r="N17259" s="676"/>
    </row>
    <row r="17260" spans="14:14" x14ac:dyDescent="0.35">
      <c r="N17260" s="676"/>
    </row>
    <row r="17261" spans="14:14" x14ac:dyDescent="0.35">
      <c r="N17261" s="676"/>
    </row>
    <row r="17262" spans="14:14" x14ac:dyDescent="0.35">
      <c r="N17262" s="676"/>
    </row>
    <row r="17263" spans="14:14" x14ac:dyDescent="0.35">
      <c r="N17263" s="676"/>
    </row>
    <row r="17264" spans="14:14" x14ac:dyDescent="0.35">
      <c r="N17264" s="676"/>
    </row>
    <row r="17265" spans="14:14" x14ac:dyDescent="0.35">
      <c r="N17265" s="676"/>
    </row>
    <row r="17266" spans="14:14" x14ac:dyDescent="0.35">
      <c r="N17266" s="676"/>
    </row>
    <row r="17267" spans="14:14" x14ac:dyDescent="0.35">
      <c r="N17267" s="676"/>
    </row>
    <row r="17268" spans="14:14" x14ac:dyDescent="0.35">
      <c r="N17268" s="676"/>
    </row>
    <row r="17269" spans="14:14" x14ac:dyDescent="0.35">
      <c r="N17269" s="676"/>
    </row>
    <row r="17270" spans="14:14" x14ac:dyDescent="0.35">
      <c r="N17270" s="676"/>
    </row>
    <row r="17271" spans="14:14" x14ac:dyDescent="0.35">
      <c r="N17271" s="676"/>
    </row>
    <row r="17272" spans="14:14" x14ac:dyDescent="0.35">
      <c r="N17272" s="676"/>
    </row>
    <row r="17273" spans="14:14" x14ac:dyDescent="0.35">
      <c r="N17273" s="676"/>
    </row>
    <row r="17274" spans="14:14" x14ac:dyDescent="0.35">
      <c r="N17274" s="676"/>
    </row>
    <row r="17275" spans="14:14" x14ac:dyDescent="0.35">
      <c r="N17275" s="676"/>
    </row>
    <row r="17276" spans="14:14" x14ac:dyDescent="0.35">
      <c r="N17276" s="676"/>
    </row>
    <row r="17277" spans="14:14" x14ac:dyDescent="0.35">
      <c r="N17277" s="676"/>
    </row>
    <row r="17278" spans="14:14" x14ac:dyDescent="0.35">
      <c r="N17278" s="676"/>
    </row>
    <row r="17279" spans="14:14" x14ac:dyDescent="0.35">
      <c r="N17279" s="676"/>
    </row>
    <row r="17280" spans="14:14" x14ac:dyDescent="0.35">
      <c r="N17280" s="676"/>
    </row>
    <row r="17281" spans="14:14" x14ac:dyDescent="0.35">
      <c r="N17281" s="676"/>
    </row>
    <row r="17282" spans="14:14" x14ac:dyDescent="0.35">
      <c r="N17282" s="676"/>
    </row>
    <row r="17283" spans="14:14" x14ac:dyDescent="0.35">
      <c r="N17283" s="676"/>
    </row>
    <row r="17284" spans="14:14" x14ac:dyDescent="0.35">
      <c r="N17284" s="676"/>
    </row>
    <row r="17285" spans="14:14" x14ac:dyDescent="0.35">
      <c r="N17285" s="676"/>
    </row>
    <row r="17286" spans="14:14" x14ac:dyDescent="0.35">
      <c r="N17286" s="676"/>
    </row>
    <row r="17287" spans="14:14" x14ac:dyDescent="0.35">
      <c r="N17287" s="676"/>
    </row>
    <row r="17288" spans="14:14" x14ac:dyDescent="0.35">
      <c r="N17288" s="676"/>
    </row>
    <row r="17289" spans="14:14" x14ac:dyDescent="0.35">
      <c r="N17289" s="676"/>
    </row>
    <row r="17290" spans="14:14" x14ac:dyDescent="0.35">
      <c r="N17290" s="676"/>
    </row>
    <row r="17291" spans="14:14" x14ac:dyDescent="0.35">
      <c r="N17291" s="676"/>
    </row>
    <row r="17292" spans="14:14" x14ac:dyDescent="0.35">
      <c r="N17292" s="676"/>
    </row>
    <row r="17293" spans="14:14" x14ac:dyDescent="0.35">
      <c r="N17293" s="676"/>
    </row>
    <row r="17294" spans="14:14" x14ac:dyDescent="0.35">
      <c r="N17294" s="676"/>
    </row>
    <row r="17295" spans="14:14" x14ac:dyDescent="0.35">
      <c r="N17295" s="676"/>
    </row>
    <row r="17296" spans="14:14" x14ac:dyDescent="0.35">
      <c r="N17296" s="676"/>
    </row>
    <row r="17297" spans="14:14" x14ac:dyDescent="0.35">
      <c r="N17297" s="676"/>
    </row>
    <row r="17298" spans="14:14" x14ac:dyDescent="0.35">
      <c r="N17298" s="676"/>
    </row>
    <row r="17299" spans="14:14" x14ac:dyDescent="0.35">
      <c r="N17299" s="676"/>
    </row>
    <row r="17300" spans="14:14" x14ac:dyDescent="0.35">
      <c r="N17300" s="676"/>
    </row>
    <row r="17301" spans="14:14" x14ac:dyDescent="0.35">
      <c r="N17301" s="676"/>
    </row>
    <row r="17302" spans="14:14" x14ac:dyDescent="0.35">
      <c r="N17302" s="676"/>
    </row>
    <row r="17303" spans="14:14" x14ac:dyDescent="0.35">
      <c r="N17303" s="676"/>
    </row>
    <row r="17304" spans="14:14" x14ac:dyDescent="0.35">
      <c r="N17304" s="676"/>
    </row>
    <row r="17305" spans="14:14" x14ac:dyDescent="0.35">
      <c r="N17305" s="676"/>
    </row>
    <row r="17306" spans="14:14" x14ac:dyDescent="0.35">
      <c r="N17306" s="676"/>
    </row>
    <row r="17307" spans="14:14" x14ac:dyDescent="0.35">
      <c r="N17307" s="676"/>
    </row>
    <row r="17308" spans="14:14" x14ac:dyDescent="0.35">
      <c r="N17308" s="676"/>
    </row>
    <row r="17309" spans="14:14" x14ac:dyDescent="0.35">
      <c r="N17309" s="676"/>
    </row>
    <row r="17310" spans="14:14" x14ac:dyDescent="0.35">
      <c r="N17310" s="676"/>
    </row>
    <row r="17311" spans="14:14" x14ac:dyDescent="0.35">
      <c r="N17311" s="676"/>
    </row>
    <row r="17312" spans="14:14" x14ac:dyDescent="0.35">
      <c r="N17312" s="676"/>
    </row>
    <row r="17313" spans="14:14" x14ac:dyDescent="0.35">
      <c r="N17313" s="676"/>
    </row>
    <row r="17314" spans="14:14" x14ac:dyDescent="0.35">
      <c r="N17314" s="676"/>
    </row>
    <row r="17315" spans="14:14" x14ac:dyDescent="0.35">
      <c r="N17315" s="676"/>
    </row>
    <row r="17316" spans="14:14" x14ac:dyDescent="0.35">
      <c r="N17316" s="676"/>
    </row>
    <row r="17317" spans="14:14" x14ac:dyDescent="0.35">
      <c r="N17317" s="676"/>
    </row>
    <row r="17318" spans="14:14" x14ac:dyDescent="0.35">
      <c r="N17318" s="676"/>
    </row>
    <row r="17319" spans="14:14" x14ac:dyDescent="0.35">
      <c r="N17319" s="676"/>
    </row>
    <row r="17320" spans="14:14" x14ac:dyDescent="0.35">
      <c r="N17320" s="676"/>
    </row>
    <row r="17321" spans="14:14" x14ac:dyDescent="0.35">
      <c r="N17321" s="676"/>
    </row>
    <row r="17322" spans="14:14" x14ac:dyDescent="0.35">
      <c r="N17322" s="676"/>
    </row>
    <row r="17323" spans="14:14" x14ac:dyDescent="0.35">
      <c r="N17323" s="676"/>
    </row>
    <row r="17324" spans="14:14" x14ac:dyDescent="0.35">
      <c r="N17324" s="676"/>
    </row>
    <row r="17325" spans="14:14" x14ac:dyDescent="0.35">
      <c r="N17325" s="676"/>
    </row>
    <row r="17326" spans="14:14" x14ac:dyDescent="0.35">
      <c r="N17326" s="676"/>
    </row>
    <row r="17327" spans="14:14" x14ac:dyDescent="0.35">
      <c r="N17327" s="676"/>
    </row>
    <row r="17328" spans="14:14" x14ac:dyDescent="0.35">
      <c r="N17328" s="676"/>
    </row>
    <row r="17329" spans="14:14" x14ac:dyDescent="0.35">
      <c r="N17329" s="676"/>
    </row>
    <row r="17330" spans="14:14" x14ac:dyDescent="0.35">
      <c r="N17330" s="676"/>
    </row>
    <row r="17331" spans="14:14" x14ac:dyDescent="0.35">
      <c r="N17331" s="676"/>
    </row>
    <row r="17332" spans="14:14" x14ac:dyDescent="0.35">
      <c r="N17332" s="676"/>
    </row>
    <row r="17333" spans="14:14" x14ac:dyDescent="0.35">
      <c r="N17333" s="676"/>
    </row>
    <row r="17334" spans="14:14" x14ac:dyDescent="0.35">
      <c r="N17334" s="676"/>
    </row>
    <row r="17335" spans="14:14" x14ac:dyDescent="0.35">
      <c r="N17335" s="676"/>
    </row>
    <row r="17336" spans="14:14" x14ac:dyDescent="0.35">
      <c r="N17336" s="676"/>
    </row>
    <row r="17337" spans="14:14" x14ac:dyDescent="0.35">
      <c r="N17337" s="676"/>
    </row>
    <row r="17338" spans="14:14" x14ac:dyDescent="0.35">
      <c r="N17338" s="676"/>
    </row>
    <row r="17339" spans="14:14" x14ac:dyDescent="0.35">
      <c r="N17339" s="676"/>
    </row>
    <row r="17340" spans="14:14" x14ac:dyDescent="0.35">
      <c r="N17340" s="676"/>
    </row>
    <row r="17341" spans="14:14" x14ac:dyDescent="0.35">
      <c r="N17341" s="676"/>
    </row>
    <row r="17342" spans="14:14" x14ac:dyDescent="0.35">
      <c r="N17342" s="676"/>
    </row>
    <row r="17343" spans="14:14" x14ac:dyDescent="0.35">
      <c r="N17343" s="676"/>
    </row>
    <row r="17344" spans="14:14" x14ac:dyDescent="0.35">
      <c r="N17344" s="676"/>
    </row>
    <row r="17345" spans="14:14" x14ac:dyDescent="0.35">
      <c r="N17345" s="676"/>
    </row>
    <row r="17346" spans="14:14" x14ac:dyDescent="0.35">
      <c r="N17346" s="676"/>
    </row>
    <row r="17347" spans="14:14" x14ac:dyDescent="0.35">
      <c r="N17347" s="676"/>
    </row>
    <row r="17348" spans="14:14" x14ac:dyDescent="0.35">
      <c r="N17348" s="676"/>
    </row>
    <row r="17349" spans="14:14" x14ac:dyDescent="0.35">
      <c r="N17349" s="676"/>
    </row>
    <row r="17350" spans="14:14" x14ac:dyDescent="0.35">
      <c r="N17350" s="676"/>
    </row>
    <row r="17351" spans="14:14" x14ac:dyDescent="0.35">
      <c r="N17351" s="676"/>
    </row>
    <row r="17352" spans="14:14" x14ac:dyDescent="0.35">
      <c r="N17352" s="676"/>
    </row>
    <row r="17353" spans="14:14" x14ac:dyDescent="0.35">
      <c r="N17353" s="676"/>
    </row>
    <row r="17354" spans="14:14" x14ac:dyDescent="0.35">
      <c r="N17354" s="676"/>
    </row>
    <row r="17355" spans="14:14" x14ac:dyDescent="0.35">
      <c r="N17355" s="676"/>
    </row>
    <row r="17356" spans="14:14" x14ac:dyDescent="0.35">
      <c r="N17356" s="676"/>
    </row>
    <row r="17357" spans="14:14" x14ac:dyDescent="0.35">
      <c r="N17357" s="676"/>
    </row>
    <row r="17358" spans="14:14" x14ac:dyDescent="0.35">
      <c r="N17358" s="676"/>
    </row>
    <row r="17359" spans="14:14" x14ac:dyDescent="0.35">
      <c r="N17359" s="676"/>
    </row>
    <row r="17360" spans="14:14" x14ac:dyDescent="0.35">
      <c r="N17360" s="676"/>
    </row>
    <row r="17361" spans="14:14" x14ac:dyDescent="0.35">
      <c r="N17361" s="676"/>
    </row>
    <row r="17362" spans="14:14" x14ac:dyDescent="0.35">
      <c r="N17362" s="676"/>
    </row>
    <row r="17363" spans="14:14" x14ac:dyDescent="0.35">
      <c r="N17363" s="676"/>
    </row>
    <row r="17364" spans="14:14" x14ac:dyDescent="0.35">
      <c r="N17364" s="676"/>
    </row>
    <row r="17365" spans="14:14" x14ac:dyDescent="0.35">
      <c r="N17365" s="676"/>
    </row>
    <row r="17366" spans="14:14" x14ac:dyDescent="0.35">
      <c r="N17366" s="676"/>
    </row>
    <row r="17367" spans="14:14" x14ac:dyDescent="0.35">
      <c r="N17367" s="676"/>
    </row>
    <row r="17368" spans="14:14" x14ac:dyDescent="0.35">
      <c r="N17368" s="676"/>
    </row>
    <row r="17369" spans="14:14" x14ac:dyDescent="0.35">
      <c r="N17369" s="676"/>
    </row>
    <row r="17370" spans="14:14" x14ac:dyDescent="0.35">
      <c r="N17370" s="676"/>
    </row>
    <row r="17371" spans="14:14" x14ac:dyDescent="0.35">
      <c r="N17371" s="676"/>
    </row>
    <row r="17372" spans="14:14" x14ac:dyDescent="0.35">
      <c r="N17372" s="676"/>
    </row>
    <row r="17373" spans="14:14" x14ac:dyDescent="0.35">
      <c r="N17373" s="676"/>
    </row>
    <row r="17374" spans="14:14" x14ac:dyDescent="0.35">
      <c r="N17374" s="676"/>
    </row>
    <row r="17375" spans="14:14" x14ac:dyDescent="0.35">
      <c r="N17375" s="676"/>
    </row>
    <row r="17376" spans="14:14" x14ac:dyDescent="0.35">
      <c r="N17376" s="676"/>
    </row>
    <row r="17377" spans="14:14" x14ac:dyDescent="0.35">
      <c r="N17377" s="676"/>
    </row>
    <row r="17378" spans="14:14" x14ac:dyDescent="0.35">
      <c r="N17378" s="676"/>
    </row>
    <row r="17379" spans="14:14" x14ac:dyDescent="0.35">
      <c r="N17379" s="676"/>
    </row>
    <row r="17380" spans="14:14" x14ac:dyDescent="0.35">
      <c r="N17380" s="676"/>
    </row>
    <row r="17381" spans="14:14" x14ac:dyDescent="0.35">
      <c r="N17381" s="676"/>
    </row>
    <row r="17382" spans="14:14" x14ac:dyDescent="0.35">
      <c r="N17382" s="676"/>
    </row>
    <row r="17383" spans="14:14" x14ac:dyDescent="0.35">
      <c r="N17383" s="676"/>
    </row>
    <row r="17384" spans="14:14" x14ac:dyDescent="0.35">
      <c r="N17384" s="676"/>
    </row>
    <row r="17385" spans="14:14" x14ac:dyDescent="0.35">
      <c r="N17385" s="676"/>
    </row>
    <row r="17386" spans="14:14" x14ac:dyDescent="0.35">
      <c r="N17386" s="676"/>
    </row>
    <row r="17387" spans="14:14" x14ac:dyDescent="0.35">
      <c r="N17387" s="676"/>
    </row>
    <row r="17388" spans="14:14" x14ac:dyDescent="0.35">
      <c r="N17388" s="676"/>
    </row>
    <row r="17389" spans="14:14" x14ac:dyDescent="0.35">
      <c r="N17389" s="676"/>
    </row>
    <row r="17390" spans="14:14" x14ac:dyDescent="0.35">
      <c r="N17390" s="676"/>
    </row>
    <row r="17391" spans="14:14" x14ac:dyDescent="0.35">
      <c r="N17391" s="676"/>
    </row>
    <row r="17392" spans="14:14" x14ac:dyDescent="0.35">
      <c r="N17392" s="676"/>
    </row>
    <row r="17393" spans="14:14" x14ac:dyDescent="0.35">
      <c r="N17393" s="676"/>
    </row>
    <row r="17394" spans="14:14" x14ac:dyDescent="0.35">
      <c r="N17394" s="676"/>
    </row>
    <row r="17395" spans="14:14" x14ac:dyDescent="0.35">
      <c r="N17395" s="676"/>
    </row>
    <row r="17396" spans="14:14" x14ac:dyDescent="0.35">
      <c r="N17396" s="676"/>
    </row>
    <row r="17397" spans="14:14" x14ac:dyDescent="0.35">
      <c r="N17397" s="676"/>
    </row>
    <row r="17398" spans="14:14" x14ac:dyDescent="0.35">
      <c r="N17398" s="676"/>
    </row>
    <row r="17399" spans="14:14" x14ac:dyDescent="0.35">
      <c r="N17399" s="676"/>
    </row>
    <row r="17400" spans="14:14" x14ac:dyDescent="0.35">
      <c r="N17400" s="676"/>
    </row>
    <row r="17401" spans="14:14" x14ac:dyDescent="0.35">
      <c r="N17401" s="676"/>
    </row>
    <row r="17402" spans="14:14" x14ac:dyDescent="0.35">
      <c r="N17402" s="676"/>
    </row>
    <row r="17403" spans="14:14" x14ac:dyDescent="0.35">
      <c r="N17403" s="676"/>
    </row>
    <row r="17404" spans="14:14" x14ac:dyDescent="0.35">
      <c r="N17404" s="676"/>
    </row>
    <row r="17405" spans="14:14" x14ac:dyDescent="0.35">
      <c r="N17405" s="676"/>
    </row>
    <row r="17406" spans="14:14" x14ac:dyDescent="0.35">
      <c r="N17406" s="676"/>
    </row>
    <row r="17407" spans="14:14" x14ac:dyDescent="0.35">
      <c r="N17407" s="676"/>
    </row>
    <row r="17408" spans="14:14" x14ac:dyDescent="0.35">
      <c r="N17408" s="676"/>
    </row>
    <row r="17409" spans="14:14" x14ac:dyDescent="0.35">
      <c r="N17409" s="676"/>
    </row>
    <row r="17410" spans="14:14" x14ac:dyDescent="0.35">
      <c r="N17410" s="676"/>
    </row>
    <row r="17411" spans="14:14" x14ac:dyDescent="0.35">
      <c r="N17411" s="676"/>
    </row>
    <row r="17412" spans="14:14" x14ac:dyDescent="0.35">
      <c r="N17412" s="676"/>
    </row>
    <row r="17413" spans="14:14" x14ac:dyDescent="0.35">
      <c r="N17413" s="676"/>
    </row>
    <row r="17414" spans="14:14" x14ac:dyDescent="0.35">
      <c r="N17414" s="676"/>
    </row>
    <row r="17415" spans="14:14" x14ac:dyDescent="0.35">
      <c r="N17415" s="676"/>
    </row>
    <row r="17416" spans="14:14" x14ac:dyDescent="0.35">
      <c r="N17416" s="676"/>
    </row>
    <row r="17417" spans="14:14" x14ac:dyDescent="0.35">
      <c r="N17417" s="676"/>
    </row>
    <row r="17418" spans="14:14" x14ac:dyDescent="0.35">
      <c r="N17418" s="676"/>
    </row>
    <row r="17419" spans="14:14" x14ac:dyDescent="0.35">
      <c r="N17419" s="676"/>
    </row>
    <row r="17420" spans="14:14" x14ac:dyDescent="0.35">
      <c r="N17420" s="676"/>
    </row>
    <row r="17421" spans="14:14" x14ac:dyDescent="0.35">
      <c r="N17421" s="676"/>
    </row>
    <row r="17422" spans="14:14" x14ac:dyDescent="0.35">
      <c r="N17422" s="676"/>
    </row>
    <row r="17423" spans="14:14" x14ac:dyDescent="0.35">
      <c r="N17423" s="676"/>
    </row>
    <row r="17424" spans="14:14" x14ac:dyDescent="0.35">
      <c r="N17424" s="676"/>
    </row>
    <row r="17425" spans="14:14" x14ac:dyDescent="0.35">
      <c r="N17425" s="676"/>
    </row>
    <row r="17426" spans="14:14" x14ac:dyDescent="0.35">
      <c r="N17426" s="676"/>
    </row>
    <row r="17427" spans="14:14" x14ac:dyDescent="0.35">
      <c r="N17427" s="676"/>
    </row>
    <row r="17428" spans="14:14" x14ac:dyDescent="0.35">
      <c r="N17428" s="676"/>
    </row>
    <row r="17429" spans="14:14" x14ac:dyDescent="0.35">
      <c r="N17429" s="676"/>
    </row>
    <row r="17430" spans="14:14" x14ac:dyDescent="0.35">
      <c r="N17430" s="676"/>
    </row>
    <row r="17431" spans="14:14" x14ac:dyDescent="0.35">
      <c r="N17431" s="676"/>
    </row>
    <row r="17432" spans="14:14" x14ac:dyDescent="0.35">
      <c r="N17432" s="676"/>
    </row>
    <row r="17433" spans="14:14" x14ac:dyDescent="0.35">
      <c r="N17433" s="676"/>
    </row>
    <row r="17434" spans="14:14" x14ac:dyDescent="0.35">
      <c r="N17434" s="676"/>
    </row>
    <row r="17435" spans="14:14" x14ac:dyDescent="0.35">
      <c r="N17435" s="676"/>
    </row>
    <row r="17436" spans="14:14" x14ac:dyDescent="0.35">
      <c r="N17436" s="676"/>
    </row>
    <row r="17437" spans="14:14" x14ac:dyDescent="0.35">
      <c r="N17437" s="676"/>
    </row>
    <row r="17438" spans="14:14" x14ac:dyDescent="0.35">
      <c r="N17438" s="676"/>
    </row>
    <row r="17439" spans="14:14" x14ac:dyDescent="0.35">
      <c r="N17439" s="676"/>
    </row>
    <row r="17440" spans="14:14" x14ac:dyDescent="0.35">
      <c r="N17440" s="676"/>
    </row>
    <row r="17441" spans="14:14" x14ac:dyDescent="0.35">
      <c r="N17441" s="676"/>
    </row>
    <row r="17442" spans="14:14" x14ac:dyDescent="0.35">
      <c r="N17442" s="676"/>
    </row>
    <row r="17443" spans="14:14" x14ac:dyDescent="0.35">
      <c r="N17443" s="676"/>
    </row>
    <row r="17444" spans="14:14" x14ac:dyDescent="0.35">
      <c r="N17444" s="676"/>
    </row>
    <row r="17445" spans="14:14" x14ac:dyDescent="0.35">
      <c r="N17445" s="676"/>
    </row>
    <row r="17446" spans="14:14" x14ac:dyDescent="0.35">
      <c r="N17446" s="676"/>
    </row>
    <row r="17447" spans="14:14" x14ac:dyDescent="0.35">
      <c r="N17447" s="676"/>
    </row>
    <row r="17448" spans="14:14" x14ac:dyDescent="0.35">
      <c r="N17448" s="676"/>
    </row>
    <row r="17449" spans="14:14" x14ac:dyDescent="0.35">
      <c r="N17449" s="676"/>
    </row>
    <row r="17450" spans="14:14" x14ac:dyDescent="0.35">
      <c r="N17450" s="676"/>
    </row>
    <row r="17451" spans="14:14" x14ac:dyDescent="0.35">
      <c r="N17451" s="676"/>
    </row>
    <row r="17452" spans="14:14" x14ac:dyDescent="0.35">
      <c r="N17452" s="676"/>
    </row>
    <row r="17453" spans="14:14" x14ac:dyDescent="0.35">
      <c r="N17453" s="676"/>
    </row>
    <row r="17454" spans="14:14" x14ac:dyDescent="0.35">
      <c r="N17454" s="676"/>
    </row>
    <row r="17455" spans="14:14" x14ac:dyDescent="0.35">
      <c r="N17455" s="676"/>
    </row>
    <row r="17456" spans="14:14" x14ac:dyDescent="0.35">
      <c r="N17456" s="676"/>
    </row>
    <row r="17457" spans="14:14" x14ac:dyDescent="0.35">
      <c r="N17457" s="676"/>
    </row>
    <row r="17458" spans="14:14" x14ac:dyDescent="0.35">
      <c r="N17458" s="676"/>
    </row>
    <row r="17459" spans="14:14" x14ac:dyDescent="0.35">
      <c r="N17459" s="676"/>
    </row>
    <row r="17460" spans="14:14" x14ac:dyDescent="0.35">
      <c r="N17460" s="676"/>
    </row>
    <row r="17461" spans="14:14" x14ac:dyDescent="0.35">
      <c r="N17461" s="676"/>
    </row>
    <row r="17462" spans="14:14" x14ac:dyDescent="0.35">
      <c r="N17462" s="676"/>
    </row>
    <row r="17463" spans="14:14" x14ac:dyDescent="0.35">
      <c r="N17463" s="676"/>
    </row>
    <row r="17464" spans="14:14" x14ac:dyDescent="0.35">
      <c r="N17464" s="676"/>
    </row>
    <row r="17465" spans="14:14" x14ac:dyDescent="0.35">
      <c r="N17465" s="676"/>
    </row>
    <row r="17466" spans="14:14" x14ac:dyDescent="0.35">
      <c r="N17466" s="676"/>
    </row>
    <row r="17467" spans="14:14" x14ac:dyDescent="0.35">
      <c r="N17467" s="676"/>
    </row>
    <row r="17468" spans="14:14" x14ac:dyDescent="0.35">
      <c r="N17468" s="676"/>
    </row>
    <row r="17469" spans="14:14" x14ac:dyDescent="0.35">
      <c r="N17469" s="676"/>
    </row>
    <row r="17470" spans="14:14" x14ac:dyDescent="0.35">
      <c r="N17470" s="676"/>
    </row>
    <row r="17471" spans="14:14" x14ac:dyDescent="0.35">
      <c r="N17471" s="676"/>
    </row>
    <row r="17472" spans="14:14" x14ac:dyDescent="0.35">
      <c r="N17472" s="676"/>
    </row>
    <row r="17473" spans="14:14" x14ac:dyDescent="0.35">
      <c r="N17473" s="676"/>
    </row>
    <row r="17474" spans="14:14" x14ac:dyDescent="0.35">
      <c r="N17474" s="676"/>
    </row>
    <row r="17475" spans="14:14" x14ac:dyDescent="0.35">
      <c r="N17475" s="676"/>
    </row>
    <row r="17476" spans="14:14" x14ac:dyDescent="0.35">
      <c r="N17476" s="676"/>
    </row>
    <row r="17477" spans="14:14" x14ac:dyDescent="0.35">
      <c r="N17477" s="676"/>
    </row>
    <row r="17478" spans="14:14" x14ac:dyDescent="0.35">
      <c r="N17478" s="676"/>
    </row>
    <row r="17479" spans="14:14" x14ac:dyDescent="0.35">
      <c r="N17479" s="676"/>
    </row>
    <row r="17480" spans="14:14" x14ac:dyDescent="0.35">
      <c r="N17480" s="676"/>
    </row>
    <row r="17481" spans="14:14" x14ac:dyDescent="0.35">
      <c r="N17481" s="676"/>
    </row>
    <row r="17482" spans="14:14" x14ac:dyDescent="0.35">
      <c r="N17482" s="676"/>
    </row>
    <row r="17483" spans="14:14" x14ac:dyDescent="0.35">
      <c r="N17483" s="676"/>
    </row>
    <row r="17484" spans="14:14" x14ac:dyDescent="0.35">
      <c r="N17484" s="676"/>
    </row>
    <row r="17485" spans="14:14" x14ac:dyDescent="0.35">
      <c r="N17485" s="676"/>
    </row>
    <row r="17486" spans="14:14" x14ac:dyDescent="0.35">
      <c r="N17486" s="676"/>
    </row>
    <row r="17487" spans="14:14" x14ac:dyDescent="0.35">
      <c r="N17487" s="676"/>
    </row>
    <row r="17488" spans="14:14" x14ac:dyDescent="0.35">
      <c r="N17488" s="676"/>
    </row>
    <row r="17489" spans="14:14" x14ac:dyDescent="0.35">
      <c r="N17489" s="676"/>
    </row>
    <row r="17490" spans="14:14" x14ac:dyDescent="0.35">
      <c r="N17490" s="676"/>
    </row>
    <row r="17491" spans="14:14" x14ac:dyDescent="0.35">
      <c r="N17491" s="676"/>
    </row>
    <row r="17492" spans="14:14" x14ac:dyDescent="0.35">
      <c r="N17492" s="676"/>
    </row>
    <row r="17493" spans="14:14" x14ac:dyDescent="0.35">
      <c r="N17493" s="676"/>
    </row>
    <row r="17494" spans="14:14" x14ac:dyDescent="0.35">
      <c r="N17494" s="676"/>
    </row>
    <row r="17495" spans="14:14" x14ac:dyDescent="0.35">
      <c r="N17495" s="676"/>
    </row>
    <row r="17496" spans="14:14" x14ac:dyDescent="0.35">
      <c r="N17496" s="676"/>
    </row>
    <row r="17497" spans="14:14" x14ac:dyDescent="0.35">
      <c r="N17497" s="676"/>
    </row>
    <row r="17498" spans="14:14" x14ac:dyDescent="0.35">
      <c r="N17498" s="676"/>
    </row>
    <row r="17499" spans="14:14" x14ac:dyDescent="0.35">
      <c r="N17499" s="676"/>
    </row>
    <row r="17500" spans="14:14" x14ac:dyDescent="0.35">
      <c r="N17500" s="676"/>
    </row>
    <row r="17501" spans="14:14" x14ac:dyDescent="0.35">
      <c r="N17501" s="676"/>
    </row>
    <row r="17502" spans="14:14" x14ac:dyDescent="0.35">
      <c r="N17502" s="676"/>
    </row>
    <row r="17503" spans="14:14" x14ac:dyDescent="0.35">
      <c r="N17503" s="676"/>
    </row>
    <row r="17504" spans="14:14" x14ac:dyDescent="0.35">
      <c r="N17504" s="676"/>
    </row>
    <row r="17505" spans="14:14" x14ac:dyDescent="0.35">
      <c r="N17505" s="676"/>
    </row>
    <row r="17506" spans="14:14" x14ac:dyDescent="0.35">
      <c r="N17506" s="676"/>
    </row>
    <row r="17507" spans="14:14" x14ac:dyDescent="0.35">
      <c r="N17507" s="676"/>
    </row>
    <row r="17508" spans="14:14" x14ac:dyDescent="0.35">
      <c r="N17508" s="676"/>
    </row>
    <row r="17509" spans="14:14" x14ac:dyDescent="0.35">
      <c r="N17509" s="676"/>
    </row>
    <row r="17510" spans="14:14" x14ac:dyDescent="0.35">
      <c r="N17510" s="676"/>
    </row>
    <row r="17511" spans="14:14" x14ac:dyDescent="0.35">
      <c r="N17511" s="676"/>
    </row>
    <row r="17512" spans="14:14" x14ac:dyDescent="0.35">
      <c r="N17512" s="676"/>
    </row>
    <row r="17513" spans="14:14" x14ac:dyDescent="0.35">
      <c r="N17513" s="676"/>
    </row>
    <row r="17514" spans="14:14" x14ac:dyDescent="0.35">
      <c r="N17514" s="676"/>
    </row>
    <row r="17515" spans="14:14" x14ac:dyDescent="0.35">
      <c r="N17515" s="676"/>
    </row>
    <row r="17516" spans="14:14" x14ac:dyDescent="0.35">
      <c r="N17516" s="676"/>
    </row>
    <row r="17517" spans="14:14" x14ac:dyDescent="0.35">
      <c r="N17517" s="676"/>
    </row>
    <row r="17518" spans="14:14" x14ac:dyDescent="0.35">
      <c r="N17518" s="676"/>
    </row>
    <row r="17519" spans="14:14" x14ac:dyDescent="0.35">
      <c r="N17519" s="676"/>
    </row>
    <row r="17520" spans="14:14" x14ac:dyDescent="0.35">
      <c r="N17520" s="676"/>
    </row>
    <row r="17521" spans="14:14" x14ac:dyDescent="0.35">
      <c r="N17521" s="676"/>
    </row>
    <row r="17522" spans="14:14" x14ac:dyDescent="0.35">
      <c r="N17522" s="676"/>
    </row>
    <row r="17523" spans="14:14" x14ac:dyDescent="0.35">
      <c r="N17523" s="676"/>
    </row>
    <row r="17524" spans="14:14" x14ac:dyDescent="0.35">
      <c r="N17524" s="676"/>
    </row>
    <row r="17525" spans="14:14" x14ac:dyDescent="0.35">
      <c r="N17525" s="676"/>
    </row>
    <row r="17526" spans="14:14" x14ac:dyDescent="0.35">
      <c r="N17526" s="676"/>
    </row>
    <row r="17527" spans="14:14" x14ac:dyDescent="0.35">
      <c r="N17527" s="676"/>
    </row>
    <row r="17528" spans="14:14" x14ac:dyDescent="0.35">
      <c r="N17528" s="676"/>
    </row>
    <row r="17529" spans="14:14" x14ac:dyDescent="0.35">
      <c r="N17529" s="676"/>
    </row>
    <row r="17530" spans="14:14" x14ac:dyDescent="0.35">
      <c r="N17530" s="676"/>
    </row>
    <row r="17531" spans="14:14" x14ac:dyDescent="0.35">
      <c r="N17531" s="676"/>
    </row>
    <row r="17532" spans="14:14" x14ac:dyDescent="0.35">
      <c r="N17532" s="676"/>
    </row>
    <row r="17533" spans="14:14" x14ac:dyDescent="0.35">
      <c r="N17533" s="676"/>
    </row>
    <row r="17534" spans="14:14" x14ac:dyDescent="0.35">
      <c r="N17534" s="676"/>
    </row>
    <row r="17535" spans="14:14" x14ac:dyDescent="0.35">
      <c r="N17535" s="676"/>
    </row>
    <row r="17536" spans="14:14" x14ac:dyDescent="0.35">
      <c r="N17536" s="676"/>
    </row>
    <row r="17537" spans="14:14" x14ac:dyDescent="0.35">
      <c r="N17537" s="676"/>
    </row>
    <row r="17538" spans="14:14" x14ac:dyDescent="0.35">
      <c r="N17538" s="676"/>
    </row>
    <row r="17539" spans="14:14" x14ac:dyDescent="0.35">
      <c r="N17539" s="676"/>
    </row>
    <row r="17540" spans="14:14" x14ac:dyDescent="0.35">
      <c r="N17540" s="676"/>
    </row>
    <row r="17541" spans="14:14" x14ac:dyDescent="0.35">
      <c r="N17541" s="676"/>
    </row>
    <row r="17542" spans="14:14" x14ac:dyDescent="0.35">
      <c r="N17542" s="676"/>
    </row>
    <row r="17543" spans="14:14" x14ac:dyDescent="0.35">
      <c r="N17543" s="676"/>
    </row>
    <row r="17544" spans="14:14" x14ac:dyDescent="0.35">
      <c r="N17544" s="676"/>
    </row>
    <row r="17545" spans="14:14" x14ac:dyDescent="0.35">
      <c r="N17545" s="676"/>
    </row>
    <row r="17546" spans="14:14" x14ac:dyDescent="0.35">
      <c r="N17546" s="676"/>
    </row>
    <row r="17547" spans="14:14" x14ac:dyDescent="0.35">
      <c r="N17547" s="676"/>
    </row>
    <row r="17548" spans="14:14" x14ac:dyDescent="0.35">
      <c r="N17548" s="676"/>
    </row>
    <row r="17549" spans="14:14" x14ac:dyDescent="0.35">
      <c r="N17549" s="676"/>
    </row>
    <row r="17550" spans="14:14" x14ac:dyDescent="0.35">
      <c r="N17550" s="676"/>
    </row>
    <row r="17551" spans="14:14" x14ac:dyDescent="0.35">
      <c r="N17551" s="676"/>
    </row>
    <row r="17552" spans="14:14" x14ac:dyDescent="0.35">
      <c r="N17552" s="676"/>
    </row>
    <row r="17553" spans="14:14" x14ac:dyDescent="0.35">
      <c r="N17553" s="676"/>
    </row>
    <row r="17554" spans="14:14" x14ac:dyDescent="0.35">
      <c r="N17554" s="676"/>
    </row>
    <row r="17555" spans="14:14" x14ac:dyDescent="0.35">
      <c r="N17555" s="676"/>
    </row>
    <row r="17556" spans="14:14" x14ac:dyDescent="0.35">
      <c r="N17556" s="676"/>
    </row>
    <row r="17557" spans="14:14" x14ac:dyDescent="0.35">
      <c r="N17557" s="676"/>
    </row>
    <row r="17558" spans="14:14" x14ac:dyDescent="0.35">
      <c r="N17558" s="676"/>
    </row>
    <row r="17559" spans="14:14" x14ac:dyDescent="0.35">
      <c r="N17559" s="676"/>
    </row>
    <row r="17560" spans="14:14" x14ac:dyDescent="0.35">
      <c r="N17560" s="676"/>
    </row>
    <row r="17561" spans="14:14" x14ac:dyDescent="0.35">
      <c r="N17561" s="676"/>
    </row>
    <row r="17562" spans="14:14" x14ac:dyDescent="0.35">
      <c r="N17562" s="676"/>
    </row>
    <row r="17563" spans="14:14" x14ac:dyDescent="0.35">
      <c r="N17563" s="676"/>
    </row>
    <row r="17564" spans="14:14" x14ac:dyDescent="0.35">
      <c r="N17564" s="676"/>
    </row>
    <row r="17565" spans="14:14" x14ac:dyDescent="0.35">
      <c r="N17565" s="676"/>
    </row>
    <row r="17566" spans="14:14" x14ac:dyDescent="0.35">
      <c r="N17566" s="676"/>
    </row>
    <row r="17567" spans="14:14" x14ac:dyDescent="0.35">
      <c r="N17567" s="676"/>
    </row>
    <row r="17568" spans="14:14" x14ac:dyDescent="0.35">
      <c r="N17568" s="676"/>
    </row>
    <row r="17569" spans="14:14" x14ac:dyDescent="0.35">
      <c r="N17569" s="676"/>
    </row>
    <row r="17570" spans="14:14" x14ac:dyDescent="0.35">
      <c r="N17570" s="676"/>
    </row>
    <row r="17571" spans="14:14" x14ac:dyDescent="0.35">
      <c r="N17571" s="676"/>
    </row>
    <row r="17572" spans="14:14" x14ac:dyDescent="0.35">
      <c r="N17572" s="676"/>
    </row>
    <row r="17573" spans="14:14" x14ac:dyDescent="0.35">
      <c r="N17573" s="676"/>
    </row>
    <row r="17574" spans="14:14" x14ac:dyDescent="0.35">
      <c r="N17574" s="676"/>
    </row>
    <row r="17575" spans="14:14" x14ac:dyDescent="0.35">
      <c r="N17575" s="676"/>
    </row>
    <row r="17576" spans="14:14" x14ac:dyDescent="0.35">
      <c r="N17576" s="676"/>
    </row>
    <row r="17577" spans="14:14" x14ac:dyDescent="0.35">
      <c r="N17577" s="676"/>
    </row>
    <row r="17578" spans="14:14" x14ac:dyDescent="0.35">
      <c r="N17578" s="676"/>
    </row>
    <row r="17579" spans="14:14" x14ac:dyDescent="0.35">
      <c r="N17579" s="676"/>
    </row>
    <row r="17580" spans="14:14" x14ac:dyDescent="0.35">
      <c r="N17580" s="676"/>
    </row>
    <row r="17581" spans="14:14" x14ac:dyDescent="0.35">
      <c r="N17581" s="676"/>
    </row>
    <row r="17582" spans="14:14" x14ac:dyDescent="0.35">
      <c r="N17582" s="676"/>
    </row>
    <row r="17583" spans="14:14" x14ac:dyDescent="0.35">
      <c r="N17583" s="676"/>
    </row>
    <row r="17584" spans="14:14" x14ac:dyDescent="0.35">
      <c r="N17584" s="676"/>
    </row>
    <row r="17585" spans="14:14" x14ac:dyDescent="0.35">
      <c r="N17585" s="676"/>
    </row>
    <row r="17586" spans="14:14" x14ac:dyDescent="0.35">
      <c r="N17586" s="676"/>
    </row>
    <row r="17587" spans="14:14" x14ac:dyDescent="0.35">
      <c r="N17587" s="676"/>
    </row>
    <row r="17588" spans="14:14" x14ac:dyDescent="0.35">
      <c r="N17588" s="676"/>
    </row>
    <row r="17589" spans="14:14" x14ac:dyDescent="0.35">
      <c r="N17589" s="676"/>
    </row>
    <row r="17590" spans="14:14" x14ac:dyDescent="0.35">
      <c r="N17590" s="676"/>
    </row>
    <row r="17591" spans="14:14" x14ac:dyDescent="0.35">
      <c r="N17591" s="676"/>
    </row>
    <row r="17592" spans="14:14" x14ac:dyDescent="0.35">
      <c r="N17592" s="676"/>
    </row>
    <row r="17593" spans="14:14" x14ac:dyDescent="0.35">
      <c r="N17593" s="676"/>
    </row>
    <row r="17594" spans="14:14" x14ac:dyDescent="0.35">
      <c r="N17594" s="676"/>
    </row>
    <row r="17595" spans="14:14" x14ac:dyDescent="0.35">
      <c r="N17595" s="676"/>
    </row>
    <row r="17596" spans="14:14" x14ac:dyDescent="0.35">
      <c r="N17596" s="676"/>
    </row>
    <row r="17597" spans="14:14" x14ac:dyDescent="0.35">
      <c r="N17597" s="676"/>
    </row>
    <row r="17598" spans="14:14" x14ac:dyDescent="0.35">
      <c r="N17598" s="676"/>
    </row>
    <row r="17599" spans="14:14" x14ac:dyDescent="0.35">
      <c r="N17599" s="676"/>
    </row>
    <row r="17600" spans="14:14" x14ac:dyDescent="0.35">
      <c r="N17600" s="676"/>
    </row>
    <row r="17601" spans="14:14" x14ac:dyDescent="0.35">
      <c r="N17601" s="676"/>
    </row>
    <row r="17602" spans="14:14" x14ac:dyDescent="0.35">
      <c r="N17602" s="676"/>
    </row>
    <row r="17603" spans="14:14" x14ac:dyDescent="0.35">
      <c r="N17603" s="676"/>
    </row>
    <row r="17604" spans="14:14" x14ac:dyDescent="0.35">
      <c r="N17604" s="676"/>
    </row>
    <row r="17605" spans="14:14" x14ac:dyDescent="0.35">
      <c r="N17605" s="676"/>
    </row>
    <row r="17606" spans="14:14" x14ac:dyDescent="0.35">
      <c r="N17606" s="676"/>
    </row>
    <row r="17607" spans="14:14" x14ac:dyDescent="0.35">
      <c r="N17607" s="676"/>
    </row>
    <row r="17608" spans="14:14" x14ac:dyDescent="0.35">
      <c r="N17608" s="676"/>
    </row>
    <row r="17609" spans="14:14" x14ac:dyDescent="0.35">
      <c r="N17609" s="676"/>
    </row>
    <row r="17610" spans="14:14" x14ac:dyDescent="0.35">
      <c r="N17610" s="676"/>
    </row>
    <row r="17611" spans="14:14" x14ac:dyDescent="0.35">
      <c r="N17611" s="676"/>
    </row>
    <row r="17612" spans="14:14" x14ac:dyDescent="0.35">
      <c r="N17612" s="676"/>
    </row>
    <row r="17613" spans="14:14" x14ac:dyDescent="0.35">
      <c r="N17613" s="676"/>
    </row>
    <row r="17614" spans="14:14" x14ac:dyDescent="0.35">
      <c r="N17614" s="676"/>
    </row>
    <row r="17615" spans="14:14" x14ac:dyDescent="0.35">
      <c r="N17615" s="676"/>
    </row>
    <row r="17616" spans="14:14" x14ac:dyDescent="0.35">
      <c r="N17616" s="676"/>
    </row>
    <row r="17617" spans="14:14" x14ac:dyDescent="0.35">
      <c r="N17617" s="676"/>
    </row>
    <row r="17618" spans="14:14" x14ac:dyDescent="0.35">
      <c r="N17618" s="676"/>
    </row>
    <row r="17619" spans="14:14" x14ac:dyDescent="0.35">
      <c r="N17619" s="676"/>
    </row>
    <row r="17620" spans="14:14" x14ac:dyDescent="0.35">
      <c r="N17620" s="676"/>
    </row>
    <row r="17621" spans="14:14" x14ac:dyDescent="0.35">
      <c r="N17621" s="676"/>
    </row>
    <row r="17622" spans="14:14" x14ac:dyDescent="0.35">
      <c r="N17622" s="676"/>
    </row>
    <row r="17623" spans="14:14" x14ac:dyDescent="0.35">
      <c r="N17623" s="676"/>
    </row>
    <row r="17624" spans="14:14" x14ac:dyDescent="0.35">
      <c r="N17624" s="676"/>
    </row>
    <row r="17625" spans="14:14" x14ac:dyDescent="0.35">
      <c r="N17625" s="676"/>
    </row>
    <row r="17626" spans="14:14" x14ac:dyDescent="0.35">
      <c r="N17626" s="676"/>
    </row>
    <row r="17627" spans="14:14" x14ac:dyDescent="0.35">
      <c r="N17627" s="676"/>
    </row>
    <row r="17628" spans="14:14" x14ac:dyDescent="0.35">
      <c r="N17628" s="676"/>
    </row>
    <row r="17629" spans="14:14" x14ac:dyDescent="0.35">
      <c r="N17629" s="676"/>
    </row>
    <row r="17630" spans="14:14" x14ac:dyDescent="0.35">
      <c r="N17630" s="676"/>
    </row>
    <row r="17631" spans="14:14" x14ac:dyDescent="0.35">
      <c r="N17631" s="676"/>
    </row>
    <row r="17632" spans="14:14" x14ac:dyDescent="0.35">
      <c r="N17632" s="676"/>
    </row>
    <row r="17633" spans="14:14" x14ac:dyDescent="0.35">
      <c r="N17633" s="676"/>
    </row>
    <row r="17634" spans="14:14" x14ac:dyDescent="0.35">
      <c r="N17634" s="676"/>
    </row>
    <row r="17635" spans="14:14" x14ac:dyDescent="0.35">
      <c r="N17635" s="676"/>
    </row>
    <row r="17636" spans="14:14" x14ac:dyDescent="0.35">
      <c r="N17636" s="676"/>
    </row>
    <row r="17637" spans="14:14" x14ac:dyDescent="0.35">
      <c r="N17637" s="676"/>
    </row>
    <row r="17638" spans="14:14" x14ac:dyDescent="0.35">
      <c r="N17638" s="676"/>
    </row>
    <row r="17639" spans="14:14" x14ac:dyDescent="0.35">
      <c r="N17639" s="676"/>
    </row>
    <row r="17640" spans="14:14" x14ac:dyDescent="0.35">
      <c r="N17640" s="676"/>
    </row>
    <row r="17641" spans="14:14" x14ac:dyDescent="0.35">
      <c r="N17641" s="676"/>
    </row>
    <row r="17642" spans="14:14" x14ac:dyDescent="0.35">
      <c r="N17642" s="676"/>
    </row>
    <row r="17643" spans="14:14" x14ac:dyDescent="0.35">
      <c r="N17643" s="676"/>
    </row>
    <row r="17644" spans="14:14" x14ac:dyDescent="0.35">
      <c r="N17644" s="676"/>
    </row>
    <row r="17645" spans="14:14" x14ac:dyDescent="0.35">
      <c r="N17645" s="676"/>
    </row>
    <row r="17646" spans="14:14" x14ac:dyDescent="0.35">
      <c r="N17646" s="676"/>
    </row>
    <row r="17647" spans="14:14" x14ac:dyDescent="0.35">
      <c r="N17647" s="676"/>
    </row>
    <row r="17648" spans="14:14" x14ac:dyDescent="0.35">
      <c r="N17648" s="676"/>
    </row>
    <row r="17649" spans="14:14" x14ac:dyDescent="0.35">
      <c r="N17649" s="676"/>
    </row>
    <row r="17650" spans="14:14" x14ac:dyDescent="0.35">
      <c r="N17650" s="676"/>
    </row>
    <row r="17651" spans="14:14" x14ac:dyDescent="0.35">
      <c r="N17651" s="676"/>
    </row>
    <row r="17652" spans="14:14" x14ac:dyDescent="0.35">
      <c r="N17652" s="676"/>
    </row>
    <row r="17653" spans="14:14" x14ac:dyDescent="0.35">
      <c r="N17653" s="676"/>
    </row>
    <row r="17654" spans="14:14" x14ac:dyDescent="0.35">
      <c r="N17654" s="676"/>
    </row>
    <row r="17655" spans="14:14" x14ac:dyDescent="0.35">
      <c r="N17655" s="676"/>
    </row>
    <row r="17656" spans="14:14" x14ac:dyDescent="0.35">
      <c r="N17656" s="676"/>
    </row>
    <row r="17657" spans="14:14" x14ac:dyDescent="0.35">
      <c r="N17657" s="676"/>
    </row>
    <row r="17658" spans="14:14" x14ac:dyDescent="0.35">
      <c r="N17658" s="676"/>
    </row>
    <row r="17659" spans="14:14" x14ac:dyDescent="0.35">
      <c r="N17659" s="676"/>
    </row>
    <row r="17660" spans="14:14" x14ac:dyDescent="0.35">
      <c r="N17660" s="676"/>
    </row>
    <row r="17661" spans="14:14" x14ac:dyDescent="0.35">
      <c r="N17661" s="676"/>
    </row>
    <row r="17662" spans="14:14" x14ac:dyDescent="0.35">
      <c r="N17662" s="676"/>
    </row>
    <row r="17663" spans="14:14" x14ac:dyDescent="0.35">
      <c r="N17663" s="676"/>
    </row>
    <row r="17664" spans="14:14" x14ac:dyDescent="0.35">
      <c r="N17664" s="676"/>
    </row>
    <row r="17665" spans="14:14" x14ac:dyDescent="0.35">
      <c r="N17665" s="676"/>
    </row>
    <row r="17666" spans="14:14" x14ac:dyDescent="0.35">
      <c r="N17666" s="676"/>
    </row>
    <row r="17667" spans="14:14" x14ac:dyDescent="0.35">
      <c r="N17667" s="676"/>
    </row>
    <row r="17668" spans="14:14" x14ac:dyDescent="0.35">
      <c r="N17668" s="676"/>
    </row>
    <row r="17669" spans="14:14" x14ac:dyDescent="0.35">
      <c r="N17669" s="676"/>
    </row>
    <row r="17670" spans="14:14" x14ac:dyDescent="0.35">
      <c r="N17670" s="676"/>
    </row>
    <row r="17671" spans="14:14" x14ac:dyDescent="0.35">
      <c r="N17671" s="676"/>
    </row>
    <row r="17672" spans="14:14" x14ac:dyDescent="0.35">
      <c r="N17672" s="676"/>
    </row>
    <row r="17673" spans="14:14" x14ac:dyDescent="0.35">
      <c r="N17673" s="676"/>
    </row>
    <row r="17674" spans="14:14" x14ac:dyDescent="0.35">
      <c r="N17674" s="676"/>
    </row>
    <row r="17675" spans="14:14" x14ac:dyDescent="0.35">
      <c r="N17675" s="676"/>
    </row>
    <row r="17676" spans="14:14" x14ac:dyDescent="0.35">
      <c r="N17676" s="676"/>
    </row>
    <row r="17677" spans="14:14" x14ac:dyDescent="0.35">
      <c r="N17677" s="676"/>
    </row>
    <row r="17678" spans="14:14" x14ac:dyDescent="0.35">
      <c r="N17678" s="676"/>
    </row>
    <row r="17679" spans="14:14" x14ac:dyDescent="0.35">
      <c r="N17679" s="676"/>
    </row>
    <row r="17680" spans="14:14" x14ac:dyDescent="0.35">
      <c r="N17680" s="676"/>
    </row>
    <row r="17681" spans="14:14" x14ac:dyDescent="0.35">
      <c r="N17681" s="676"/>
    </row>
    <row r="17682" spans="14:14" x14ac:dyDescent="0.35">
      <c r="N17682" s="676"/>
    </row>
    <row r="17683" spans="14:14" x14ac:dyDescent="0.35">
      <c r="N17683" s="676"/>
    </row>
    <row r="17684" spans="14:14" x14ac:dyDescent="0.35">
      <c r="N17684" s="676"/>
    </row>
    <row r="17685" spans="14:14" x14ac:dyDescent="0.35">
      <c r="N17685" s="676"/>
    </row>
    <row r="17686" spans="14:14" x14ac:dyDescent="0.35">
      <c r="N17686" s="676"/>
    </row>
    <row r="17687" spans="14:14" x14ac:dyDescent="0.35">
      <c r="N17687" s="676"/>
    </row>
    <row r="17688" spans="14:14" x14ac:dyDescent="0.35">
      <c r="N17688" s="676"/>
    </row>
    <row r="17689" spans="14:14" x14ac:dyDescent="0.35">
      <c r="N17689" s="676"/>
    </row>
    <row r="17690" spans="14:14" x14ac:dyDescent="0.35">
      <c r="N17690" s="676"/>
    </row>
    <row r="17691" spans="14:14" x14ac:dyDescent="0.35">
      <c r="N17691" s="676"/>
    </row>
    <row r="17692" spans="14:14" x14ac:dyDescent="0.35">
      <c r="N17692" s="676"/>
    </row>
    <row r="17693" spans="14:14" x14ac:dyDescent="0.35">
      <c r="N17693" s="676"/>
    </row>
    <row r="17694" spans="14:14" x14ac:dyDescent="0.35">
      <c r="N17694" s="676"/>
    </row>
    <row r="17695" spans="14:14" x14ac:dyDescent="0.35">
      <c r="N17695" s="676"/>
    </row>
    <row r="17696" spans="14:14" x14ac:dyDescent="0.35">
      <c r="N17696" s="676"/>
    </row>
    <row r="17697" spans="14:14" x14ac:dyDescent="0.35">
      <c r="N17697" s="676"/>
    </row>
    <row r="17698" spans="14:14" x14ac:dyDescent="0.35">
      <c r="N17698" s="676"/>
    </row>
    <row r="17699" spans="14:14" x14ac:dyDescent="0.35">
      <c r="N17699" s="676"/>
    </row>
    <row r="17700" spans="14:14" x14ac:dyDescent="0.35">
      <c r="N17700" s="676"/>
    </row>
    <row r="17701" spans="14:14" x14ac:dyDescent="0.35">
      <c r="N17701" s="676"/>
    </row>
    <row r="17702" spans="14:14" x14ac:dyDescent="0.35">
      <c r="N17702" s="676"/>
    </row>
    <row r="17703" spans="14:14" x14ac:dyDescent="0.35">
      <c r="N17703" s="676"/>
    </row>
    <row r="17704" spans="14:14" x14ac:dyDescent="0.35">
      <c r="N17704" s="676"/>
    </row>
    <row r="17705" spans="14:14" x14ac:dyDescent="0.35">
      <c r="N17705" s="676"/>
    </row>
    <row r="17706" spans="14:14" x14ac:dyDescent="0.35">
      <c r="N17706" s="676"/>
    </row>
    <row r="17707" spans="14:14" x14ac:dyDescent="0.35">
      <c r="N17707" s="676"/>
    </row>
    <row r="17708" spans="14:14" x14ac:dyDescent="0.35">
      <c r="N17708" s="676"/>
    </row>
    <row r="17709" spans="14:14" x14ac:dyDescent="0.35">
      <c r="N17709" s="676"/>
    </row>
    <row r="17710" spans="14:14" x14ac:dyDescent="0.35">
      <c r="N17710" s="676"/>
    </row>
    <row r="17711" spans="14:14" x14ac:dyDescent="0.35">
      <c r="N17711" s="676"/>
    </row>
    <row r="17712" spans="14:14" x14ac:dyDescent="0.35">
      <c r="N17712" s="676"/>
    </row>
    <row r="17713" spans="14:14" x14ac:dyDescent="0.35">
      <c r="N17713" s="676"/>
    </row>
    <row r="17714" spans="14:14" x14ac:dyDescent="0.35">
      <c r="N17714" s="676"/>
    </row>
    <row r="17715" spans="14:14" x14ac:dyDescent="0.35">
      <c r="N17715" s="676"/>
    </row>
    <row r="17716" spans="14:14" x14ac:dyDescent="0.35">
      <c r="N17716" s="676"/>
    </row>
    <row r="17717" spans="14:14" x14ac:dyDescent="0.35">
      <c r="N17717" s="676"/>
    </row>
    <row r="17718" spans="14:14" x14ac:dyDescent="0.35">
      <c r="N17718" s="676"/>
    </row>
    <row r="17719" spans="14:14" x14ac:dyDescent="0.35">
      <c r="N17719" s="676"/>
    </row>
    <row r="17720" spans="14:14" x14ac:dyDescent="0.35">
      <c r="N17720" s="676"/>
    </row>
    <row r="17721" spans="14:14" x14ac:dyDescent="0.35">
      <c r="N17721" s="676"/>
    </row>
    <row r="17722" spans="14:14" x14ac:dyDescent="0.35">
      <c r="N17722" s="676"/>
    </row>
    <row r="17723" spans="14:14" x14ac:dyDescent="0.35">
      <c r="N17723" s="676"/>
    </row>
    <row r="17724" spans="14:14" x14ac:dyDescent="0.35">
      <c r="N17724" s="676"/>
    </row>
    <row r="17725" spans="14:14" x14ac:dyDescent="0.35">
      <c r="N17725" s="676"/>
    </row>
    <row r="17726" spans="14:14" x14ac:dyDescent="0.35">
      <c r="N17726" s="676"/>
    </row>
    <row r="17727" spans="14:14" x14ac:dyDescent="0.35">
      <c r="N17727" s="676"/>
    </row>
    <row r="17728" spans="14:14" x14ac:dyDescent="0.35">
      <c r="N17728" s="676"/>
    </row>
    <row r="17729" spans="14:14" x14ac:dyDescent="0.35">
      <c r="N17729" s="676"/>
    </row>
    <row r="17730" spans="14:14" x14ac:dyDescent="0.35">
      <c r="N17730" s="676"/>
    </row>
    <row r="17731" spans="14:14" x14ac:dyDescent="0.35">
      <c r="N17731" s="676"/>
    </row>
    <row r="17732" spans="14:14" x14ac:dyDescent="0.35">
      <c r="N17732" s="676"/>
    </row>
    <row r="17733" spans="14:14" x14ac:dyDescent="0.35">
      <c r="N17733" s="676"/>
    </row>
    <row r="17734" spans="14:14" x14ac:dyDescent="0.35">
      <c r="N17734" s="676"/>
    </row>
    <row r="17735" spans="14:14" x14ac:dyDescent="0.35">
      <c r="N17735" s="676"/>
    </row>
    <row r="17736" spans="14:14" x14ac:dyDescent="0.35">
      <c r="N17736" s="676"/>
    </row>
    <row r="17737" spans="14:14" x14ac:dyDescent="0.35">
      <c r="N17737" s="676"/>
    </row>
    <row r="17738" spans="14:14" x14ac:dyDescent="0.35">
      <c r="N17738" s="676"/>
    </row>
    <row r="17739" spans="14:14" x14ac:dyDescent="0.35">
      <c r="N17739" s="676"/>
    </row>
    <row r="17740" spans="14:14" x14ac:dyDescent="0.35">
      <c r="N17740" s="676"/>
    </row>
    <row r="17741" spans="14:14" x14ac:dyDescent="0.35">
      <c r="N17741" s="676"/>
    </row>
    <row r="17742" spans="14:14" x14ac:dyDescent="0.35">
      <c r="N17742" s="676"/>
    </row>
    <row r="17743" spans="14:14" x14ac:dyDescent="0.35">
      <c r="N17743" s="676"/>
    </row>
    <row r="17744" spans="14:14" x14ac:dyDescent="0.35">
      <c r="N17744" s="676"/>
    </row>
    <row r="17745" spans="14:14" x14ac:dyDescent="0.35">
      <c r="N17745" s="676"/>
    </row>
    <row r="17746" spans="14:14" x14ac:dyDescent="0.35">
      <c r="N17746" s="676"/>
    </row>
    <row r="17747" spans="14:14" x14ac:dyDescent="0.35">
      <c r="N17747" s="676"/>
    </row>
    <row r="17748" spans="14:14" x14ac:dyDescent="0.35">
      <c r="N17748" s="676"/>
    </row>
    <row r="17749" spans="14:14" x14ac:dyDescent="0.35">
      <c r="N17749" s="676"/>
    </row>
    <row r="17750" spans="14:14" x14ac:dyDescent="0.35">
      <c r="N17750" s="676"/>
    </row>
    <row r="17751" spans="14:14" x14ac:dyDescent="0.35">
      <c r="N17751" s="676"/>
    </row>
    <row r="17752" spans="14:14" x14ac:dyDescent="0.35">
      <c r="N17752" s="676"/>
    </row>
    <row r="17753" spans="14:14" x14ac:dyDescent="0.35">
      <c r="N17753" s="676"/>
    </row>
    <row r="17754" spans="14:14" x14ac:dyDescent="0.35">
      <c r="N17754" s="676"/>
    </row>
    <row r="17755" spans="14:14" x14ac:dyDescent="0.35">
      <c r="N17755" s="676"/>
    </row>
    <row r="17756" spans="14:14" x14ac:dyDescent="0.35">
      <c r="N17756" s="676"/>
    </row>
    <row r="17757" spans="14:14" x14ac:dyDescent="0.35">
      <c r="N17757" s="676"/>
    </row>
    <row r="17758" spans="14:14" x14ac:dyDescent="0.35">
      <c r="N17758" s="676"/>
    </row>
    <row r="17759" spans="14:14" x14ac:dyDescent="0.35">
      <c r="N17759" s="676"/>
    </row>
    <row r="17760" spans="14:14" x14ac:dyDescent="0.35">
      <c r="N17760" s="676"/>
    </row>
    <row r="17761" spans="14:14" x14ac:dyDescent="0.35">
      <c r="N17761" s="676"/>
    </row>
    <row r="17762" spans="14:14" x14ac:dyDescent="0.35">
      <c r="N17762" s="676"/>
    </row>
    <row r="17763" spans="14:14" x14ac:dyDescent="0.35">
      <c r="N17763" s="676"/>
    </row>
    <row r="17764" spans="14:14" x14ac:dyDescent="0.35">
      <c r="N17764" s="676"/>
    </row>
    <row r="17765" spans="14:14" x14ac:dyDescent="0.35">
      <c r="N17765" s="676"/>
    </row>
    <row r="17766" spans="14:14" x14ac:dyDescent="0.35">
      <c r="N17766" s="676"/>
    </row>
    <row r="17767" spans="14:14" x14ac:dyDescent="0.35">
      <c r="N17767" s="676"/>
    </row>
    <row r="17768" spans="14:14" x14ac:dyDescent="0.35">
      <c r="N17768" s="676"/>
    </row>
    <row r="17769" spans="14:14" x14ac:dyDescent="0.35">
      <c r="N17769" s="676"/>
    </row>
    <row r="17770" spans="14:14" x14ac:dyDescent="0.35">
      <c r="N17770" s="676"/>
    </row>
    <row r="17771" spans="14:14" x14ac:dyDescent="0.35">
      <c r="N17771" s="676"/>
    </row>
    <row r="17772" spans="14:14" x14ac:dyDescent="0.35">
      <c r="N17772" s="676"/>
    </row>
    <row r="17773" spans="14:14" x14ac:dyDescent="0.35">
      <c r="N17773" s="676"/>
    </row>
    <row r="17774" spans="14:14" x14ac:dyDescent="0.35">
      <c r="N17774" s="676"/>
    </row>
    <row r="17775" spans="14:14" x14ac:dyDescent="0.35">
      <c r="N17775" s="676"/>
    </row>
    <row r="17776" spans="14:14" x14ac:dyDescent="0.35">
      <c r="N17776" s="676"/>
    </row>
    <row r="17777" spans="14:14" x14ac:dyDescent="0.35">
      <c r="N17777" s="676"/>
    </row>
    <row r="17778" spans="14:14" x14ac:dyDescent="0.35">
      <c r="N17778" s="676"/>
    </row>
    <row r="17779" spans="14:14" x14ac:dyDescent="0.35">
      <c r="N17779" s="676"/>
    </row>
    <row r="17780" spans="14:14" x14ac:dyDescent="0.35">
      <c r="N17780" s="676"/>
    </row>
    <row r="17781" spans="14:14" x14ac:dyDescent="0.35">
      <c r="N17781" s="676"/>
    </row>
    <row r="17782" spans="14:14" x14ac:dyDescent="0.35">
      <c r="N17782" s="676"/>
    </row>
    <row r="17783" spans="14:14" x14ac:dyDescent="0.35">
      <c r="N17783" s="676"/>
    </row>
    <row r="17784" spans="14:14" x14ac:dyDescent="0.35">
      <c r="N17784" s="676"/>
    </row>
    <row r="17785" spans="14:14" x14ac:dyDescent="0.35">
      <c r="N17785" s="676"/>
    </row>
    <row r="17786" spans="14:14" x14ac:dyDescent="0.35">
      <c r="N17786" s="676"/>
    </row>
    <row r="17787" spans="14:14" x14ac:dyDescent="0.35">
      <c r="N17787" s="676"/>
    </row>
    <row r="17788" spans="14:14" x14ac:dyDescent="0.35">
      <c r="N17788" s="676"/>
    </row>
    <row r="17789" spans="14:14" x14ac:dyDescent="0.35">
      <c r="N17789" s="676"/>
    </row>
    <row r="17790" spans="14:14" x14ac:dyDescent="0.35">
      <c r="N17790" s="676"/>
    </row>
    <row r="17791" spans="14:14" x14ac:dyDescent="0.35">
      <c r="N17791" s="676"/>
    </row>
    <row r="17792" spans="14:14" x14ac:dyDescent="0.35">
      <c r="N17792" s="676"/>
    </row>
    <row r="17793" spans="14:14" x14ac:dyDescent="0.35">
      <c r="N17793" s="676"/>
    </row>
    <row r="17794" spans="14:14" x14ac:dyDescent="0.35">
      <c r="N17794" s="676"/>
    </row>
    <row r="17795" spans="14:14" x14ac:dyDescent="0.35">
      <c r="N17795" s="676"/>
    </row>
    <row r="17796" spans="14:14" x14ac:dyDescent="0.35">
      <c r="N17796" s="676"/>
    </row>
    <row r="17797" spans="14:14" x14ac:dyDescent="0.35">
      <c r="N17797" s="676"/>
    </row>
    <row r="17798" spans="14:14" x14ac:dyDescent="0.35">
      <c r="N17798" s="676"/>
    </row>
    <row r="17799" spans="14:14" x14ac:dyDescent="0.35">
      <c r="N17799" s="676"/>
    </row>
    <row r="17800" spans="14:14" x14ac:dyDescent="0.35">
      <c r="N17800" s="676"/>
    </row>
    <row r="17801" spans="14:14" x14ac:dyDescent="0.35">
      <c r="N17801" s="676"/>
    </row>
    <row r="17802" spans="14:14" x14ac:dyDescent="0.35">
      <c r="N17802" s="676"/>
    </row>
    <row r="17803" spans="14:14" x14ac:dyDescent="0.35">
      <c r="N17803" s="676"/>
    </row>
    <row r="17804" spans="14:14" x14ac:dyDescent="0.35">
      <c r="N17804" s="676"/>
    </row>
    <row r="17805" spans="14:14" x14ac:dyDescent="0.35">
      <c r="N17805" s="676"/>
    </row>
    <row r="17806" spans="14:14" x14ac:dyDescent="0.35">
      <c r="N17806" s="676"/>
    </row>
    <row r="17807" spans="14:14" x14ac:dyDescent="0.35">
      <c r="N17807" s="676"/>
    </row>
    <row r="17808" spans="14:14" x14ac:dyDescent="0.35">
      <c r="N17808" s="676"/>
    </row>
    <row r="17809" spans="14:14" x14ac:dyDescent="0.35">
      <c r="N17809" s="676"/>
    </row>
    <row r="17810" spans="14:14" x14ac:dyDescent="0.35">
      <c r="N17810" s="676"/>
    </row>
    <row r="17811" spans="14:14" x14ac:dyDescent="0.35">
      <c r="N17811" s="676"/>
    </row>
    <row r="17812" spans="14:14" x14ac:dyDescent="0.35">
      <c r="N17812" s="676"/>
    </row>
    <row r="17813" spans="14:14" x14ac:dyDescent="0.35">
      <c r="N17813" s="676"/>
    </row>
    <row r="17814" spans="14:14" x14ac:dyDescent="0.35">
      <c r="N17814" s="676"/>
    </row>
    <row r="17815" spans="14:14" x14ac:dyDescent="0.35">
      <c r="N17815" s="676"/>
    </row>
    <row r="17816" spans="14:14" x14ac:dyDescent="0.35">
      <c r="N17816" s="676"/>
    </row>
    <row r="17817" spans="14:14" x14ac:dyDescent="0.35">
      <c r="N17817" s="676"/>
    </row>
    <row r="17818" spans="14:14" x14ac:dyDescent="0.35">
      <c r="N17818" s="676"/>
    </row>
    <row r="17819" spans="14:14" x14ac:dyDescent="0.35">
      <c r="N17819" s="676"/>
    </row>
    <row r="17820" spans="14:14" x14ac:dyDescent="0.35">
      <c r="N17820" s="676"/>
    </row>
    <row r="17821" spans="14:14" x14ac:dyDescent="0.35">
      <c r="N17821" s="676"/>
    </row>
    <row r="17822" spans="14:14" x14ac:dyDescent="0.35">
      <c r="N17822" s="676"/>
    </row>
    <row r="17823" spans="14:14" x14ac:dyDescent="0.35">
      <c r="N17823" s="676"/>
    </row>
    <row r="17824" spans="14:14" x14ac:dyDescent="0.35">
      <c r="N17824" s="676"/>
    </row>
    <row r="17825" spans="14:14" x14ac:dyDescent="0.35">
      <c r="N17825" s="676"/>
    </row>
    <row r="17826" spans="14:14" x14ac:dyDescent="0.35">
      <c r="N17826" s="676"/>
    </row>
    <row r="17827" spans="14:14" x14ac:dyDescent="0.35">
      <c r="N17827" s="676"/>
    </row>
    <row r="17828" spans="14:14" x14ac:dyDescent="0.35">
      <c r="N17828" s="676"/>
    </row>
    <row r="17829" spans="14:14" x14ac:dyDescent="0.35">
      <c r="N17829" s="676"/>
    </row>
    <row r="17830" spans="14:14" x14ac:dyDescent="0.35">
      <c r="N17830" s="676"/>
    </row>
    <row r="17831" spans="14:14" x14ac:dyDescent="0.35">
      <c r="N17831" s="676"/>
    </row>
    <row r="17832" spans="14:14" x14ac:dyDescent="0.35">
      <c r="N17832" s="676"/>
    </row>
    <row r="17833" spans="14:14" x14ac:dyDescent="0.35">
      <c r="N17833" s="676"/>
    </row>
    <row r="17834" spans="14:14" x14ac:dyDescent="0.35">
      <c r="N17834" s="676"/>
    </row>
    <row r="17835" spans="14:14" x14ac:dyDescent="0.35">
      <c r="N17835" s="676"/>
    </row>
    <row r="17836" spans="14:14" x14ac:dyDescent="0.35">
      <c r="N17836" s="676"/>
    </row>
    <row r="17837" spans="14:14" x14ac:dyDescent="0.35">
      <c r="N17837" s="676"/>
    </row>
    <row r="17838" spans="14:14" x14ac:dyDescent="0.35">
      <c r="N17838" s="676"/>
    </row>
    <row r="17839" spans="14:14" x14ac:dyDescent="0.35">
      <c r="N17839" s="676"/>
    </row>
    <row r="17840" spans="14:14" x14ac:dyDescent="0.35">
      <c r="N17840" s="676"/>
    </row>
    <row r="17841" spans="14:14" x14ac:dyDescent="0.35">
      <c r="N17841" s="676"/>
    </row>
    <row r="17842" spans="14:14" x14ac:dyDescent="0.35">
      <c r="N17842" s="676"/>
    </row>
    <row r="17843" spans="14:14" x14ac:dyDescent="0.35">
      <c r="N17843" s="676"/>
    </row>
    <row r="17844" spans="14:14" x14ac:dyDescent="0.35">
      <c r="N17844" s="676"/>
    </row>
    <row r="17845" spans="14:14" x14ac:dyDescent="0.35">
      <c r="N17845" s="676"/>
    </row>
    <row r="17846" spans="14:14" x14ac:dyDescent="0.35">
      <c r="N17846" s="676"/>
    </row>
    <row r="17847" spans="14:14" x14ac:dyDescent="0.35">
      <c r="N17847" s="676"/>
    </row>
    <row r="17848" spans="14:14" x14ac:dyDescent="0.35">
      <c r="N17848" s="676"/>
    </row>
    <row r="17849" spans="14:14" x14ac:dyDescent="0.35">
      <c r="N17849" s="676"/>
    </row>
    <row r="17850" spans="14:14" x14ac:dyDescent="0.35">
      <c r="N17850" s="676"/>
    </row>
    <row r="17851" spans="14:14" x14ac:dyDescent="0.35">
      <c r="N17851" s="676"/>
    </row>
    <row r="17852" spans="14:14" x14ac:dyDescent="0.35">
      <c r="N17852" s="676"/>
    </row>
    <row r="17853" spans="14:14" x14ac:dyDescent="0.35">
      <c r="N17853" s="676"/>
    </row>
    <row r="17854" spans="14:14" x14ac:dyDescent="0.35">
      <c r="N17854" s="676"/>
    </row>
    <row r="17855" spans="14:14" x14ac:dyDescent="0.35">
      <c r="N17855" s="676"/>
    </row>
    <row r="17856" spans="14:14" x14ac:dyDescent="0.35">
      <c r="N17856" s="676"/>
    </row>
    <row r="17857" spans="14:14" x14ac:dyDescent="0.35">
      <c r="N17857" s="676"/>
    </row>
    <row r="17858" spans="14:14" x14ac:dyDescent="0.35">
      <c r="N17858" s="676"/>
    </row>
    <row r="17859" spans="14:14" x14ac:dyDescent="0.35">
      <c r="N17859" s="676"/>
    </row>
    <row r="17860" spans="14:14" x14ac:dyDescent="0.35">
      <c r="N17860" s="676"/>
    </row>
    <row r="17861" spans="14:14" x14ac:dyDescent="0.35">
      <c r="N17861" s="676"/>
    </row>
    <row r="17862" spans="14:14" x14ac:dyDescent="0.35">
      <c r="N17862" s="676"/>
    </row>
    <row r="17863" spans="14:14" x14ac:dyDescent="0.35">
      <c r="N17863" s="676"/>
    </row>
    <row r="17864" spans="14:14" x14ac:dyDescent="0.35">
      <c r="N17864" s="676"/>
    </row>
    <row r="17865" spans="14:14" x14ac:dyDescent="0.35">
      <c r="N17865" s="676"/>
    </row>
    <row r="17866" spans="14:14" x14ac:dyDescent="0.35">
      <c r="N17866" s="676"/>
    </row>
    <row r="17867" spans="14:14" x14ac:dyDescent="0.35">
      <c r="N17867" s="676"/>
    </row>
    <row r="17868" spans="14:14" x14ac:dyDescent="0.35">
      <c r="N17868" s="676"/>
    </row>
    <row r="17869" spans="14:14" x14ac:dyDescent="0.35">
      <c r="N17869" s="676"/>
    </row>
    <row r="17870" spans="14:14" x14ac:dyDescent="0.35">
      <c r="N17870" s="676"/>
    </row>
    <row r="17871" spans="14:14" x14ac:dyDescent="0.35">
      <c r="N17871" s="676"/>
    </row>
    <row r="17872" spans="14:14" x14ac:dyDescent="0.35">
      <c r="N17872" s="676"/>
    </row>
    <row r="17873" spans="14:14" x14ac:dyDescent="0.35">
      <c r="N17873" s="676"/>
    </row>
    <row r="17874" spans="14:14" x14ac:dyDescent="0.35">
      <c r="N17874" s="676"/>
    </row>
    <row r="17875" spans="14:14" x14ac:dyDescent="0.35">
      <c r="N17875" s="676"/>
    </row>
    <row r="17876" spans="14:14" x14ac:dyDescent="0.35">
      <c r="N17876" s="676"/>
    </row>
    <row r="17877" spans="14:14" x14ac:dyDescent="0.35">
      <c r="N17877" s="676"/>
    </row>
    <row r="17878" spans="14:14" x14ac:dyDescent="0.35">
      <c r="N17878" s="676"/>
    </row>
    <row r="17879" spans="14:14" x14ac:dyDescent="0.35">
      <c r="N17879" s="676"/>
    </row>
    <row r="17880" spans="14:14" x14ac:dyDescent="0.35">
      <c r="N17880" s="676"/>
    </row>
    <row r="17881" spans="14:14" x14ac:dyDescent="0.35">
      <c r="N17881" s="676"/>
    </row>
    <row r="17882" spans="14:14" x14ac:dyDescent="0.35">
      <c r="N17882" s="676"/>
    </row>
    <row r="17883" spans="14:14" x14ac:dyDescent="0.35">
      <c r="N17883" s="676"/>
    </row>
    <row r="17884" spans="14:14" x14ac:dyDescent="0.35">
      <c r="N17884" s="676"/>
    </row>
    <row r="17885" spans="14:14" x14ac:dyDescent="0.35">
      <c r="N17885" s="676"/>
    </row>
    <row r="17886" spans="14:14" x14ac:dyDescent="0.35">
      <c r="N17886" s="676"/>
    </row>
    <row r="17887" spans="14:14" x14ac:dyDescent="0.35">
      <c r="N17887" s="676"/>
    </row>
    <row r="17888" spans="14:14" x14ac:dyDescent="0.35">
      <c r="N17888" s="676"/>
    </row>
    <row r="17889" spans="14:14" x14ac:dyDescent="0.35">
      <c r="N17889" s="676"/>
    </row>
    <row r="17890" spans="14:14" x14ac:dyDescent="0.35">
      <c r="N17890" s="676"/>
    </row>
    <row r="17891" spans="14:14" x14ac:dyDescent="0.35">
      <c r="N17891" s="676"/>
    </row>
    <row r="17892" spans="14:14" x14ac:dyDescent="0.35">
      <c r="N17892" s="676"/>
    </row>
    <row r="17893" spans="14:14" x14ac:dyDescent="0.35">
      <c r="N17893" s="676"/>
    </row>
    <row r="17894" spans="14:14" x14ac:dyDescent="0.35">
      <c r="N17894" s="676"/>
    </row>
    <row r="17895" spans="14:14" x14ac:dyDescent="0.35">
      <c r="N17895" s="676"/>
    </row>
    <row r="17896" spans="14:14" x14ac:dyDescent="0.35">
      <c r="N17896" s="676"/>
    </row>
    <row r="17897" spans="14:14" x14ac:dyDescent="0.35">
      <c r="N17897" s="676"/>
    </row>
    <row r="17898" spans="14:14" x14ac:dyDescent="0.35">
      <c r="N17898" s="676"/>
    </row>
    <row r="17899" spans="14:14" x14ac:dyDescent="0.35">
      <c r="N17899" s="676"/>
    </row>
    <row r="17900" spans="14:14" x14ac:dyDescent="0.35">
      <c r="N17900" s="676"/>
    </row>
    <row r="17901" spans="14:14" x14ac:dyDescent="0.35">
      <c r="N17901" s="676"/>
    </row>
    <row r="17902" spans="14:14" x14ac:dyDescent="0.35">
      <c r="N17902" s="676"/>
    </row>
    <row r="17903" spans="14:14" x14ac:dyDescent="0.35">
      <c r="N17903" s="676"/>
    </row>
    <row r="17904" spans="14:14" x14ac:dyDescent="0.35">
      <c r="N17904" s="676"/>
    </row>
    <row r="17905" spans="14:14" x14ac:dyDescent="0.35">
      <c r="N17905" s="676"/>
    </row>
    <row r="17906" spans="14:14" x14ac:dyDescent="0.35">
      <c r="N17906" s="676"/>
    </row>
    <row r="17907" spans="14:14" x14ac:dyDescent="0.35">
      <c r="N17907" s="676"/>
    </row>
    <row r="17908" spans="14:14" x14ac:dyDescent="0.35">
      <c r="N17908" s="676"/>
    </row>
    <row r="17909" spans="14:14" x14ac:dyDescent="0.35">
      <c r="N17909" s="676"/>
    </row>
    <row r="17910" spans="14:14" x14ac:dyDescent="0.35">
      <c r="N17910" s="676"/>
    </row>
    <row r="17911" spans="14:14" x14ac:dyDescent="0.35">
      <c r="N17911" s="676"/>
    </row>
    <row r="17912" spans="14:14" x14ac:dyDescent="0.35">
      <c r="N17912" s="676"/>
    </row>
    <row r="17913" spans="14:14" x14ac:dyDescent="0.35">
      <c r="N17913" s="676"/>
    </row>
    <row r="17914" spans="14:14" x14ac:dyDescent="0.35">
      <c r="N17914" s="676"/>
    </row>
    <row r="17915" spans="14:14" x14ac:dyDescent="0.35">
      <c r="N17915" s="676"/>
    </row>
    <row r="17916" spans="14:14" x14ac:dyDescent="0.35">
      <c r="N17916" s="676"/>
    </row>
    <row r="17917" spans="14:14" x14ac:dyDescent="0.35">
      <c r="N17917" s="676"/>
    </row>
    <row r="17918" spans="14:14" x14ac:dyDescent="0.35">
      <c r="N17918" s="676"/>
    </row>
    <row r="17919" spans="14:14" x14ac:dyDescent="0.35">
      <c r="N17919" s="676"/>
    </row>
    <row r="17920" spans="14:14" x14ac:dyDescent="0.35">
      <c r="N17920" s="676"/>
    </row>
    <row r="17921" spans="14:14" x14ac:dyDescent="0.35">
      <c r="N17921" s="676"/>
    </row>
    <row r="17922" spans="14:14" x14ac:dyDescent="0.35">
      <c r="N17922" s="676"/>
    </row>
    <row r="17923" spans="14:14" x14ac:dyDescent="0.35">
      <c r="N17923" s="676"/>
    </row>
    <row r="17924" spans="14:14" x14ac:dyDescent="0.35">
      <c r="N17924" s="676"/>
    </row>
    <row r="17925" spans="14:14" x14ac:dyDescent="0.35">
      <c r="N17925" s="676"/>
    </row>
    <row r="17926" spans="14:14" x14ac:dyDescent="0.35">
      <c r="N17926" s="676"/>
    </row>
    <row r="17927" spans="14:14" x14ac:dyDescent="0.35">
      <c r="N17927" s="676"/>
    </row>
    <row r="17928" spans="14:14" x14ac:dyDescent="0.35">
      <c r="N17928" s="676"/>
    </row>
    <row r="17929" spans="14:14" x14ac:dyDescent="0.35">
      <c r="N17929" s="676"/>
    </row>
    <row r="17930" spans="14:14" x14ac:dyDescent="0.35">
      <c r="N17930" s="676"/>
    </row>
    <row r="17931" spans="14:14" x14ac:dyDescent="0.35">
      <c r="N17931" s="676"/>
    </row>
    <row r="17932" spans="14:14" x14ac:dyDescent="0.35">
      <c r="N17932" s="676"/>
    </row>
    <row r="17933" spans="14:14" x14ac:dyDescent="0.35">
      <c r="N17933" s="676"/>
    </row>
    <row r="17934" spans="14:14" x14ac:dyDescent="0.35">
      <c r="N17934" s="676"/>
    </row>
    <row r="17935" spans="14:14" x14ac:dyDescent="0.35">
      <c r="N17935" s="676"/>
    </row>
    <row r="17936" spans="14:14" x14ac:dyDescent="0.35">
      <c r="N17936" s="676"/>
    </row>
    <row r="17937" spans="14:14" x14ac:dyDescent="0.35">
      <c r="N17937" s="676"/>
    </row>
    <row r="17938" spans="14:14" x14ac:dyDescent="0.35">
      <c r="N17938" s="676"/>
    </row>
    <row r="17939" spans="14:14" x14ac:dyDescent="0.35">
      <c r="N17939" s="676"/>
    </row>
    <row r="17940" spans="14:14" x14ac:dyDescent="0.35">
      <c r="N17940" s="676"/>
    </row>
    <row r="17941" spans="14:14" x14ac:dyDescent="0.35">
      <c r="N17941" s="676"/>
    </row>
    <row r="17942" spans="14:14" x14ac:dyDescent="0.35">
      <c r="N17942" s="676"/>
    </row>
    <row r="17943" spans="14:14" x14ac:dyDescent="0.35">
      <c r="N17943" s="676"/>
    </row>
    <row r="17944" spans="14:14" x14ac:dyDescent="0.35">
      <c r="N17944" s="676"/>
    </row>
    <row r="17945" spans="14:14" x14ac:dyDescent="0.35">
      <c r="N17945" s="676"/>
    </row>
    <row r="17946" spans="14:14" x14ac:dyDescent="0.35">
      <c r="N17946" s="676"/>
    </row>
    <row r="17947" spans="14:14" x14ac:dyDescent="0.35">
      <c r="N17947" s="676"/>
    </row>
    <row r="17948" spans="14:14" x14ac:dyDescent="0.35">
      <c r="N17948" s="676"/>
    </row>
    <row r="17949" spans="14:14" x14ac:dyDescent="0.35">
      <c r="N17949" s="676"/>
    </row>
    <row r="17950" spans="14:14" x14ac:dyDescent="0.35">
      <c r="N17950" s="676"/>
    </row>
    <row r="17951" spans="14:14" x14ac:dyDescent="0.35">
      <c r="N17951" s="676"/>
    </row>
    <row r="17952" spans="14:14" x14ac:dyDescent="0.35">
      <c r="N17952" s="676"/>
    </row>
    <row r="17953" spans="14:14" x14ac:dyDescent="0.35">
      <c r="N17953" s="676"/>
    </row>
    <row r="17954" spans="14:14" x14ac:dyDescent="0.35">
      <c r="N17954" s="676"/>
    </row>
    <row r="17955" spans="14:14" x14ac:dyDescent="0.35">
      <c r="N17955" s="676"/>
    </row>
    <row r="17956" spans="14:14" x14ac:dyDescent="0.35">
      <c r="N17956" s="676"/>
    </row>
    <row r="17957" spans="14:14" x14ac:dyDescent="0.35">
      <c r="N17957" s="676"/>
    </row>
    <row r="17958" spans="14:14" x14ac:dyDescent="0.35">
      <c r="N17958" s="676"/>
    </row>
    <row r="17959" spans="14:14" x14ac:dyDescent="0.35">
      <c r="N17959" s="676"/>
    </row>
    <row r="17960" spans="14:14" x14ac:dyDescent="0.35">
      <c r="N17960" s="676"/>
    </row>
    <row r="17961" spans="14:14" x14ac:dyDescent="0.35">
      <c r="N17961" s="676"/>
    </row>
    <row r="17962" spans="14:14" x14ac:dyDescent="0.35">
      <c r="N17962" s="676"/>
    </row>
    <row r="17963" spans="14:14" x14ac:dyDescent="0.35">
      <c r="N17963" s="676"/>
    </row>
    <row r="17964" spans="14:14" x14ac:dyDescent="0.35">
      <c r="N17964" s="676"/>
    </row>
    <row r="17965" spans="14:14" x14ac:dyDescent="0.35">
      <c r="N17965" s="676"/>
    </row>
    <row r="17966" spans="14:14" x14ac:dyDescent="0.35">
      <c r="N17966" s="676"/>
    </row>
    <row r="17967" spans="14:14" x14ac:dyDescent="0.35">
      <c r="N17967" s="676"/>
    </row>
    <row r="17968" spans="14:14" x14ac:dyDescent="0.35">
      <c r="N17968" s="676"/>
    </row>
    <row r="17969" spans="14:14" x14ac:dyDescent="0.35">
      <c r="N17969" s="676"/>
    </row>
    <row r="17970" spans="14:14" x14ac:dyDescent="0.35">
      <c r="N17970" s="676"/>
    </row>
    <row r="17971" spans="14:14" x14ac:dyDescent="0.35">
      <c r="N17971" s="676"/>
    </row>
    <row r="17972" spans="14:14" x14ac:dyDescent="0.35">
      <c r="N17972" s="676"/>
    </row>
    <row r="17973" spans="14:14" x14ac:dyDescent="0.35">
      <c r="N17973" s="676"/>
    </row>
    <row r="17974" spans="14:14" x14ac:dyDescent="0.35">
      <c r="N17974" s="676"/>
    </row>
    <row r="17975" spans="14:14" x14ac:dyDescent="0.35">
      <c r="N17975" s="676"/>
    </row>
    <row r="17976" spans="14:14" x14ac:dyDescent="0.35">
      <c r="N17976" s="676"/>
    </row>
    <row r="17977" spans="14:14" x14ac:dyDescent="0.35">
      <c r="N17977" s="676"/>
    </row>
    <row r="17978" spans="14:14" x14ac:dyDescent="0.35">
      <c r="N17978" s="676"/>
    </row>
    <row r="17979" spans="14:14" x14ac:dyDescent="0.35">
      <c r="N17979" s="676"/>
    </row>
    <row r="17980" spans="14:14" x14ac:dyDescent="0.35">
      <c r="N17980" s="676"/>
    </row>
    <row r="17981" spans="14:14" x14ac:dyDescent="0.35">
      <c r="N17981" s="676"/>
    </row>
    <row r="17982" spans="14:14" x14ac:dyDescent="0.35">
      <c r="N17982" s="676"/>
    </row>
    <row r="17983" spans="14:14" x14ac:dyDescent="0.35">
      <c r="N17983" s="676"/>
    </row>
    <row r="17984" spans="14:14" x14ac:dyDescent="0.35">
      <c r="N17984" s="676"/>
    </row>
    <row r="17985" spans="14:14" x14ac:dyDescent="0.35">
      <c r="N17985" s="676"/>
    </row>
    <row r="17986" spans="14:14" x14ac:dyDescent="0.35">
      <c r="N17986" s="676"/>
    </row>
    <row r="17987" spans="14:14" x14ac:dyDescent="0.35">
      <c r="N17987" s="676"/>
    </row>
    <row r="17988" spans="14:14" x14ac:dyDescent="0.35">
      <c r="N17988" s="676"/>
    </row>
    <row r="17989" spans="14:14" x14ac:dyDescent="0.35">
      <c r="N17989" s="676"/>
    </row>
    <row r="17990" spans="14:14" x14ac:dyDescent="0.35">
      <c r="N17990" s="676"/>
    </row>
    <row r="17991" spans="14:14" x14ac:dyDescent="0.35">
      <c r="N17991" s="676"/>
    </row>
    <row r="17992" spans="14:14" x14ac:dyDescent="0.35">
      <c r="N17992" s="676"/>
    </row>
    <row r="17993" spans="14:14" x14ac:dyDescent="0.35">
      <c r="N17993" s="676"/>
    </row>
    <row r="17994" spans="14:14" x14ac:dyDescent="0.35">
      <c r="N17994" s="676"/>
    </row>
    <row r="17995" spans="14:14" x14ac:dyDescent="0.35">
      <c r="N17995" s="676"/>
    </row>
    <row r="17996" spans="14:14" x14ac:dyDescent="0.35">
      <c r="N17996" s="676"/>
    </row>
    <row r="17997" spans="14:14" x14ac:dyDescent="0.35">
      <c r="N17997" s="676"/>
    </row>
    <row r="17998" spans="14:14" x14ac:dyDescent="0.35">
      <c r="N17998" s="676"/>
    </row>
    <row r="17999" spans="14:14" x14ac:dyDescent="0.35">
      <c r="N17999" s="676"/>
    </row>
    <row r="18000" spans="14:14" x14ac:dyDescent="0.35">
      <c r="N18000" s="676"/>
    </row>
    <row r="18001" spans="14:14" x14ac:dyDescent="0.35">
      <c r="N18001" s="676"/>
    </row>
    <row r="18002" spans="14:14" x14ac:dyDescent="0.35">
      <c r="N18002" s="676"/>
    </row>
    <row r="18003" spans="14:14" x14ac:dyDescent="0.35">
      <c r="N18003" s="676"/>
    </row>
    <row r="18004" spans="14:14" x14ac:dyDescent="0.35">
      <c r="N18004" s="676"/>
    </row>
    <row r="18005" spans="14:14" x14ac:dyDescent="0.35">
      <c r="N18005" s="676"/>
    </row>
    <row r="18006" spans="14:14" x14ac:dyDescent="0.35">
      <c r="N18006" s="676"/>
    </row>
    <row r="18007" spans="14:14" x14ac:dyDescent="0.35">
      <c r="N18007" s="676"/>
    </row>
    <row r="18008" spans="14:14" x14ac:dyDescent="0.35">
      <c r="N18008" s="676"/>
    </row>
    <row r="18009" spans="14:14" x14ac:dyDescent="0.35">
      <c r="N18009" s="676"/>
    </row>
    <row r="18010" spans="14:14" x14ac:dyDescent="0.35">
      <c r="N18010" s="676"/>
    </row>
    <row r="18011" spans="14:14" x14ac:dyDescent="0.35">
      <c r="N18011" s="676"/>
    </row>
    <row r="18012" spans="14:14" x14ac:dyDescent="0.35">
      <c r="N18012" s="676"/>
    </row>
    <row r="18013" spans="14:14" x14ac:dyDescent="0.35">
      <c r="N18013" s="676"/>
    </row>
    <row r="18014" spans="14:14" x14ac:dyDescent="0.35">
      <c r="N18014" s="676"/>
    </row>
    <row r="18015" spans="14:14" x14ac:dyDescent="0.35">
      <c r="N18015" s="676"/>
    </row>
    <row r="18016" spans="14:14" x14ac:dyDescent="0.35">
      <c r="N18016" s="676"/>
    </row>
    <row r="18017" spans="14:14" x14ac:dyDescent="0.35">
      <c r="N18017" s="676"/>
    </row>
    <row r="18018" spans="14:14" x14ac:dyDescent="0.35">
      <c r="N18018" s="676"/>
    </row>
    <row r="18019" spans="14:14" x14ac:dyDescent="0.35">
      <c r="N18019" s="676"/>
    </row>
    <row r="18020" spans="14:14" x14ac:dyDescent="0.35">
      <c r="N18020" s="676"/>
    </row>
    <row r="18021" spans="14:14" x14ac:dyDescent="0.35">
      <c r="N18021" s="676"/>
    </row>
    <row r="18022" spans="14:14" x14ac:dyDescent="0.35">
      <c r="N18022" s="676"/>
    </row>
    <row r="18023" spans="14:14" x14ac:dyDescent="0.35">
      <c r="N18023" s="676"/>
    </row>
    <row r="18024" spans="14:14" x14ac:dyDescent="0.35">
      <c r="N18024" s="676"/>
    </row>
    <row r="18025" spans="14:14" x14ac:dyDescent="0.35">
      <c r="N18025" s="676"/>
    </row>
    <row r="18026" spans="14:14" x14ac:dyDescent="0.35">
      <c r="N18026" s="676"/>
    </row>
    <row r="18027" spans="14:14" x14ac:dyDescent="0.35">
      <c r="N18027" s="676"/>
    </row>
    <row r="18028" spans="14:14" x14ac:dyDescent="0.35">
      <c r="N18028" s="676"/>
    </row>
    <row r="18029" spans="14:14" x14ac:dyDescent="0.35">
      <c r="N18029" s="676"/>
    </row>
    <row r="18030" spans="14:14" x14ac:dyDescent="0.35">
      <c r="N18030" s="676"/>
    </row>
    <row r="18031" spans="14:14" x14ac:dyDescent="0.35">
      <c r="N18031" s="676"/>
    </row>
    <row r="18032" spans="14:14" x14ac:dyDescent="0.35">
      <c r="N18032" s="676"/>
    </row>
    <row r="18033" spans="14:14" x14ac:dyDescent="0.35">
      <c r="N18033" s="676"/>
    </row>
    <row r="18034" spans="14:14" x14ac:dyDescent="0.35">
      <c r="N18034" s="676"/>
    </row>
    <row r="18035" spans="14:14" x14ac:dyDescent="0.35">
      <c r="N18035" s="676"/>
    </row>
    <row r="18036" spans="14:14" x14ac:dyDescent="0.35">
      <c r="N18036" s="676"/>
    </row>
    <row r="18037" spans="14:14" x14ac:dyDescent="0.35">
      <c r="N18037" s="676"/>
    </row>
    <row r="18038" spans="14:14" x14ac:dyDescent="0.35">
      <c r="N18038" s="676"/>
    </row>
    <row r="18039" spans="14:14" x14ac:dyDescent="0.35">
      <c r="N18039" s="676"/>
    </row>
    <row r="18040" spans="14:14" x14ac:dyDescent="0.35">
      <c r="N18040" s="676"/>
    </row>
    <row r="18041" spans="14:14" x14ac:dyDescent="0.35">
      <c r="N18041" s="676"/>
    </row>
    <row r="18042" spans="14:14" x14ac:dyDescent="0.35">
      <c r="N18042" s="676"/>
    </row>
    <row r="18043" spans="14:14" x14ac:dyDescent="0.35">
      <c r="N18043" s="676"/>
    </row>
    <row r="18044" spans="14:14" x14ac:dyDescent="0.35">
      <c r="N18044" s="676"/>
    </row>
    <row r="18045" spans="14:14" x14ac:dyDescent="0.35">
      <c r="N18045" s="676"/>
    </row>
    <row r="18046" spans="14:14" x14ac:dyDescent="0.35">
      <c r="N18046" s="676"/>
    </row>
    <row r="18047" spans="14:14" x14ac:dyDescent="0.35">
      <c r="N18047" s="676"/>
    </row>
    <row r="18048" spans="14:14" x14ac:dyDescent="0.35">
      <c r="N18048" s="676"/>
    </row>
    <row r="18049" spans="14:14" x14ac:dyDescent="0.35">
      <c r="N18049" s="676"/>
    </row>
    <row r="18050" spans="14:14" x14ac:dyDescent="0.35">
      <c r="N18050" s="676"/>
    </row>
    <row r="18051" spans="14:14" x14ac:dyDescent="0.35">
      <c r="N18051" s="676"/>
    </row>
    <row r="18052" spans="14:14" x14ac:dyDescent="0.35">
      <c r="N18052" s="676"/>
    </row>
    <row r="18053" spans="14:14" x14ac:dyDescent="0.35">
      <c r="N18053" s="676"/>
    </row>
    <row r="18054" spans="14:14" x14ac:dyDescent="0.35">
      <c r="N18054" s="676"/>
    </row>
    <row r="18055" spans="14:14" x14ac:dyDescent="0.35">
      <c r="N18055" s="676"/>
    </row>
    <row r="18056" spans="14:14" x14ac:dyDescent="0.35">
      <c r="N18056" s="676"/>
    </row>
    <row r="18057" spans="14:14" x14ac:dyDescent="0.35">
      <c r="N18057" s="676"/>
    </row>
    <row r="18058" spans="14:14" x14ac:dyDescent="0.35">
      <c r="N18058" s="676"/>
    </row>
    <row r="18059" spans="14:14" x14ac:dyDescent="0.35">
      <c r="N18059" s="676"/>
    </row>
    <row r="18060" spans="14:14" x14ac:dyDescent="0.35">
      <c r="N18060" s="676"/>
    </row>
    <row r="18061" spans="14:14" x14ac:dyDescent="0.35">
      <c r="N18061" s="676"/>
    </row>
    <row r="18062" spans="14:14" x14ac:dyDescent="0.35">
      <c r="N18062" s="676"/>
    </row>
    <row r="18063" spans="14:14" x14ac:dyDescent="0.35">
      <c r="N18063" s="676"/>
    </row>
    <row r="18064" spans="14:14" x14ac:dyDescent="0.35">
      <c r="N18064" s="676"/>
    </row>
    <row r="18065" spans="14:14" x14ac:dyDescent="0.35">
      <c r="N18065" s="676"/>
    </row>
    <row r="18066" spans="14:14" x14ac:dyDescent="0.35">
      <c r="N18066" s="676"/>
    </row>
    <row r="18067" spans="14:14" x14ac:dyDescent="0.35">
      <c r="N18067" s="676"/>
    </row>
    <row r="18068" spans="14:14" x14ac:dyDescent="0.35">
      <c r="N18068" s="676"/>
    </row>
    <row r="18069" spans="14:14" x14ac:dyDescent="0.35">
      <c r="N18069" s="676"/>
    </row>
    <row r="18070" spans="14:14" x14ac:dyDescent="0.35">
      <c r="N18070" s="676"/>
    </row>
    <row r="18071" spans="14:14" x14ac:dyDescent="0.35">
      <c r="N18071" s="676"/>
    </row>
    <row r="18072" spans="14:14" x14ac:dyDescent="0.35">
      <c r="N18072" s="676"/>
    </row>
    <row r="18073" spans="14:14" x14ac:dyDescent="0.35">
      <c r="N18073" s="676"/>
    </row>
    <row r="18074" spans="14:14" x14ac:dyDescent="0.35">
      <c r="N18074" s="676"/>
    </row>
    <row r="18075" spans="14:14" x14ac:dyDescent="0.35">
      <c r="N18075" s="676"/>
    </row>
    <row r="18076" spans="14:14" x14ac:dyDescent="0.35">
      <c r="N18076" s="676"/>
    </row>
    <row r="18077" spans="14:14" x14ac:dyDescent="0.35">
      <c r="N18077" s="676"/>
    </row>
    <row r="18078" spans="14:14" x14ac:dyDescent="0.35">
      <c r="N18078" s="676"/>
    </row>
    <row r="18079" spans="14:14" x14ac:dyDescent="0.35">
      <c r="N18079" s="676"/>
    </row>
    <row r="18080" spans="14:14" x14ac:dyDescent="0.35">
      <c r="N18080" s="676"/>
    </row>
    <row r="18081" spans="14:14" x14ac:dyDescent="0.35">
      <c r="N18081" s="676"/>
    </row>
    <row r="18082" spans="14:14" x14ac:dyDescent="0.35">
      <c r="N18082" s="676"/>
    </row>
    <row r="18083" spans="14:14" x14ac:dyDescent="0.35">
      <c r="N18083" s="676"/>
    </row>
    <row r="18084" spans="14:14" x14ac:dyDescent="0.35">
      <c r="N18084" s="676"/>
    </row>
    <row r="18085" spans="14:14" x14ac:dyDescent="0.35">
      <c r="N18085" s="676"/>
    </row>
    <row r="18086" spans="14:14" x14ac:dyDescent="0.35">
      <c r="N18086" s="676"/>
    </row>
    <row r="18087" spans="14:14" x14ac:dyDescent="0.35">
      <c r="N18087" s="676"/>
    </row>
    <row r="18088" spans="14:14" x14ac:dyDescent="0.35">
      <c r="N18088" s="676"/>
    </row>
    <row r="18089" spans="14:14" x14ac:dyDescent="0.35">
      <c r="N18089" s="676"/>
    </row>
    <row r="18090" spans="14:14" x14ac:dyDescent="0.35">
      <c r="N18090" s="676"/>
    </row>
    <row r="18091" spans="14:14" x14ac:dyDescent="0.35">
      <c r="N18091" s="676"/>
    </row>
    <row r="18092" spans="14:14" x14ac:dyDescent="0.35">
      <c r="N18092" s="676"/>
    </row>
    <row r="18093" spans="14:14" x14ac:dyDescent="0.35">
      <c r="N18093" s="676"/>
    </row>
    <row r="18094" spans="14:14" x14ac:dyDescent="0.35">
      <c r="N18094" s="676"/>
    </row>
    <row r="18095" spans="14:14" x14ac:dyDescent="0.35">
      <c r="N18095" s="676"/>
    </row>
    <row r="18096" spans="14:14" x14ac:dyDescent="0.35">
      <c r="N18096" s="676"/>
    </row>
    <row r="18097" spans="14:14" x14ac:dyDescent="0.35">
      <c r="N18097" s="676"/>
    </row>
    <row r="18098" spans="14:14" x14ac:dyDescent="0.35">
      <c r="N18098" s="676"/>
    </row>
    <row r="18099" spans="14:14" x14ac:dyDescent="0.35">
      <c r="N18099" s="676"/>
    </row>
    <row r="18100" spans="14:14" x14ac:dyDescent="0.35">
      <c r="N18100" s="676"/>
    </row>
    <row r="18101" spans="14:14" x14ac:dyDescent="0.35">
      <c r="N18101" s="676"/>
    </row>
    <row r="18102" spans="14:14" x14ac:dyDescent="0.35">
      <c r="N18102" s="676"/>
    </row>
    <row r="18103" spans="14:14" x14ac:dyDescent="0.35">
      <c r="N18103" s="676"/>
    </row>
    <row r="18104" spans="14:14" x14ac:dyDescent="0.35">
      <c r="N18104" s="676"/>
    </row>
    <row r="18105" spans="14:14" x14ac:dyDescent="0.35">
      <c r="N18105" s="676"/>
    </row>
    <row r="18106" spans="14:14" x14ac:dyDescent="0.35">
      <c r="N18106" s="676"/>
    </row>
    <row r="18107" spans="14:14" x14ac:dyDescent="0.35">
      <c r="N18107" s="676"/>
    </row>
    <row r="18108" spans="14:14" x14ac:dyDescent="0.35">
      <c r="N18108" s="676"/>
    </row>
    <row r="18109" spans="14:14" x14ac:dyDescent="0.35">
      <c r="N18109" s="676"/>
    </row>
    <row r="18110" spans="14:14" x14ac:dyDescent="0.35">
      <c r="N18110" s="676"/>
    </row>
    <row r="18111" spans="14:14" x14ac:dyDescent="0.35">
      <c r="N18111" s="676"/>
    </row>
    <row r="18112" spans="14:14" x14ac:dyDescent="0.35">
      <c r="N18112" s="676"/>
    </row>
    <row r="18113" spans="14:14" x14ac:dyDescent="0.35">
      <c r="N18113" s="676"/>
    </row>
    <row r="18114" spans="14:14" x14ac:dyDescent="0.35">
      <c r="N18114" s="676"/>
    </row>
    <row r="18115" spans="14:14" x14ac:dyDescent="0.35">
      <c r="N18115" s="676"/>
    </row>
    <row r="18116" spans="14:14" x14ac:dyDescent="0.35">
      <c r="N18116" s="676"/>
    </row>
    <row r="18117" spans="14:14" x14ac:dyDescent="0.35">
      <c r="N18117" s="676"/>
    </row>
    <row r="18118" spans="14:14" x14ac:dyDescent="0.35">
      <c r="N18118" s="676"/>
    </row>
    <row r="18119" spans="14:14" x14ac:dyDescent="0.35">
      <c r="N18119" s="676"/>
    </row>
    <row r="18120" spans="14:14" x14ac:dyDescent="0.35">
      <c r="N18120" s="676"/>
    </row>
    <row r="18121" spans="14:14" x14ac:dyDescent="0.35">
      <c r="N18121" s="676"/>
    </row>
    <row r="18122" spans="14:14" x14ac:dyDescent="0.35">
      <c r="N18122" s="676"/>
    </row>
    <row r="18123" spans="14:14" x14ac:dyDescent="0.35">
      <c r="N18123" s="676"/>
    </row>
    <row r="18124" spans="14:14" x14ac:dyDescent="0.35">
      <c r="N18124" s="676"/>
    </row>
    <row r="18125" spans="14:14" x14ac:dyDescent="0.35">
      <c r="N18125" s="676"/>
    </row>
    <row r="18126" spans="14:14" x14ac:dyDescent="0.35">
      <c r="N18126" s="676"/>
    </row>
    <row r="18127" spans="14:14" x14ac:dyDescent="0.35">
      <c r="N18127" s="676"/>
    </row>
    <row r="18128" spans="14:14" x14ac:dyDescent="0.35">
      <c r="N18128" s="676"/>
    </row>
    <row r="18129" spans="14:14" x14ac:dyDescent="0.35">
      <c r="N18129" s="676"/>
    </row>
    <row r="18130" spans="14:14" x14ac:dyDescent="0.35">
      <c r="N18130" s="676"/>
    </row>
    <row r="18131" spans="14:14" x14ac:dyDescent="0.35">
      <c r="N18131" s="676"/>
    </row>
    <row r="18132" spans="14:14" x14ac:dyDescent="0.35">
      <c r="N18132" s="676"/>
    </row>
    <row r="18133" spans="14:14" x14ac:dyDescent="0.35">
      <c r="N18133" s="676"/>
    </row>
    <row r="18134" spans="14:14" x14ac:dyDescent="0.35">
      <c r="N18134" s="676"/>
    </row>
    <row r="18135" spans="14:14" x14ac:dyDescent="0.35">
      <c r="N18135" s="676"/>
    </row>
    <row r="18136" spans="14:14" x14ac:dyDescent="0.35">
      <c r="N18136" s="676"/>
    </row>
    <row r="18137" spans="14:14" x14ac:dyDescent="0.35">
      <c r="N18137" s="676"/>
    </row>
    <row r="18138" spans="14:14" x14ac:dyDescent="0.35">
      <c r="N18138" s="676"/>
    </row>
    <row r="18139" spans="14:14" x14ac:dyDescent="0.35">
      <c r="N18139" s="676"/>
    </row>
    <row r="18140" spans="14:14" x14ac:dyDescent="0.35">
      <c r="N18140" s="676"/>
    </row>
    <row r="18141" spans="14:14" x14ac:dyDescent="0.35">
      <c r="N18141" s="676"/>
    </row>
    <row r="18142" spans="14:14" x14ac:dyDescent="0.35">
      <c r="N18142" s="676"/>
    </row>
    <row r="18143" spans="14:14" x14ac:dyDescent="0.35">
      <c r="N18143" s="676"/>
    </row>
    <row r="18144" spans="14:14" x14ac:dyDescent="0.35">
      <c r="N18144" s="676"/>
    </row>
    <row r="18145" spans="14:14" x14ac:dyDescent="0.35">
      <c r="N18145" s="676"/>
    </row>
    <row r="18146" spans="14:14" x14ac:dyDescent="0.35">
      <c r="N18146" s="676"/>
    </row>
    <row r="18147" spans="14:14" x14ac:dyDescent="0.35">
      <c r="N18147" s="676"/>
    </row>
    <row r="18148" spans="14:14" x14ac:dyDescent="0.35">
      <c r="N18148" s="676"/>
    </row>
    <row r="18149" spans="14:14" x14ac:dyDescent="0.35">
      <c r="N18149" s="676"/>
    </row>
    <row r="18150" spans="14:14" x14ac:dyDescent="0.35">
      <c r="N18150" s="676"/>
    </row>
    <row r="18151" spans="14:14" x14ac:dyDescent="0.35">
      <c r="N18151" s="676"/>
    </row>
    <row r="18152" spans="14:14" x14ac:dyDescent="0.35">
      <c r="N18152" s="676"/>
    </row>
    <row r="18153" spans="14:14" x14ac:dyDescent="0.35">
      <c r="N18153" s="676"/>
    </row>
    <row r="18154" spans="14:14" x14ac:dyDescent="0.35">
      <c r="N18154" s="676"/>
    </row>
    <row r="18155" spans="14:14" x14ac:dyDescent="0.35">
      <c r="N18155" s="676"/>
    </row>
    <row r="18156" spans="14:14" x14ac:dyDescent="0.35">
      <c r="N18156" s="676"/>
    </row>
    <row r="18157" spans="14:14" x14ac:dyDescent="0.35">
      <c r="N18157" s="676"/>
    </row>
    <row r="18158" spans="14:14" x14ac:dyDescent="0.35">
      <c r="N18158" s="676"/>
    </row>
    <row r="18159" spans="14:14" x14ac:dyDescent="0.35">
      <c r="N18159" s="676"/>
    </row>
    <row r="18160" spans="14:14" x14ac:dyDescent="0.35">
      <c r="N18160" s="676"/>
    </row>
    <row r="18161" spans="14:14" x14ac:dyDescent="0.35">
      <c r="N18161" s="676"/>
    </row>
    <row r="18162" spans="14:14" x14ac:dyDescent="0.35">
      <c r="N18162" s="676"/>
    </row>
    <row r="18163" spans="14:14" x14ac:dyDescent="0.35">
      <c r="N18163" s="676"/>
    </row>
    <row r="18164" spans="14:14" x14ac:dyDescent="0.35">
      <c r="N18164" s="676"/>
    </row>
    <row r="18165" spans="14:14" x14ac:dyDescent="0.35">
      <c r="N18165" s="676"/>
    </row>
    <row r="18166" spans="14:14" x14ac:dyDescent="0.35">
      <c r="N18166" s="676"/>
    </row>
    <row r="18167" spans="14:14" x14ac:dyDescent="0.35">
      <c r="N18167" s="676"/>
    </row>
    <row r="18168" spans="14:14" x14ac:dyDescent="0.35">
      <c r="N18168" s="676"/>
    </row>
    <row r="18169" spans="14:14" x14ac:dyDescent="0.35">
      <c r="N18169" s="676"/>
    </row>
    <row r="18170" spans="14:14" x14ac:dyDescent="0.35">
      <c r="N18170" s="676"/>
    </row>
    <row r="18171" spans="14:14" x14ac:dyDescent="0.35">
      <c r="N18171" s="676"/>
    </row>
    <row r="18172" spans="14:14" x14ac:dyDescent="0.35">
      <c r="N18172" s="676"/>
    </row>
    <row r="18173" spans="14:14" x14ac:dyDescent="0.35">
      <c r="N18173" s="676"/>
    </row>
    <row r="18174" spans="14:14" x14ac:dyDescent="0.35">
      <c r="N18174" s="676"/>
    </row>
    <row r="18175" spans="14:14" x14ac:dyDescent="0.35">
      <c r="N18175" s="676"/>
    </row>
    <row r="18176" spans="14:14" x14ac:dyDescent="0.35">
      <c r="N18176" s="676"/>
    </row>
    <row r="18177" spans="14:14" x14ac:dyDescent="0.35">
      <c r="N18177" s="676"/>
    </row>
    <row r="18178" spans="14:14" x14ac:dyDescent="0.35">
      <c r="N18178" s="676"/>
    </row>
    <row r="18179" spans="14:14" x14ac:dyDescent="0.35">
      <c r="N18179" s="676"/>
    </row>
    <row r="18180" spans="14:14" x14ac:dyDescent="0.35">
      <c r="N18180" s="676"/>
    </row>
    <row r="18181" spans="14:14" x14ac:dyDescent="0.35">
      <c r="N18181" s="676"/>
    </row>
    <row r="18182" spans="14:14" x14ac:dyDescent="0.35">
      <c r="N18182" s="676"/>
    </row>
    <row r="18183" spans="14:14" x14ac:dyDescent="0.35">
      <c r="N18183" s="676"/>
    </row>
    <row r="18184" spans="14:14" x14ac:dyDescent="0.35">
      <c r="N18184" s="676"/>
    </row>
    <row r="18185" spans="14:14" x14ac:dyDescent="0.35">
      <c r="N18185" s="676"/>
    </row>
    <row r="18186" spans="14:14" x14ac:dyDescent="0.35">
      <c r="N18186" s="676"/>
    </row>
    <row r="18187" spans="14:14" x14ac:dyDescent="0.35">
      <c r="N18187" s="676"/>
    </row>
    <row r="18188" spans="14:14" x14ac:dyDescent="0.35">
      <c r="N18188" s="676"/>
    </row>
    <row r="18189" spans="14:14" x14ac:dyDescent="0.35">
      <c r="N18189" s="676"/>
    </row>
    <row r="18190" spans="14:14" x14ac:dyDescent="0.35">
      <c r="N18190" s="676"/>
    </row>
    <row r="18191" spans="14:14" x14ac:dyDescent="0.35">
      <c r="N18191" s="676"/>
    </row>
    <row r="18192" spans="14:14" x14ac:dyDescent="0.35">
      <c r="N18192" s="676"/>
    </row>
    <row r="18193" spans="14:14" x14ac:dyDescent="0.35">
      <c r="N18193" s="676"/>
    </row>
    <row r="18194" spans="14:14" x14ac:dyDescent="0.35">
      <c r="N18194" s="676"/>
    </row>
    <row r="18195" spans="14:14" x14ac:dyDescent="0.35">
      <c r="N18195" s="676"/>
    </row>
    <row r="18196" spans="14:14" x14ac:dyDescent="0.35">
      <c r="N18196" s="676"/>
    </row>
    <row r="18197" spans="14:14" x14ac:dyDescent="0.35">
      <c r="N18197" s="676"/>
    </row>
    <row r="18198" spans="14:14" x14ac:dyDescent="0.35">
      <c r="N18198" s="676"/>
    </row>
    <row r="18199" spans="14:14" x14ac:dyDescent="0.35">
      <c r="N18199" s="676"/>
    </row>
    <row r="18200" spans="14:14" x14ac:dyDescent="0.35">
      <c r="N18200" s="676"/>
    </row>
    <row r="18201" spans="14:14" x14ac:dyDescent="0.35">
      <c r="N18201" s="676"/>
    </row>
    <row r="18202" spans="14:14" x14ac:dyDescent="0.35">
      <c r="N18202" s="676"/>
    </row>
    <row r="18203" spans="14:14" x14ac:dyDescent="0.35">
      <c r="N18203" s="676"/>
    </row>
    <row r="18204" spans="14:14" x14ac:dyDescent="0.35">
      <c r="N18204" s="676"/>
    </row>
    <row r="18205" spans="14:14" x14ac:dyDescent="0.35">
      <c r="N18205" s="676"/>
    </row>
    <row r="18206" spans="14:14" x14ac:dyDescent="0.35">
      <c r="N18206" s="676"/>
    </row>
    <row r="18207" spans="14:14" x14ac:dyDescent="0.35">
      <c r="N18207" s="676"/>
    </row>
    <row r="18208" spans="14:14" x14ac:dyDescent="0.35">
      <c r="N18208" s="676"/>
    </row>
    <row r="18209" spans="14:14" x14ac:dyDescent="0.35">
      <c r="N18209" s="676"/>
    </row>
    <row r="18210" spans="14:14" x14ac:dyDescent="0.35">
      <c r="N18210" s="676"/>
    </row>
    <row r="18211" spans="14:14" x14ac:dyDescent="0.35">
      <c r="N18211" s="676"/>
    </row>
    <row r="18212" spans="14:14" x14ac:dyDescent="0.35">
      <c r="N18212" s="676"/>
    </row>
    <row r="18213" spans="14:14" x14ac:dyDescent="0.35">
      <c r="N18213" s="676"/>
    </row>
    <row r="18214" spans="14:14" x14ac:dyDescent="0.35">
      <c r="N18214" s="676"/>
    </row>
    <row r="18215" spans="14:14" x14ac:dyDescent="0.35">
      <c r="N18215" s="676"/>
    </row>
    <row r="18216" spans="14:14" x14ac:dyDescent="0.35">
      <c r="N18216" s="676"/>
    </row>
    <row r="18217" spans="14:14" x14ac:dyDescent="0.35">
      <c r="N18217" s="676"/>
    </row>
    <row r="18218" spans="14:14" x14ac:dyDescent="0.35">
      <c r="N18218" s="676"/>
    </row>
    <row r="18219" spans="14:14" x14ac:dyDescent="0.35">
      <c r="N18219" s="676"/>
    </row>
    <row r="18220" spans="14:14" x14ac:dyDescent="0.35">
      <c r="N18220" s="676"/>
    </row>
    <row r="18221" spans="14:14" x14ac:dyDescent="0.35">
      <c r="N18221" s="676"/>
    </row>
    <row r="18222" spans="14:14" x14ac:dyDescent="0.35">
      <c r="N18222" s="676"/>
    </row>
    <row r="18223" spans="14:14" x14ac:dyDescent="0.35">
      <c r="N18223" s="676"/>
    </row>
    <row r="18224" spans="14:14" x14ac:dyDescent="0.35">
      <c r="N18224" s="676"/>
    </row>
    <row r="18225" spans="14:14" x14ac:dyDescent="0.35">
      <c r="N18225" s="676"/>
    </row>
    <row r="18226" spans="14:14" x14ac:dyDescent="0.35">
      <c r="N18226" s="676"/>
    </row>
    <row r="18227" spans="14:14" x14ac:dyDescent="0.35">
      <c r="N18227" s="676"/>
    </row>
    <row r="18228" spans="14:14" x14ac:dyDescent="0.35">
      <c r="N18228" s="676"/>
    </row>
    <row r="18229" spans="14:14" x14ac:dyDescent="0.35">
      <c r="N18229" s="676"/>
    </row>
    <row r="18230" spans="14:14" x14ac:dyDescent="0.35">
      <c r="N18230" s="676"/>
    </row>
    <row r="18231" spans="14:14" x14ac:dyDescent="0.35">
      <c r="N18231" s="676"/>
    </row>
    <row r="18232" spans="14:14" x14ac:dyDescent="0.35">
      <c r="N18232" s="676"/>
    </row>
    <row r="18233" spans="14:14" x14ac:dyDescent="0.35">
      <c r="N18233" s="676"/>
    </row>
    <row r="18234" spans="14:14" x14ac:dyDescent="0.35">
      <c r="N18234" s="676"/>
    </row>
    <row r="18235" spans="14:14" x14ac:dyDescent="0.35">
      <c r="N18235" s="676"/>
    </row>
    <row r="18236" spans="14:14" x14ac:dyDescent="0.35">
      <c r="N18236" s="676"/>
    </row>
    <row r="18237" spans="14:14" x14ac:dyDescent="0.35">
      <c r="N18237" s="676"/>
    </row>
    <row r="18238" spans="14:14" x14ac:dyDescent="0.35">
      <c r="N18238" s="676"/>
    </row>
    <row r="18239" spans="14:14" x14ac:dyDescent="0.35">
      <c r="N18239" s="676"/>
    </row>
    <row r="18240" spans="14:14" x14ac:dyDescent="0.35">
      <c r="N18240" s="676"/>
    </row>
    <row r="18241" spans="14:14" x14ac:dyDescent="0.35">
      <c r="N18241" s="676"/>
    </row>
    <row r="18242" spans="14:14" x14ac:dyDescent="0.35">
      <c r="N18242" s="676"/>
    </row>
    <row r="18243" spans="14:14" x14ac:dyDescent="0.35">
      <c r="N18243" s="676"/>
    </row>
    <row r="18244" spans="14:14" x14ac:dyDescent="0.35">
      <c r="N18244" s="676"/>
    </row>
    <row r="18245" spans="14:14" x14ac:dyDescent="0.35">
      <c r="N18245" s="676"/>
    </row>
    <row r="18246" spans="14:14" x14ac:dyDescent="0.35">
      <c r="N18246" s="676"/>
    </row>
    <row r="18247" spans="14:14" x14ac:dyDescent="0.35">
      <c r="N18247" s="676"/>
    </row>
    <row r="18248" spans="14:14" x14ac:dyDescent="0.35">
      <c r="N18248" s="676"/>
    </row>
    <row r="18249" spans="14:14" x14ac:dyDescent="0.35">
      <c r="N18249" s="676"/>
    </row>
    <row r="18250" spans="14:14" x14ac:dyDescent="0.35">
      <c r="N18250" s="676"/>
    </row>
    <row r="18251" spans="14:14" x14ac:dyDescent="0.35">
      <c r="N18251" s="676"/>
    </row>
    <row r="18252" spans="14:14" x14ac:dyDescent="0.35">
      <c r="N18252" s="676"/>
    </row>
    <row r="18253" spans="14:14" x14ac:dyDescent="0.35">
      <c r="N18253" s="676"/>
    </row>
    <row r="18254" spans="14:14" x14ac:dyDescent="0.35">
      <c r="N18254" s="676"/>
    </row>
    <row r="18255" spans="14:14" x14ac:dyDescent="0.35">
      <c r="N18255" s="676"/>
    </row>
    <row r="18256" spans="14:14" x14ac:dyDescent="0.35">
      <c r="N18256" s="676"/>
    </row>
    <row r="18257" spans="14:14" x14ac:dyDescent="0.35">
      <c r="N18257" s="676"/>
    </row>
    <row r="18258" spans="14:14" x14ac:dyDescent="0.35">
      <c r="N18258" s="676"/>
    </row>
    <row r="18259" spans="14:14" x14ac:dyDescent="0.35">
      <c r="N18259" s="676"/>
    </row>
    <row r="18260" spans="14:14" x14ac:dyDescent="0.35">
      <c r="N18260" s="676"/>
    </row>
    <row r="18261" spans="14:14" x14ac:dyDescent="0.35">
      <c r="N18261" s="676"/>
    </row>
    <row r="18262" spans="14:14" x14ac:dyDescent="0.35">
      <c r="N18262" s="676"/>
    </row>
    <row r="18263" spans="14:14" x14ac:dyDescent="0.35">
      <c r="N18263" s="676"/>
    </row>
    <row r="18264" spans="14:14" x14ac:dyDescent="0.35">
      <c r="N18264" s="676"/>
    </row>
    <row r="18265" spans="14:14" x14ac:dyDescent="0.35">
      <c r="N18265" s="676"/>
    </row>
    <row r="18266" spans="14:14" x14ac:dyDescent="0.35">
      <c r="N18266" s="676"/>
    </row>
    <row r="18267" spans="14:14" x14ac:dyDescent="0.35">
      <c r="N18267" s="676"/>
    </row>
    <row r="18268" spans="14:14" x14ac:dyDescent="0.35">
      <c r="N18268" s="676"/>
    </row>
    <row r="18269" spans="14:14" x14ac:dyDescent="0.35">
      <c r="N18269" s="676"/>
    </row>
    <row r="18270" spans="14:14" x14ac:dyDescent="0.35">
      <c r="N18270" s="676"/>
    </row>
    <row r="18271" spans="14:14" x14ac:dyDescent="0.35">
      <c r="N18271" s="676"/>
    </row>
    <row r="18272" spans="14:14" x14ac:dyDescent="0.35">
      <c r="N18272" s="676"/>
    </row>
    <row r="18273" spans="14:14" x14ac:dyDescent="0.35">
      <c r="N18273" s="676"/>
    </row>
    <row r="18274" spans="14:14" x14ac:dyDescent="0.35">
      <c r="N18274" s="676"/>
    </row>
    <row r="18275" spans="14:14" x14ac:dyDescent="0.35">
      <c r="N18275" s="676"/>
    </row>
    <row r="18276" spans="14:14" x14ac:dyDescent="0.35">
      <c r="N18276" s="676"/>
    </row>
    <row r="18277" spans="14:14" x14ac:dyDescent="0.35">
      <c r="N18277" s="676"/>
    </row>
    <row r="18278" spans="14:14" x14ac:dyDescent="0.35">
      <c r="N18278" s="676"/>
    </row>
    <row r="18279" spans="14:14" x14ac:dyDescent="0.35">
      <c r="N18279" s="676"/>
    </row>
    <row r="18280" spans="14:14" x14ac:dyDescent="0.35">
      <c r="N18280" s="676"/>
    </row>
    <row r="18281" spans="14:14" x14ac:dyDescent="0.35">
      <c r="N18281" s="676"/>
    </row>
    <row r="18282" spans="14:14" x14ac:dyDescent="0.35">
      <c r="N18282" s="676"/>
    </row>
    <row r="18283" spans="14:14" x14ac:dyDescent="0.35">
      <c r="N18283" s="676"/>
    </row>
    <row r="18284" spans="14:14" x14ac:dyDescent="0.35">
      <c r="N18284" s="676"/>
    </row>
    <row r="18285" spans="14:14" x14ac:dyDescent="0.35">
      <c r="N18285" s="676"/>
    </row>
    <row r="18286" spans="14:14" x14ac:dyDescent="0.35">
      <c r="N18286" s="676"/>
    </row>
    <row r="18287" spans="14:14" x14ac:dyDescent="0.35">
      <c r="N18287" s="676"/>
    </row>
    <row r="18288" spans="14:14" x14ac:dyDescent="0.35">
      <c r="N18288" s="676"/>
    </row>
    <row r="18289" spans="14:14" x14ac:dyDescent="0.35">
      <c r="N18289" s="676"/>
    </row>
    <row r="18290" spans="14:14" x14ac:dyDescent="0.35">
      <c r="N18290" s="676"/>
    </row>
    <row r="18291" spans="14:14" x14ac:dyDescent="0.35">
      <c r="N18291" s="676"/>
    </row>
    <row r="18292" spans="14:14" x14ac:dyDescent="0.35">
      <c r="N18292" s="676"/>
    </row>
    <row r="18293" spans="14:14" x14ac:dyDescent="0.35">
      <c r="N18293" s="676"/>
    </row>
    <row r="18294" spans="14:14" x14ac:dyDescent="0.35">
      <c r="N18294" s="676"/>
    </row>
    <row r="18295" spans="14:14" x14ac:dyDescent="0.35">
      <c r="N18295" s="676"/>
    </row>
    <row r="18296" spans="14:14" x14ac:dyDescent="0.35">
      <c r="N18296" s="676"/>
    </row>
    <row r="18297" spans="14:14" x14ac:dyDescent="0.35">
      <c r="N18297" s="676"/>
    </row>
    <row r="18298" spans="14:14" x14ac:dyDescent="0.35">
      <c r="N18298" s="676"/>
    </row>
    <row r="18299" spans="14:14" x14ac:dyDescent="0.35">
      <c r="N18299" s="676"/>
    </row>
    <row r="18300" spans="14:14" x14ac:dyDescent="0.35">
      <c r="N18300" s="676"/>
    </row>
    <row r="18301" spans="14:14" x14ac:dyDescent="0.35">
      <c r="N18301" s="676"/>
    </row>
    <row r="18302" spans="14:14" x14ac:dyDescent="0.35">
      <c r="N18302" s="676"/>
    </row>
    <row r="18303" spans="14:14" x14ac:dyDescent="0.35">
      <c r="N18303" s="676"/>
    </row>
    <row r="18304" spans="14:14" x14ac:dyDescent="0.35">
      <c r="N18304" s="676"/>
    </row>
    <row r="18305" spans="14:14" x14ac:dyDescent="0.35">
      <c r="N18305" s="676"/>
    </row>
    <row r="18306" spans="14:14" x14ac:dyDescent="0.35">
      <c r="N18306" s="676"/>
    </row>
    <row r="18307" spans="14:14" x14ac:dyDescent="0.35">
      <c r="N18307" s="676"/>
    </row>
    <row r="18308" spans="14:14" x14ac:dyDescent="0.35">
      <c r="N18308" s="676"/>
    </row>
    <row r="18309" spans="14:14" x14ac:dyDescent="0.35">
      <c r="N18309" s="676"/>
    </row>
    <row r="18310" spans="14:14" x14ac:dyDescent="0.35">
      <c r="N18310" s="676"/>
    </row>
    <row r="18311" spans="14:14" x14ac:dyDescent="0.35">
      <c r="N18311" s="676"/>
    </row>
    <row r="18312" spans="14:14" x14ac:dyDescent="0.35">
      <c r="N18312" s="676"/>
    </row>
    <row r="18313" spans="14:14" x14ac:dyDescent="0.35">
      <c r="N18313" s="676"/>
    </row>
    <row r="18314" spans="14:14" x14ac:dyDescent="0.35">
      <c r="N18314" s="676"/>
    </row>
    <row r="18315" spans="14:14" x14ac:dyDescent="0.35">
      <c r="N18315" s="676"/>
    </row>
    <row r="18316" spans="14:14" x14ac:dyDescent="0.35">
      <c r="N18316" s="676"/>
    </row>
    <row r="18317" spans="14:14" x14ac:dyDescent="0.35">
      <c r="N18317" s="676"/>
    </row>
    <row r="18318" spans="14:14" x14ac:dyDescent="0.35">
      <c r="N18318" s="676"/>
    </row>
    <row r="18319" spans="14:14" x14ac:dyDescent="0.35">
      <c r="N18319" s="676"/>
    </row>
    <row r="18320" spans="14:14" x14ac:dyDescent="0.35">
      <c r="N18320" s="676"/>
    </row>
    <row r="18321" spans="14:14" x14ac:dyDescent="0.35">
      <c r="N18321" s="676"/>
    </row>
    <row r="18322" spans="14:14" x14ac:dyDescent="0.35">
      <c r="N18322" s="676"/>
    </row>
    <row r="18323" spans="14:14" x14ac:dyDescent="0.35">
      <c r="N18323" s="676"/>
    </row>
    <row r="18324" spans="14:14" x14ac:dyDescent="0.35">
      <c r="N18324" s="676"/>
    </row>
    <row r="18325" spans="14:14" x14ac:dyDescent="0.35">
      <c r="N18325" s="676"/>
    </row>
    <row r="18326" spans="14:14" x14ac:dyDescent="0.35">
      <c r="N18326" s="676"/>
    </row>
    <row r="18327" spans="14:14" x14ac:dyDescent="0.35">
      <c r="N18327" s="676"/>
    </row>
    <row r="18328" spans="14:14" x14ac:dyDescent="0.35">
      <c r="N18328" s="676"/>
    </row>
    <row r="18329" spans="14:14" x14ac:dyDescent="0.35">
      <c r="N18329" s="676"/>
    </row>
    <row r="18330" spans="14:14" x14ac:dyDescent="0.35">
      <c r="N18330" s="676"/>
    </row>
    <row r="18331" spans="14:14" x14ac:dyDescent="0.35">
      <c r="N18331" s="676"/>
    </row>
    <row r="18332" spans="14:14" x14ac:dyDescent="0.35">
      <c r="N18332" s="676"/>
    </row>
    <row r="18333" spans="14:14" x14ac:dyDescent="0.35">
      <c r="N18333" s="676"/>
    </row>
    <row r="18334" spans="14:14" x14ac:dyDescent="0.35">
      <c r="N18334" s="676"/>
    </row>
    <row r="18335" spans="14:14" x14ac:dyDescent="0.35">
      <c r="N18335" s="676"/>
    </row>
    <row r="18336" spans="14:14" x14ac:dyDescent="0.35">
      <c r="N18336" s="676"/>
    </row>
    <row r="18337" spans="14:14" x14ac:dyDescent="0.35">
      <c r="N18337" s="676"/>
    </row>
    <row r="18338" spans="14:14" x14ac:dyDescent="0.35">
      <c r="N18338" s="676"/>
    </row>
    <row r="18339" spans="14:14" x14ac:dyDescent="0.35">
      <c r="N18339" s="676"/>
    </row>
    <row r="18340" spans="14:14" x14ac:dyDescent="0.35">
      <c r="N18340" s="676"/>
    </row>
    <row r="18341" spans="14:14" x14ac:dyDescent="0.35">
      <c r="N18341" s="676"/>
    </row>
    <row r="18342" spans="14:14" x14ac:dyDescent="0.35">
      <c r="N18342" s="676"/>
    </row>
    <row r="18343" spans="14:14" x14ac:dyDescent="0.35">
      <c r="N18343" s="676"/>
    </row>
    <row r="18344" spans="14:14" x14ac:dyDescent="0.35">
      <c r="N18344" s="676"/>
    </row>
    <row r="18345" spans="14:14" x14ac:dyDescent="0.35">
      <c r="N18345" s="676"/>
    </row>
    <row r="18346" spans="14:14" x14ac:dyDescent="0.35">
      <c r="N18346" s="676"/>
    </row>
    <row r="18347" spans="14:14" x14ac:dyDescent="0.35">
      <c r="N18347" s="676"/>
    </row>
    <row r="18348" spans="14:14" x14ac:dyDescent="0.35">
      <c r="N18348" s="676"/>
    </row>
    <row r="18349" spans="14:14" x14ac:dyDescent="0.35">
      <c r="N18349" s="676"/>
    </row>
    <row r="18350" spans="14:14" x14ac:dyDescent="0.35">
      <c r="N18350" s="676"/>
    </row>
    <row r="18351" spans="14:14" x14ac:dyDescent="0.35">
      <c r="N18351" s="676"/>
    </row>
    <row r="18352" spans="14:14" x14ac:dyDescent="0.35">
      <c r="N18352" s="676"/>
    </row>
    <row r="18353" spans="14:14" x14ac:dyDescent="0.35">
      <c r="N18353" s="676"/>
    </row>
    <row r="18354" spans="14:14" x14ac:dyDescent="0.35">
      <c r="N18354" s="676"/>
    </row>
    <row r="18355" spans="14:14" x14ac:dyDescent="0.35">
      <c r="N18355" s="676"/>
    </row>
    <row r="18356" spans="14:14" x14ac:dyDescent="0.35">
      <c r="N18356" s="676"/>
    </row>
    <row r="18357" spans="14:14" x14ac:dyDescent="0.35">
      <c r="N18357" s="676"/>
    </row>
    <row r="18358" spans="14:14" x14ac:dyDescent="0.35">
      <c r="N18358" s="676"/>
    </row>
    <row r="18359" spans="14:14" x14ac:dyDescent="0.35">
      <c r="N18359" s="676"/>
    </row>
    <row r="18360" spans="14:14" x14ac:dyDescent="0.35">
      <c r="N18360" s="676"/>
    </row>
    <row r="18361" spans="14:14" x14ac:dyDescent="0.35">
      <c r="N18361" s="676"/>
    </row>
    <row r="18362" spans="14:14" x14ac:dyDescent="0.35">
      <c r="N18362" s="676"/>
    </row>
    <row r="18363" spans="14:14" x14ac:dyDescent="0.35">
      <c r="N18363" s="676"/>
    </row>
    <row r="18364" spans="14:14" x14ac:dyDescent="0.35">
      <c r="N18364" s="676"/>
    </row>
    <row r="18365" spans="14:14" x14ac:dyDescent="0.35">
      <c r="N18365" s="676"/>
    </row>
    <row r="18366" spans="14:14" x14ac:dyDescent="0.35">
      <c r="N18366" s="676"/>
    </row>
    <row r="18367" spans="14:14" x14ac:dyDescent="0.35">
      <c r="N18367" s="676"/>
    </row>
    <row r="18368" spans="14:14" x14ac:dyDescent="0.35">
      <c r="N18368" s="676"/>
    </row>
    <row r="18369" spans="14:14" x14ac:dyDescent="0.35">
      <c r="N18369" s="676"/>
    </row>
    <row r="18370" spans="14:14" x14ac:dyDescent="0.35">
      <c r="N18370" s="676"/>
    </row>
    <row r="18371" spans="14:14" x14ac:dyDescent="0.35">
      <c r="N18371" s="676"/>
    </row>
    <row r="18372" spans="14:14" x14ac:dyDescent="0.35">
      <c r="N18372" s="676"/>
    </row>
    <row r="18373" spans="14:14" x14ac:dyDescent="0.35">
      <c r="N18373" s="676"/>
    </row>
    <row r="18374" spans="14:14" x14ac:dyDescent="0.35">
      <c r="N18374" s="676"/>
    </row>
    <row r="18375" spans="14:14" x14ac:dyDescent="0.35">
      <c r="N18375" s="676"/>
    </row>
    <row r="18376" spans="14:14" x14ac:dyDescent="0.35">
      <c r="N18376" s="676"/>
    </row>
    <row r="18377" spans="14:14" x14ac:dyDescent="0.35">
      <c r="N18377" s="676"/>
    </row>
    <row r="18378" spans="14:14" x14ac:dyDescent="0.35">
      <c r="N18378" s="676"/>
    </row>
    <row r="18379" spans="14:14" x14ac:dyDescent="0.35">
      <c r="N18379" s="676"/>
    </row>
    <row r="18380" spans="14:14" x14ac:dyDescent="0.35">
      <c r="N18380" s="676"/>
    </row>
    <row r="18381" spans="14:14" x14ac:dyDescent="0.35">
      <c r="N18381" s="676"/>
    </row>
    <row r="18382" spans="14:14" x14ac:dyDescent="0.35">
      <c r="N18382" s="676"/>
    </row>
    <row r="18383" spans="14:14" x14ac:dyDescent="0.35">
      <c r="N18383" s="676"/>
    </row>
    <row r="18384" spans="14:14" x14ac:dyDescent="0.35">
      <c r="N18384" s="676"/>
    </row>
    <row r="18385" spans="14:14" x14ac:dyDescent="0.35">
      <c r="N18385" s="676"/>
    </row>
    <row r="18386" spans="14:14" x14ac:dyDescent="0.35">
      <c r="N18386" s="676"/>
    </row>
    <row r="18387" spans="14:14" x14ac:dyDescent="0.35">
      <c r="N18387" s="676"/>
    </row>
    <row r="18388" spans="14:14" x14ac:dyDescent="0.35">
      <c r="N18388" s="676"/>
    </row>
    <row r="18389" spans="14:14" x14ac:dyDescent="0.35">
      <c r="N18389" s="676"/>
    </row>
    <row r="18390" spans="14:14" x14ac:dyDescent="0.35">
      <c r="N18390" s="676"/>
    </row>
    <row r="18391" spans="14:14" x14ac:dyDescent="0.35">
      <c r="N18391" s="676"/>
    </row>
    <row r="18392" spans="14:14" x14ac:dyDescent="0.35">
      <c r="N18392" s="676"/>
    </row>
    <row r="18393" spans="14:14" x14ac:dyDescent="0.35">
      <c r="N18393" s="676"/>
    </row>
    <row r="18394" spans="14:14" x14ac:dyDescent="0.35">
      <c r="N18394" s="676"/>
    </row>
    <row r="18395" spans="14:14" x14ac:dyDescent="0.35">
      <c r="N18395" s="676"/>
    </row>
    <row r="18396" spans="14:14" x14ac:dyDescent="0.35">
      <c r="N18396" s="676"/>
    </row>
    <row r="18397" spans="14:14" x14ac:dyDescent="0.35">
      <c r="N18397" s="676"/>
    </row>
    <row r="18398" spans="14:14" x14ac:dyDescent="0.35">
      <c r="N18398" s="676"/>
    </row>
    <row r="18399" spans="14:14" x14ac:dyDescent="0.35">
      <c r="N18399" s="676"/>
    </row>
    <row r="18400" spans="14:14" x14ac:dyDescent="0.35">
      <c r="N18400" s="676"/>
    </row>
    <row r="18401" spans="14:14" x14ac:dyDescent="0.35">
      <c r="N18401" s="676"/>
    </row>
    <row r="18402" spans="14:14" x14ac:dyDescent="0.35">
      <c r="N18402" s="676"/>
    </row>
    <row r="18403" spans="14:14" x14ac:dyDescent="0.35">
      <c r="N18403" s="676"/>
    </row>
    <row r="18404" spans="14:14" x14ac:dyDescent="0.35">
      <c r="N18404" s="676"/>
    </row>
    <row r="18405" spans="14:14" x14ac:dyDescent="0.35">
      <c r="N18405" s="676"/>
    </row>
    <row r="18406" spans="14:14" x14ac:dyDescent="0.35">
      <c r="N18406" s="676"/>
    </row>
    <row r="18407" spans="14:14" x14ac:dyDescent="0.35">
      <c r="N18407" s="676"/>
    </row>
    <row r="18408" spans="14:14" x14ac:dyDescent="0.35">
      <c r="N18408" s="676"/>
    </row>
    <row r="18409" spans="14:14" x14ac:dyDescent="0.35">
      <c r="N18409" s="676"/>
    </row>
    <row r="18410" spans="14:14" x14ac:dyDescent="0.35">
      <c r="N18410" s="676"/>
    </row>
    <row r="18411" spans="14:14" x14ac:dyDescent="0.35">
      <c r="N18411" s="676"/>
    </row>
    <row r="18412" spans="14:14" x14ac:dyDescent="0.35">
      <c r="N18412" s="676"/>
    </row>
    <row r="18413" spans="14:14" x14ac:dyDescent="0.35">
      <c r="N18413" s="676"/>
    </row>
    <row r="18414" spans="14:14" x14ac:dyDescent="0.35">
      <c r="N18414" s="676"/>
    </row>
    <row r="18415" spans="14:14" x14ac:dyDescent="0.35">
      <c r="N18415" s="676"/>
    </row>
    <row r="18416" spans="14:14" x14ac:dyDescent="0.35">
      <c r="N18416" s="676"/>
    </row>
    <row r="18417" spans="14:14" x14ac:dyDescent="0.35">
      <c r="N18417" s="676"/>
    </row>
    <row r="18418" spans="14:14" x14ac:dyDescent="0.35">
      <c r="N18418" s="676"/>
    </row>
    <row r="18419" spans="14:14" x14ac:dyDescent="0.35">
      <c r="N18419" s="676"/>
    </row>
    <row r="18420" spans="14:14" x14ac:dyDescent="0.35">
      <c r="N18420" s="676"/>
    </row>
    <row r="18421" spans="14:14" x14ac:dyDescent="0.35">
      <c r="N18421" s="676"/>
    </row>
    <row r="18422" spans="14:14" x14ac:dyDescent="0.35">
      <c r="N18422" s="676"/>
    </row>
    <row r="18423" spans="14:14" x14ac:dyDescent="0.35">
      <c r="N18423" s="676"/>
    </row>
    <row r="18424" spans="14:14" x14ac:dyDescent="0.35">
      <c r="N18424" s="676"/>
    </row>
    <row r="18425" spans="14:14" x14ac:dyDescent="0.35">
      <c r="N18425" s="676"/>
    </row>
    <row r="18426" spans="14:14" x14ac:dyDescent="0.35">
      <c r="N18426" s="676"/>
    </row>
    <row r="18427" spans="14:14" x14ac:dyDescent="0.35">
      <c r="N18427" s="676"/>
    </row>
    <row r="18428" spans="14:14" x14ac:dyDescent="0.35">
      <c r="N18428" s="676"/>
    </row>
    <row r="18429" spans="14:14" x14ac:dyDescent="0.35">
      <c r="N18429" s="676"/>
    </row>
    <row r="18430" spans="14:14" x14ac:dyDescent="0.35">
      <c r="N18430" s="676"/>
    </row>
    <row r="18431" spans="14:14" x14ac:dyDescent="0.35">
      <c r="N18431" s="676"/>
    </row>
    <row r="18432" spans="14:14" x14ac:dyDescent="0.35">
      <c r="N18432" s="676"/>
    </row>
    <row r="18433" spans="14:14" x14ac:dyDescent="0.35">
      <c r="N18433" s="676"/>
    </row>
    <row r="18434" spans="14:14" x14ac:dyDescent="0.35">
      <c r="N18434" s="676"/>
    </row>
    <row r="18435" spans="14:14" x14ac:dyDescent="0.35">
      <c r="N18435" s="676"/>
    </row>
    <row r="18436" spans="14:14" x14ac:dyDescent="0.35">
      <c r="N18436" s="676"/>
    </row>
    <row r="18437" spans="14:14" x14ac:dyDescent="0.35">
      <c r="N18437" s="676"/>
    </row>
    <row r="18438" spans="14:14" x14ac:dyDescent="0.35">
      <c r="N18438" s="676"/>
    </row>
    <row r="18439" spans="14:14" x14ac:dyDescent="0.35">
      <c r="N18439" s="676"/>
    </row>
    <row r="18440" spans="14:14" x14ac:dyDescent="0.35">
      <c r="N18440" s="676"/>
    </row>
    <row r="18441" spans="14:14" x14ac:dyDescent="0.35">
      <c r="N18441" s="676"/>
    </row>
    <row r="18442" spans="14:14" x14ac:dyDescent="0.35">
      <c r="N18442" s="676"/>
    </row>
    <row r="18443" spans="14:14" x14ac:dyDescent="0.35">
      <c r="N18443" s="676"/>
    </row>
    <row r="18444" spans="14:14" x14ac:dyDescent="0.35">
      <c r="N18444" s="676"/>
    </row>
    <row r="18445" spans="14:14" x14ac:dyDescent="0.35">
      <c r="N18445" s="676"/>
    </row>
    <row r="18446" spans="14:14" x14ac:dyDescent="0.35">
      <c r="N18446" s="676"/>
    </row>
    <row r="18447" spans="14:14" x14ac:dyDescent="0.35">
      <c r="N18447" s="676"/>
    </row>
    <row r="18448" spans="14:14" x14ac:dyDescent="0.35">
      <c r="N18448" s="676"/>
    </row>
    <row r="18449" spans="14:14" x14ac:dyDescent="0.35">
      <c r="N18449" s="676"/>
    </row>
    <row r="18450" spans="14:14" x14ac:dyDescent="0.35">
      <c r="N18450" s="676"/>
    </row>
    <row r="18451" spans="14:14" x14ac:dyDescent="0.35">
      <c r="N18451" s="676"/>
    </row>
    <row r="18452" spans="14:14" x14ac:dyDescent="0.35">
      <c r="N18452" s="676"/>
    </row>
    <row r="18453" spans="14:14" x14ac:dyDescent="0.35">
      <c r="N18453" s="676"/>
    </row>
    <row r="18454" spans="14:14" x14ac:dyDescent="0.35">
      <c r="N18454" s="676"/>
    </row>
    <row r="18455" spans="14:14" x14ac:dyDescent="0.35">
      <c r="N18455" s="676"/>
    </row>
    <row r="18456" spans="14:14" x14ac:dyDescent="0.35">
      <c r="N18456" s="676"/>
    </row>
    <row r="18457" spans="14:14" x14ac:dyDescent="0.35">
      <c r="N18457" s="676"/>
    </row>
    <row r="18458" spans="14:14" x14ac:dyDescent="0.35">
      <c r="N18458" s="676"/>
    </row>
    <row r="18459" spans="14:14" x14ac:dyDescent="0.35">
      <c r="N18459" s="676"/>
    </row>
    <row r="18460" spans="14:14" x14ac:dyDescent="0.35">
      <c r="N18460" s="676"/>
    </row>
    <row r="18461" spans="14:14" x14ac:dyDescent="0.35">
      <c r="N18461" s="676"/>
    </row>
    <row r="18462" spans="14:14" x14ac:dyDescent="0.35">
      <c r="N18462" s="676"/>
    </row>
    <row r="18463" spans="14:14" x14ac:dyDescent="0.35">
      <c r="N18463" s="676"/>
    </row>
    <row r="18464" spans="14:14" x14ac:dyDescent="0.35">
      <c r="N18464" s="676"/>
    </row>
    <row r="18465" spans="14:14" x14ac:dyDescent="0.35">
      <c r="N18465" s="676"/>
    </row>
    <row r="18466" spans="14:14" x14ac:dyDescent="0.35">
      <c r="N18466" s="676"/>
    </row>
    <row r="18467" spans="14:14" x14ac:dyDescent="0.35">
      <c r="N18467" s="676"/>
    </row>
    <row r="18468" spans="14:14" x14ac:dyDescent="0.35">
      <c r="N18468" s="676"/>
    </row>
    <row r="18469" spans="14:14" x14ac:dyDescent="0.35">
      <c r="N18469" s="676"/>
    </row>
    <row r="18470" spans="14:14" x14ac:dyDescent="0.35">
      <c r="N18470" s="676"/>
    </row>
    <row r="18471" spans="14:14" x14ac:dyDescent="0.35">
      <c r="N18471" s="676"/>
    </row>
    <row r="18472" spans="14:14" x14ac:dyDescent="0.35">
      <c r="N18472" s="676"/>
    </row>
    <row r="18473" spans="14:14" x14ac:dyDescent="0.35">
      <c r="N18473" s="676"/>
    </row>
    <row r="18474" spans="14:14" x14ac:dyDescent="0.35">
      <c r="N18474" s="676"/>
    </row>
    <row r="18475" spans="14:14" x14ac:dyDescent="0.35">
      <c r="N18475" s="676"/>
    </row>
    <row r="18476" spans="14:14" x14ac:dyDescent="0.35">
      <c r="N18476" s="676"/>
    </row>
    <row r="18477" spans="14:14" x14ac:dyDescent="0.35">
      <c r="N18477" s="676"/>
    </row>
    <row r="18478" spans="14:14" x14ac:dyDescent="0.35">
      <c r="N18478" s="676"/>
    </row>
    <row r="18479" spans="14:14" x14ac:dyDescent="0.35">
      <c r="N18479" s="676"/>
    </row>
    <row r="18480" spans="14:14" x14ac:dyDescent="0.35">
      <c r="N18480" s="676"/>
    </row>
    <row r="18481" spans="14:14" x14ac:dyDescent="0.35">
      <c r="N18481" s="676"/>
    </row>
    <row r="18482" spans="14:14" x14ac:dyDescent="0.35">
      <c r="N18482" s="676"/>
    </row>
    <row r="18483" spans="14:14" x14ac:dyDescent="0.35">
      <c r="N18483" s="676"/>
    </row>
    <row r="18484" spans="14:14" x14ac:dyDescent="0.35">
      <c r="N18484" s="676"/>
    </row>
    <row r="18485" spans="14:14" x14ac:dyDescent="0.35">
      <c r="N18485" s="676"/>
    </row>
    <row r="18486" spans="14:14" x14ac:dyDescent="0.35">
      <c r="N18486" s="676"/>
    </row>
    <row r="18487" spans="14:14" x14ac:dyDescent="0.35">
      <c r="N18487" s="676"/>
    </row>
    <row r="18488" spans="14:14" x14ac:dyDescent="0.35">
      <c r="N18488" s="676"/>
    </row>
    <row r="18489" spans="14:14" x14ac:dyDescent="0.35">
      <c r="N18489" s="676"/>
    </row>
    <row r="18490" spans="14:14" x14ac:dyDescent="0.35">
      <c r="N18490" s="676"/>
    </row>
    <row r="18491" spans="14:14" x14ac:dyDescent="0.35">
      <c r="N18491" s="676"/>
    </row>
    <row r="18492" spans="14:14" x14ac:dyDescent="0.35">
      <c r="N18492" s="676"/>
    </row>
    <row r="18493" spans="14:14" x14ac:dyDescent="0.35">
      <c r="N18493" s="676"/>
    </row>
    <row r="18494" spans="14:14" x14ac:dyDescent="0.35">
      <c r="N18494" s="676"/>
    </row>
    <row r="18495" spans="14:14" x14ac:dyDescent="0.35">
      <c r="N18495" s="676"/>
    </row>
    <row r="18496" spans="14:14" x14ac:dyDescent="0.35">
      <c r="N18496" s="676"/>
    </row>
    <row r="18497" spans="14:14" x14ac:dyDescent="0.35">
      <c r="N18497" s="676"/>
    </row>
    <row r="18498" spans="14:14" x14ac:dyDescent="0.35">
      <c r="N18498" s="676"/>
    </row>
    <row r="18499" spans="14:14" x14ac:dyDescent="0.35">
      <c r="N18499" s="676"/>
    </row>
    <row r="18500" spans="14:14" x14ac:dyDescent="0.35">
      <c r="N18500" s="676"/>
    </row>
    <row r="18501" spans="14:14" x14ac:dyDescent="0.35">
      <c r="N18501" s="676"/>
    </row>
    <row r="18502" spans="14:14" x14ac:dyDescent="0.35">
      <c r="N18502" s="676"/>
    </row>
    <row r="18503" spans="14:14" x14ac:dyDescent="0.35">
      <c r="N18503" s="676"/>
    </row>
    <row r="18504" spans="14:14" x14ac:dyDescent="0.35">
      <c r="N18504" s="676"/>
    </row>
    <row r="18505" spans="14:14" x14ac:dyDescent="0.35">
      <c r="N18505" s="676"/>
    </row>
    <row r="18506" spans="14:14" x14ac:dyDescent="0.35">
      <c r="N18506" s="676"/>
    </row>
    <row r="18507" spans="14:14" x14ac:dyDescent="0.35">
      <c r="N18507" s="676"/>
    </row>
    <row r="18508" spans="14:14" x14ac:dyDescent="0.35">
      <c r="N18508" s="676"/>
    </row>
    <row r="18509" spans="14:14" x14ac:dyDescent="0.35">
      <c r="N18509" s="676"/>
    </row>
    <row r="18510" spans="14:14" x14ac:dyDescent="0.35">
      <c r="N18510" s="676"/>
    </row>
    <row r="18511" spans="14:14" x14ac:dyDescent="0.35">
      <c r="N18511" s="676"/>
    </row>
    <row r="18512" spans="14:14" x14ac:dyDescent="0.35">
      <c r="N18512" s="676"/>
    </row>
    <row r="18513" spans="14:14" x14ac:dyDescent="0.35">
      <c r="N18513" s="676"/>
    </row>
    <row r="18514" spans="14:14" x14ac:dyDescent="0.35">
      <c r="N18514" s="676"/>
    </row>
    <row r="18515" spans="14:14" x14ac:dyDescent="0.35">
      <c r="N18515" s="676"/>
    </row>
    <row r="18516" spans="14:14" x14ac:dyDescent="0.35">
      <c r="N18516" s="676"/>
    </row>
    <row r="18517" spans="14:14" x14ac:dyDescent="0.35">
      <c r="N18517" s="676"/>
    </row>
    <row r="18518" spans="14:14" x14ac:dyDescent="0.35">
      <c r="N18518" s="676"/>
    </row>
    <row r="18519" spans="14:14" x14ac:dyDescent="0.35">
      <c r="N18519" s="676"/>
    </row>
    <row r="18520" spans="14:14" x14ac:dyDescent="0.35">
      <c r="N18520" s="676"/>
    </row>
    <row r="18521" spans="14:14" x14ac:dyDescent="0.35">
      <c r="N18521" s="676"/>
    </row>
    <row r="18522" spans="14:14" x14ac:dyDescent="0.35">
      <c r="N18522" s="676"/>
    </row>
    <row r="18523" spans="14:14" x14ac:dyDescent="0.35">
      <c r="N18523" s="676"/>
    </row>
    <row r="18524" spans="14:14" x14ac:dyDescent="0.35">
      <c r="N18524" s="676"/>
    </row>
    <row r="18525" spans="14:14" x14ac:dyDescent="0.35">
      <c r="N18525" s="676"/>
    </row>
    <row r="18526" spans="14:14" x14ac:dyDescent="0.35">
      <c r="N18526" s="676"/>
    </row>
    <row r="18527" spans="14:14" x14ac:dyDescent="0.35">
      <c r="N18527" s="676"/>
    </row>
    <row r="18528" spans="14:14" x14ac:dyDescent="0.35">
      <c r="N18528" s="676"/>
    </row>
    <row r="18529" spans="14:14" x14ac:dyDescent="0.35">
      <c r="N18529" s="676"/>
    </row>
    <row r="18530" spans="14:14" x14ac:dyDescent="0.35">
      <c r="N18530" s="676"/>
    </row>
    <row r="18531" spans="14:14" x14ac:dyDescent="0.35">
      <c r="N18531" s="676"/>
    </row>
    <row r="18532" spans="14:14" x14ac:dyDescent="0.35">
      <c r="N18532" s="676"/>
    </row>
    <row r="18533" spans="14:14" x14ac:dyDescent="0.35">
      <c r="N18533" s="676"/>
    </row>
    <row r="18534" spans="14:14" x14ac:dyDescent="0.35">
      <c r="N18534" s="676"/>
    </row>
    <row r="18535" spans="14:14" x14ac:dyDescent="0.35">
      <c r="N18535" s="676"/>
    </row>
    <row r="18536" spans="14:14" x14ac:dyDescent="0.35">
      <c r="N18536" s="676"/>
    </row>
    <row r="18537" spans="14:14" x14ac:dyDescent="0.35">
      <c r="N18537" s="676"/>
    </row>
    <row r="18538" spans="14:14" x14ac:dyDescent="0.35">
      <c r="N18538" s="676"/>
    </row>
    <row r="18539" spans="14:14" x14ac:dyDescent="0.35">
      <c r="N18539" s="676"/>
    </row>
    <row r="18540" spans="14:14" x14ac:dyDescent="0.35">
      <c r="N18540" s="676"/>
    </row>
    <row r="18541" spans="14:14" x14ac:dyDescent="0.35">
      <c r="N18541" s="676"/>
    </row>
    <row r="18542" spans="14:14" x14ac:dyDescent="0.35">
      <c r="N18542" s="676"/>
    </row>
    <row r="18543" spans="14:14" x14ac:dyDescent="0.35">
      <c r="N18543" s="676"/>
    </row>
    <row r="18544" spans="14:14" x14ac:dyDescent="0.35">
      <c r="N18544" s="676"/>
    </row>
    <row r="18545" spans="14:14" x14ac:dyDescent="0.35">
      <c r="N18545" s="676"/>
    </row>
    <row r="18546" spans="14:14" x14ac:dyDescent="0.35">
      <c r="N18546" s="676"/>
    </row>
    <row r="18547" spans="14:14" x14ac:dyDescent="0.35">
      <c r="N18547" s="676"/>
    </row>
    <row r="18548" spans="14:14" x14ac:dyDescent="0.35">
      <c r="N18548" s="676"/>
    </row>
    <row r="18549" spans="14:14" x14ac:dyDescent="0.35">
      <c r="N18549" s="676"/>
    </row>
    <row r="18550" spans="14:14" x14ac:dyDescent="0.35">
      <c r="N18550" s="676"/>
    </row>
    <row r="18551" spans="14:14" x14ac:dyDescent="0.35">
      <c r="N18551" s="676"/>
    </row>
    <row r="18552" spans="14:14" x14ac:dyDescent="0.35">
      <c r="N18552" s="676"/>
    </row>
    <row r="18553" spans="14:14" x14ac:dyDescent="0.35">
      <c r="N18553" s="676"/>
    </row>
    <row r="18554" spans="14:14" x14ac:dyDescent="0.35">
      <c r="N18554" s="676"/>
    </row>
    <row r="18555" spans="14:14" x14ac:dyDescent="0.35">
      <c r="N18555" s="676"/>
    </row>
    <row r="18556" spans="14:14" x14ac:dyDescent="0.35">
      <c r="N18556" s="676"/>
    </row>
    <row r="18557" spans="14:14" x14ac:dyDescent="0.35">
      <c r="N18557" s="676"/>
    </row>
    <row r="18558" spans="14:14" x14ac:dyDescent="0.35">
      <c r="N18558" s="676"/>
    </row>
    <row r="18559" spans="14:14" x14ac:dyDescent="0.35">
      <c r="N18559" s="676"/>
    </row>
    <row r="18560" spans="14:14" x14ac:dyDescent="0.35">
      <c r="N18560" s="676"/>
    </row>
    <row r="18561" spans="14:14" x14ac:dyDescent="0.35">
      <c r="N18561" s="676"/>
    </row>
    <row r="18562" spans="14:14" x14ac:dyDescent="0.35">
      <c r="N18562" s="676"/>
    </row>
    <row r="18563" spans="14:14" x14ac:dyDescent="0.35">
      <c r="N18563" s="676"/>
    </row>
    <row r="18564" spans="14:14" x14ac:dyDescent="0.35">
      <c r="N18564" s="676"/>
    </row>
    <row r="18565" spans="14:14" x14ac:dyDescent="0.35">
      <c r="N18565" s="676"/>
    </row>
    <row r="18566" spans="14:14" x14ac:dyDescent="0.35">
      <c r="N18566" s="676"/>
    </row>
    <row r="18567" spans="14:14" x14ac:dyDescent="0.35">
      <c r="N18567" s="676"/>
    </row>
    <row r="18568" spans="14:14" x14ac:dyDescent="0.35">
      <c r="N18568" s="676"/>
    </row>
    <row r="18569" spans="14:14" x14ac:dyDescent="0.35">
      <c r="N18569" s="676"/>
    </row>
    <row r="18570" spans="14:14" x14ac:dyDescent="0.35">
      <c r="N18570" s="676"/>
    </row>
    <row r="18571" spans="14:14" x14ac:dyDescent="0.35">
      <c r="N18571" s="676"/>
    </row>
    <row r="18572" spans="14:14" x14ac:dyDescent="0.35">
      <c r="N18572" s="676"/>
    </row>
    <row r="18573" spans="14:14" x14ac:dyDescent="0.35">
      <c r="N18573" s="676"/>
    </row>
    <row r="18574" spans="14:14" x14ac:dyDescent="0.35">
      <c r="N18574" s="676"/>
    </row>
    <row r="18575" spans="14:14" x14ac:dyDescent="0.35">
      <c r="N18575" s="676"/>
    </row>
    <row r="18576" spans="14:14" x14ac:dyDescent="0.35">
      <c r="N18576" s="676"/>
    </row>
    <row r="18577" spans="14:14" x14ac:dyDescent="0.35">
      <c r="N18577" s="676"/>
    </row>
    <row r="18578" spans="14:14" x14ac:dyDescent="0.35">
      <c r="N18578" s="676"/>
    </row>
    <row r="18579" spans="14:14" x14ac:dyDescent="0.35">
      <c r="N18579" s="676"/>
    </row>
    <row r="18580" spans="14:14" x14ac:dyDescent="0.35">
      <c r="N18580" s="676"/>
    </row>
    <row r="18581" spans="14:14" x14ac:dyDescent="0.35">
      <c r="N18581" s="676"/>
    </row>
    <row r="18582" spans="14:14" x14ac:dyDescent="0.35">
      <c r="N18582" s="676"/>
    </row>
    <row r="18583" spans="14:14" x14ac:dyDescent="0.35">
      <c r="N18583" s="676"/>
    </row>
    <row r="18584" spans="14:14" x14ac:dyDescent="0.35">
      <c r="N18584" s="676"/>
    </row>
    <row r="18585" spans="14:14" x14ac:dyDescent="0.35">
      <c r="N18585" s="676"/>
    </row>
    <row r="18586" spans="14:14" x14ac:dyDescent="0.35">
      <c r="N18586" s="676"/>
    </row>
    <row r="18587" spans="14:14" x14ac:dyDescent="0.35">
      <c r="N18587" s="676"/>
    </row>
    <row r="18588" spans="14:14" x14ac:dyDescent="0.35">
      <c r="N18588" s="676"/>
    </row>
    <row r="18589" spans="14:14" x14ac:dyDescent="0.35">
      <c r="N18589" s="676"/>
    </row>
    <row r="18590" spans="14:14" x14ac:dyDescent="0.35">
      <c r="N18590" s="676"/>
    </row>
    <row r="18591" spans="14:14" x14ac:dyDescent="0.35">
      <c r="N18591" s="676"/>
    </row>
    <row r="18592" spans="14:14" x14ac:dyDescent="0.35">
      <c r="N18592" s="676"/>
    </row>
    <row r="18593" spans="14:14" x14ac:dyDescent="0.35">
      <c r="N18593" s="676"/>
    </row>
    <row r="18594" spans="14:14" x14ac:dyDescent="0.35">
      <c r="N18594" s="676"/>
    </row>
    <row r="18595" spans="14:14" x14ac:dyDescent="0.35">
      <c r="N18595" s="676"/>
    </row>
    <row r="18596" spans="14:14" x14ac:dyDescent="0.35">
      <c r="N18596" s="676"/>
    </row>
    <row r="18597" spans="14:14" x14ac:dyDescent="0.35">
      <c r="N18597" s="676"/>
    </row>
    <row r="18598" spans="14:14" x14ac:dyDescent="0.35">
      <c r="N18598" s="676"/>
    </row>
    <row r="18599" spans="14:14" x14ac:dyDescent="0.35">
      <c r="N18599" s="676"/>
    </row>
    <row r="18600" spans="14:14" x14ac:dyDescent="0.35">
      <c r="N18600" s="676"/>
    </row>
    <row r="18601" spans="14:14" x14ac:dyDescent="0.35">
      <c r="N18601" s="676"/>
    </row>
    <row r="18602" spans="14:14" x14ac:dyDescent="0.35">
      <c r="N18602" s="676"/>
    </row>
    <row r="18603" spans="14:14" x14ac:dyDescent="0.35">
      <c r="N18603" s="676"/>
    </row>
    <row r="18604" spans="14:14" x14ac:dyDescent="0.35">
      <c r="N18604" s="676"/>
    </row>
    <row r="18605" spans="14:14" x14ac:dyDescent="0.35">
      <c r="N18605" s="676"/>
    </row>
    <row r="18606" spans="14:14" x14ac:dyDescent="0.35">
      <c r="N18606" s="676"/>
    </row>
    <row r="18607" spans="14:14" x14ac:dyDescent="0.35">
      <c r="N18607" s="676"/>
    </row>
    <row r="18608" spans="14:14" x14ac:dyDescent="0.35">
      <c r="N18608" s="676"/>
    </row>
    <row r="18609" spans="14:14" x14ac:dyDescent="0.35">
      <c r="N18609" s="676"/>
    </row>
    <row r="18610" spans="14:14" x14ac:dyDescent="0.35">
      <c r="N18610" s="676"/>
    </row>
    <row r="18611" spans="14:14" x14ac:dyDescent="0.35">
      <c r="N18611" s="676"/>
    </row>
    <row r="18612" spans="14:14" x14ac:dyDescent="0.35">
      <c r="N18612" s="676"/>
    </row>
    <row r="18613" spans="14:14" x14ac:dyDescent="0.35">
      <c r="N18613" s="676"/>
    </row>
    <row r="18614" spans="14:14" x14ac:dyDescent="0.35">
      <c r="N18614" s="676"/>
    </row>
    <row r="18615" spans="14:14" x14ac:dyDescent="0.35">
      <c r="N18615" s="676"/>
    </row>
    <row r="18616" spans="14:14" x14ac:dyDescent="0.35">
      <c r="N18616" s="676"/>
    </row>
    <row r="18617" spans="14:14" x14ac:dyDescent="0.35">
      <c r="N18617" s="676"/>
    </row>
    <row r="18618" spans="14:14" x14ac:dyDescent="0.35">
      <c r="N18618" s="676"/>
    </row>
    <row r="18619" spans="14:14" x14ac:dyDescent="0.35">
      <c r="N18619" s="676"/>
    </row>
    <row r="18620" spans="14:14" x14ac:dyDescent="0.35">
      <c r="N18620" s="676"/>
    </row>
    <row r="18621" spans="14:14" x14ac:dyDescent="0.35">
      <c r="N18621" s="676"/>
    </row>
    <row r="18622" spans="14:14" x14ac:dyDescent="0.35">
      <c r="N18622" s="676"/>
    </row>
    <row r="18623" spans="14:14" x14ac:dyDescent="0.35">
      <c r="N18623" s="676"/>
    </row>
    <row r="18624" spans="14:14" x14ac:dyDescent="0.35">
      <c r="N18624" s="676"/>
    </row>
    <row r="18625" spans="14:14" x14ac:dyDescent="0.35">
      <c r="N18625" s="676"/>
    </row>
    <row r="18626" spans="14:14" x14ac:dyDescent="0.35">
      <c r="N18626" s="676"/>
    </row>
    <row r="18627" spans="14:14" x14ac:dyDescent="0.35">
      <c r="N18627" s="676"/>
    </row>
    <row r="18628" spans="14:14" x14ac:dyDescent="0.35">
      <c r="N18628" s="676"/>
    </row>
    <row r="18629" spans="14:14" x14ac:dyDescent="0.35">
      <c r="N18629" s="676"/>
    </row>
    <row r="18630" spans="14:14" x14ac:dyDescent="0.35">
      <c r="N18630" s="676"/>
    </row>
    <row r="18631" spans="14:14" x14ac:dyDescent="0.35">
      <c r="N18631" s="676"/>
    </row>
    <row r="18632" spans="14:14" x14ac:dyDescent="0.35">
      <c r="N18632" s="676"/>
    </row>
    <row r="18633" spans="14:14" x14ac:dyDescent="0.35">
      <c r="N18633" s="676"/>
    </row>
    <row r="18634" spans="14:14" x14ac:dyDescent="0.35">
      <c r="N18634" s="676"/>
    </row>
    <row r="18635" spans="14:14" x14ac:dyDescent="0.35">
      <c r="N18635" s="676"/>
    </row>
    <row r="18636" spans="14:14" x14ac:dyDescent="0.35">
      <c r="N18636" s="676"/>
    </row>
    <row r="18637" spans="14:14" x14ac:dyDescent="0.35">
      <c r="N18637" s="676"/>
    </row>
    <row r="18638" spans="14:14" x14ac:dyDescent="0.35">
      <c r="N18638" s="676"/>
    </row>
    <row r="18639" spans="14:14" x14ac:dyDescent="0.35">
      <c r="N18639" s="676"/>
    </row>
    <row r="18640" spans="14:14" x14ac:dyDescent="0.35">
      <c r="N18640" s="676"/>
    </row>
    <row r="18641" spans="14:14" x14ac:dyDescent="0.35">
      <c r="N18641" s="676"/>
    </row>
    <row r="18642" spans="14:14" x14ac:dyDescent="0.35">
      <c r="N18642" s="676"/>
    </row>
    <row r="18643" spans="14:14" x14ac:dyDescent="0.35">
      <c r="N18643" s="676"/>
    </row>
    <row r="18644" spans="14:14" x14ac:dyDescent="0.35">
      <c r="N18644" s="676"/>
    </row>
    <row r="18645" spans="14:14" x14ac:dyDescent="0.35">
      <c r="N18645" s="676"/>
    </row>
    <row r="18646" spans="14:14" x14ac:dyDescent="0.35">
      <c r="N18646" s="676"/>
    </row>
    <row r="18647" spans="14:14" x14ac:dyDescent="0.35">
      <c r="N18647" s="676"/>
    </row>
    <row r="18648" spans="14:14" x14ac:dyDescent="0.35">
      <c r="N18648" s="676"/>
    </row>
    <row r="18649" spans="14:14" x14ac:dyDescent="0.35">
      <c r="N18649" s="676"/>
    </row>
    <row r="18650" spans="14:14" x14ac:dyDescent="0.35">
      <c r="N18650" s="676"/>
    </row>
    <row r="18651" spans="14:14" x14ac:dyDescent="0.35">
      <c r="N18651" s="676"/>
    </row>
    <row r="18652" spans="14:14" x14ac:dyDescent="0.35">
      <c r="N18652" s="676"/>
    </row>
    <row r="18653" spans="14:14" x14ac:dyDescent="0.35">
      <c r="N18653" s="676"/>
    </row>
    <row r="18654" spans="14:14" x14ac:dyDescent="0.35">
      <c r="N18654" s="676"/>
    </row>
    <row r="18655" spans="14:14" x14ac:dyDescent="0.35">
      <c r="N18655" s="676"/>
    </row>
    <row r="18656" spans="14:14" x14ac:dyDescent="0.35">
      <c r="N18656" s="676"/>
    </row>
    <row r="18657" spans="14:14" x14ac:dyDescent="0.35">
      <c r="N18657" s="676"/>
    </row>
    <row r="18658" spans="14:14" x14ac:dyDescent="0.35">
      <c r="N18658" s="676"/>
    </row>
    <row r="18659" spans="14:14" x14ac:dyDescent="0.35">
      <c r="N18659" s="676"/>
    </row>
    <row r="18660" spans="14:14" x14ac:dyDescent="0.35">
      <c r="N18660" s="676"/>
    </row>
    <row r="18661" spans="14:14" x14ac:dyDescent="0.35">
      <c r="N18661" s="676"/>
    </row>
    <row r="18662" spans="14:14" x14ac:dyDescent="0.35">
      <c r="N18662" s="676"/>
    </row>
    <row r="18663" spans="14:14" x14ac:dyDescent="0.35">
      <c r="N18663" s="676"/>
    </row>
    <row r="18664" spans="14:14" x14ac:dyDescent="0.35">
      <c r="N18664" s="676"/>
    </row>
    <row r="18665" spans="14:14" x14ac:dyDescent="0.35">
      <c r="N18665" s="676"/>
    </row>
    <row r="18666" spans="14:14" x14ac:dyDescent="0.35">
      <c r="N18666" s="676"/>
    </row>
    <row r="18667" spans="14:14" x14ac:dyDescent="0.35">
      <c r="N18667" s="676"/>
    </row>
    <row r="18668" spans="14:14" x14ac:dyDescent="0.35">
      <c r="N18668" s="676"/>
    </row>
    <row r="18669" spans="14:14" x14ac:dyDescent="0.35">
      <c r="N18669" s="676"/>
    </row>
    <row r="18670" spans="14:14" x14ac:dyDescent="0.35">
      <c r="N18670" s="676"/>
    </row>
    <row r="18671" spans="14:14" x14ac:dyDescent="0.35">
      <c r="N18671" s="676"/>
    </row>
    <row r="18672" spans="14:14" x14ac:dyDescent="0.35">
      <c r="N18672" s="676"/>
    </row>
    <row r="18673" spans="14:14" x14ac:dyDescent="0.35">
      <c r="N18673" s="676"/>
    </row>
    <row r="18674" spans="14:14" x14ac:dyDescent="0.35">
      <c r="N18674" s="676"/>
    </row>
    <row r="18675" spans="14:14" x14ac:dyDescent="0.35">
      <c r="N18675" s="676"/>
    </row>
    <row r="18676" spans="14:14" x14ac:dyDescent="0.35">
      <c r="N18676" s="676"/>
    </row>
    <row r="18677" spans="14:14" x14ac:dyDescent="0.35">
      <c r="N18677" s="676"/>
    </row>
    <row r="18678" spans="14:14" x14ac:dyDescent="0.35">
      <c r="N18678" s="676"/>
    </row>
    <row r="18679" spans="14:14" x14ac:dyDescent="0.35">
      <c r="N18679" s="676"/>
    </row>
    <row r="18680" spans="14:14" x14ac:dyDescent="0.35">
      <c r="N18680" s="676"/>
    </row>
    <row r="18681" spans="14:14" x14ac:dyDescent="0.35">
      <c r="N18681" s="676"/>
    </row>
    <row r="18682" spans="14:14" x14ac:dyDescent="0.35">
      <c r="N18682" s="676"/>
    </row>
    <row r="18683" spans="14:14" x14ac:dyDescent="0.35">
      <c r="N18683" s="676"/>
    </row>
    <row r="18684" spans="14:14" x14ac:dyDescent="0.35">
      <c r="N18684" s="676"/>
    </row>
    <row r="18685" spans="14:14" x14ac:dyDescent="0.35">
      <c r="N18685" s="676"/>
    </row>
    <row r="18686" spans="14:14" x14ac:dyDescent="0.35">
      <c r="N18686" s="676"/>
    </row>
    <row r="18687" spans="14:14" x14ac:dyDescent="0.35">
      <c r="N18687" s="676"/>
    </row>
    <row r="18688" spans="14:14" x14ac:dyDescent="0.35">
      <c r="N18688" s="676"/>
    </row>
    <row r="18689" spans="14:14" x14ac:dyDescent="0.35">
      <c r="N18689" s="676"/>
    </row>
    <row r="18690" spans="14:14" x14ac:dyDescent="0.35">
      <c r="N18690" s="676"/>
    </row>
    <row r="18691" spans="14:14" x14ac:dyDescent="0.35">
      <c r="N18691" s="676"/>
    </row>
    <row r="18692" spans="14:14" x14ac:dyDescent="0.35">
      <c r="N18692" s="676"/>
    </row>
    <row r="18693" spans="14:14" x14ac:dyDescent="0.35">
      <c r="N18693" s="676"/>
    </row>
    <row r="18694" spans="14:14" x14ac:dyDescent="0.35">
      <c r="N18694" s="676"/>
    </row>
    <row r="18695" spans="14:14" x14ac:dyDescent="0.35">
      <c r="N18695" s="676"/>
    </row>
    <row r="18696" spans="14:14" x14ac:dyDescent="0.35">
      <c r="N18696" s="676"/>
    </row>
    <row r="18697" spans="14:14" x14ac:dyDescent="0.35">
      <c r="N18697" s="676"/>
    </row>
    <row r="18698" spans="14:14" x14ac:dyDescent="0.35">
      <c r="N18698" s="676"/>
    </row>
    <row r="18699" spans="14:14" x14ac:dyDescent="0.35">
      <c r="N18699" s="676"/>
    </row>
    <row r="18700" spans="14:14" x14ac:dyDescent="0.35">
      <c r="N18700" s="676"/>
    </row>
    <row r="18701" spans="14:14" x14ac:dyDescent="0.35">
      <c r="N18701" s="676"/>
    </row>
    <row r="18702" spans="14:14" x14ac:dyDescent="0.35">
      <c r="N18702" s="676"/>
    </row>
    <row r="18703" spans="14:14" x14ac:dyDescent="0.35">
      <c r="N18703" s="676"/>
    </row>
    <row r="18704" spans="14:14" x14ac:dyDescent="0.35">
      <c r="N18704" s="676"/>
    </row>
    <row r="18705" spans="14:14" x14ac:dyDescent="0.35">
      <c r="N18705" s="676"/>
    </row>
    <row r="18706" spans="14:14" x14ac:dyDescent="0.35">
      <c r="N18706" s="676"/>
    </row>
    <row r="18707" spans="14:14" x14ac:dyDescent="0.35">
      <c r="N18707" s="676"/>
    </row>
    <row r="18708" spans="14:14" x14ac:dyDescent="0.35">
      <c r="N18708" s="676"/>
    </row>
    <row r="18709" spans="14:14" x14ac:dyDescent="0.35">
      <c r="N18709" s="676"/>
    </row>
    <row r="18710" spans="14:14" x14ac:dyDescent="0.35">
      <c r="N18710" s="676"/>
    </row>
    <row r="18711" spans="14:14" x14ac:dyDescent="0.35">
      <c r="N18711" s="676"/>
    </row>
    <row r="18712" spans="14:14" x14ac:dyDescent="0.35">
      <c r="N18712" s="676"/>
    </row>
    <row r="18713" spans="14:14" x14ac:dyDescent="0.35">
      <c r="N18713" s="676"/>
    </row>
    <row r="18714" spans="14:14" x14ac:dyDescent="0.35">
      <c r="N18714" s="676"/>
    </row>
    <row r="18715" spans="14:14" x14ac:dyDescent="0.35">
      <c r="N18715" s="676"/>
    </row>
    <row r="18716" spans="14:14" x14ac:dyDescent="0.35">
      <c r="N18716" s="676"/>
    </row>
    <row r="18717" spans="14:14" x14ac:dyDescent="0.35">
      <c r="N18717" s="676"/>
    </row>
    <row r="18718" spans="14:14" x14ac:dyDescent="0.35">
      <c r="N18718" s="676"/>
    </row>
    <row r="18719" spans="14:14" x14ac:dyDescent="0.35">
      <c r="N18719" s="676"/>
    </row>
    <row r="18720" spans="14:14" x14ac:dyDescent="0.35">
      <c r="N18720" s="676"/>
    </row>
    <row r="18721" spans="14:14" x14ac:dyDescent="0.35">
      <c r="N18721" s="676"/>
    </row>
    <row r="18722" spans="14:14" x14ac:dyDescent="0.35">
      <c r="N18722" s="676"/>
    </row>
    <row r="18723" spans="14:14" x14ac:dyDescent="0.35">
      <c r="N18723" s="676"/>
    </row>
    <row r="18724" spans="14:14" x14ac:dyDescent="0.35">
      <c r="N18724" s="676"/>
    </row>
    <row r="18725" spans="14:14" x14ac:dyDescent="0.35">
      <c r="N18725" s="676"/>
    </row>
    <row r="18726" spans="14:14" x14ac:dyDescent="0.35">
      <c r="N18726" s="676"/>
    </row>
    <row r="18727" spans="14:14" x14ac:dyDescent="0.35">
      <c r="N18727" s="676"/>
    </row>
    <row r="18728" spans="14:14" x14ac:dyDescent="0.35">
      <c r="N18728" s="676"/>
    </row>
    <row r="18729" spans="14:14" x14ac:dyDescent="0.35">
      <c r="N18729" s="676"/>
    </row>
    <row r="18730" spans="14:14" x14ac:dyDescent="0.35">
      <c r="N18730" s="676"/>
    </row>
    <row r="18731" spans="14:14" x14ac:dyDescent="0.35">
      <c r="N18731" s="676"/>
    </row>
    <row r="18732" spans="14:14" x14ac:dyDescent="0.35">
      <c r="N18732" s="676"/>
    </row>
    <row r="18733" spans="14:14" x14ac:dyDescent="0.35">
      <c r="N18733" s="676"/>
    </row>
    <row r="18734" spans="14:14" x14ac:dyDescent="0.35">
      <c r="N18734" s="676"/>
    </row>
    <row r="18735" spans="14:14" x14ac:dyDescent="0.35">
      <c r="N18735" s="676"/>
    </row>
    <row r="18736" spans="14:14" x14ac:dyDescent="0.35">
      <c r="N18736" s="676"/>
    </row>
    <row r="18737" spans="14:14" x14ac:dyDescent="0.35">
      <c r="N18737" s="676"/>
    </row>
    <row r="18738" spans="14:14" x14ac:dyDescent="0.35">
      <c r="N18738" s="676"/>
    </row>
    <row r="18739" spans="14:14" x14ac:dyDescent="0.35">
      <c r="N18739" s="676"/>
    </row>
    <row r="18740" spans="14:14" x14ac:dyDescent="0.35">
      <c r="N18740" s="676"/>
    </row>
    <row r="18741" spans="14:14" x14ac:dyDescent="0.35">
      <c r="N18741" s="676"/>
    </row>
    <row r="18742" spans="14:14" x14ac:dyDescent="0.35">
      <c r="N18742" s="676"/>
    </row>
    <row r="18743" spans="14:14" x14ac:dyDescent="0.35">
      <c r="N18743" s="676"/>
    </row>
    <row r="18744" spans="14:14" x14ac:dyDescent="0.35">
      <c r="N18744" s="676"/>
    </row>
    <row r="18745" spans="14:14" x14ac:dyDescent="0.35">
      <c r="N18745" s="676"/>
    </row>
    <row r="18746" spans="14:14" x14ac:dyDescent="0.35">
      <c r="N18746" s="676"/>
    </row>
    <row r="18747" spans="14:14" x14ac:dyDescent="0.35">
      <c r="N18747" s="676"/>
    </row>
    <row r="18748" spans="14:14" x14ac:dyDescent="0.35">
      <c r="N18748" s="676"/>
    </row>
    <row r="18749" spans="14:14" x14ac:dyDescent="0.35">
      <c r="N18749" s="676"/>
    </row>
    <row r="18750" spans="14:14" x14ac:dyDescent="0.35">
      <c r="N18750" s="676"/>
    </row>
    <row r="18751" spans="14:14" x14ac:dyDescent="0.35">
      <c r="N18751" s="676"/>
    </row>
    <row r="18752" spans="14:14" x14ac:dyDescent="0.35">
      <c r="N18752" s="676"/>
    </row>
    <row r="18753" spans="14:14" x14ac:dyDescent="0.35">
      <c r="N18753" s="676"/>
    </row>
    <row r="18754" spans="14:14" x14ac:dyDescent="0.35">
      <c r="N18754" s="676"/>
    </row>
    <row r="18755" spans="14:14" x14ac:dyDescent="0.35">
      <c r="N18755" s="676"/>
    </row>
    <row r="18756" spans="14:14" x14ac:dyDescent="0.35">
      <c r="N18756" s="676"/>
    </row>
    <row r="18757" spans="14:14" x14ac:dyDescent="0.35">
      <c r="N18757" s="676"/>
    </row>
    <row r="18758" spans="14:14" x14ac:dyDescent="0.35">
      <c r="N18758" s="676"/>
    </row>
    <row r="18759" spans="14:14" x14ac:dyDescent="0.35">
      <c r="N18759" s="676"/>
    </row>
    <row r="18760" spans="14:14" x14ac:dyDescent="0.35">
      <c r="N18760" s="676"/>
    </row>
    <row r="18761" spans="14:14" x14ac:dyDescent="0.35">
      <c r="N18761" s="676"/>
    </row>
    <row r="18762" spans="14:14" x14ac:dyDescent="0.35">
      <c r="N18762" s="676"/>
    </row>
    <row r="18763" spans="14:14" x14ac:dyDescent="0.35">
      <c r="N18763" s="676"/>
    </row>
    <row r="18764" spans="14:14" x14ac:dyDescent="0.35">
      <c r="N18764" s="676"/>
    </row>
    <row r="18765" spans="14:14" x14ac:dyDescent="0.35">
      <c r="N18765" s="676"/>
    </row>
    <row r="18766" spans="14:14" x14ac:dyDescent="0.35">
      <c r="N18766" s="676"/>
    </row>
    <row r="18767" spans="14:14" x14ac:dyDescent="0.35">
      <c r="N18767" s="676"/>
    </row>
    <row r="18768" spans="14:14" x14ac:dyDescent="0.35">
      <c r="N18768" s="676"/>
    </row>
    <row r="18769" spans="14:14" x14ac:dyDescent="0.35">
      <c r="N18769" s="676"/>
    </row>
    <row r="18770" spans="14:14" x14ac:dyDescent="0.35">
      <c r="N18770" s="676"/>
    </row>
    <row r="18771" spans="14:14" x14ac:dyDescent="0.35">
      <c r="N18771" s="676"/>
    </row>
    <row r="18772" spans="14:14" x14ac:dyDescent="0.35">
      <c r="N18772" s="676"/>
    </row>
    <row r="18773" spans="14:14" x14ac:dyDescent="0.35">
      <c r="N18773" s="676"/>
    </row>
    <row r="18774" spans="14:14" x14ac:dyDescent="0.35">
      <c r="N18774" s="676"/>
    </row>
    <row r="18775" spans="14:14" x14ac:dyDescent="0.35">
      <c r="N18775" s="676"/>
    </row>
    <row r="18776" spans="14:14" x14ac:dyDescent="0.35">
      <c r="N18776" s="676"/>
    </row>
    <row r="18777" spans="14:14" x14ac:dyDescent="0.35">
      <c r="N18777" s="676"/>
    </row>
    <row r="18778" spans="14:14" x14ac:dyDescent="0.35">
      <c r="N18778" s="676"/>
    </row>
    <row r="18779" spans="14:14" x14ac:dyDescent="0.35">
      <c r="N18779" s="676"/>
    </row>
    <row r="18780" spans="14:14" x14ac:dyDescent="0.35">
      <c r="N18780" s="676"/>
    </row>
    <row r="18781" spans="14:14" x14ac:dyDescent="0.35">
      <c r="N18781" s="676"/>
    </row>
    <row r="18782" spans="14:14" x14ac:dyDescent="0.35">
      <c r="N18782" s="676"/>
    </row>
    <row r="18783" spans="14:14" x14ac:dyDescent="0.35">
      <c r="N18783" s="676"/>
    </row>
    <row r="18784" spans="14:14" x14ac:dyDescent="0.35">
      <c r="N18784" s="676"/>
    </row>
    <row r="18785" spans="14:14" x14ac:dyDescent="0.35">
      <c r="N18785" s="676"/>
    </row>
    <row r="18786" spans="14:14" x14ac:dyDescent="0.35">
      <c r="N18786" s="676"/>
    </row>
    <row r="18787" spans="14:14" x14ac:dyDescent="0.35">
      <c r="N18787" s="676"/>
    </row>
    <row r="18788" spans="14:14" x14ac:dyDescent="0.35">
      <c r="N18788" s="676"/>
    </row>
    <row r="18789" spans="14:14" x14ac:dyDescent="0.35">
      <c r="N18789" s="676"/>
    </row>
    <row r="18790" spans="14:14" x14ac:dyDescent="0.35">
      <c r="N18790" s="676"/>
    </row>
    <row r="18791" spans="14:14" x14ac:dyDescent="0.35">
      <c r="N18791" s="676"/>
    </row>
    <row r="18792" spans="14:14" x14ac:dyDescent="0.35">
      <c r="N18792" s="676"/>
    </row>
    <row r="18793" spans="14:14" x14ac:dyDescent="0.35">
      <c r="N18793" s="676"/>
    </row>
    <row r="18794" spans="14:14" x14ac:dyDescent="0.35">
      <c r="N18794" s="676"/>
    </row>
    <row r="18795" spans="14:14" x14ac:dyDescent="0.35">
      <c r="N18795" s="676"/>
    </row>
    <row r="18796" spans="14:14" x14ac:dyDescent="0.35">
      <c r="N18796" s="676"/>
    </row>
    <row r="18797" spans="14:14" x14ac:dyDescent="0.35">
      <c r="N18797" s="676"/>
    </row>
    <row r="18798" spans="14:14" x14ac:dyDescent="0.35">
      <c r="N18798" s="676"/>
    </row>
    <row r="18799" spans="14:14" x14ac:dyDescent="0.35">
      <c r="N18799" s="676"/>
    </row>
    <row r="18800" spans="14:14" x14ac:dyDescent="0.35">
      <c r="N18800" s="676"/>
    </row>
    <row r="18801" spans="14:14" x14ac:dyDescent="0.35">
      <c r="N18801" s="676"/>
    </row>
    <row r="18802" spans="14:14" x14ac:dyDescent="0.35">
      <c r="N18802" s="676"/>
    </row>
    <row r="18803" spans="14:14" x14ac:dyDescent="0.35">
      <c r="N18803" s="676"/>
    </row>
    <row r="18804" spans="14:14" x14ac:dyDescent="0.35">
      <c r="N18804" s="676"/>
    </row>
    <row r="18805" spans="14:14" x14ac:dyDescent="0.35">
      <c r="N18805" s="676"/>
    </row>
    <row r="18806" spans="14:14" x14ac:dyDescent="0.35">
      <c r="N18806" s="676"/>
    </row>
    <row r="18807" spans="14:14" x14ac:dyDescent="0.35">
      <c r="N18807" s="676"/>
    </row>
    <row r="18808" spans="14:14" x14ac:dyDescent="0.35">
      <c r="N18808" s="676"/>
    </row>
    <row r="18809" spans="14:14" x14ac:dyDescent="0.35">
      <c r="N18809" s="676"/>
    </row>
    <row r="18810" spans="14:14" x14ac:dyDescent="0.35">
      <c r="N18810" s="676"/>
    </row>
    <row r="18811" spans="14:14" x14ac:dyDescent="0.35">
      <c r="N18811" s="676"/>
    </row>
    <row r="18812" spans="14:14" x14ac:dyDescent="0.35">
      <c r="N18812" s="676"/>
    </row>
    <row r="18813" spans="14:14" x14ac:dyDescent="0.35">
      <c r="N18813" s="676"/>
    </row>
    <row r="18814" spans="14:14" x14ac:dyDescent="0.35">
      <c r="N18814" s="676"/>
    </row>
    <row r="18815" spans="14:14" x14ac:dyDescent="0.35">
      <c r="N18815" s="676"/>
    </row>
    <row r="18816" spans="14:14" x14ac:dyDescent="0.35">
      <c r="N18816" s="676"/>
    </row>
    <row r="18817" spans="14:14" x14ac:dyDescent="0.35">
      <c r="N18817" s="676"/>
    </row>
    <row r="18818" spans="14:14" x14ac:dyDescent="0.35">
      <c r="N18818" s="676"/>
    </row>
    <row r="18819" spans="14:14" x14ac:dyDescent="0.35">
      <c r="N18819" s="676"/>
    </row>
    <row r="18820" spans="14:14" x14ac:dyDescent="0.35">
      <c r="N18820" s="676"/>
    </row>
    <row r="18821" spans="14:14" x14ac:dyDescent="0.35">
      <c r="N18821" s="676"/>
    </row>
    <row r="18822" spans="14:14" x14ac:dyDescent="0.35">
      <c r="N18822" s="676"/>
    </row>
    <row r="18823" spans="14:14" x14ac:dyDescent="0.35">
      <c r="N18823" s="676"/>
    </row>
    <row r="18824" spans="14:14" x14ac:dyDescent="0.35">
      <c r="N18824" s="676"/>
    </row>
    <row r="18825" spans="14:14" x14ac:dyDescent="0.35">
      <c r="N18825" s="676"/>
    </row>
    <row r="18826" spans="14:14" x14ac:dyDescent="0.35">
      <c r="N18826" s="676"/>
    </row>
    <row r="18827" spans="14:14" x14ac:dyDescent="0.35">
      <c r="N18827" s="676"/>
    </row>
    <row r="18828" spans="14:14" x14ac:dyDescent="0.35">
      <c r="N18828" s="676"/>
    </row>
    <row r="18829" spans="14:14" x14ac:dyDescent="0.35">
      <c r="N18829" s="676"/>
    </row>
    <row r="18830" spans="14:14" x14ac:dyDescent="0.35">
      <c r="N18830" s="676"/>
    </row>
    <row r="18831" spans="14:14" x14ac:dyDescent="0.35">
      <c r="N18831" s="676"/>
    </row>
    <row r="18832" spans="14:14" x14ac:dyDescent="0.35">
      <c r="N18832" s="676"/>
    </row>
    <row r="18833" spans="14:14" x14ac:dyDescent="0.35">
      <c r="N18833" s="676"/>
    </row>
    <row r="18834" spans="14:14" x14ac:dyDescent="0.35">
      <c r="N18834" s="676"/>
    </row>
    <row r="18835" spans="14:14" x14ac:dyDescent="0.35">
      <c r="N18835" s="676"/>
    </row>
    <row r="18836" spans="14:14" x14ac:dyDescent="0.35">
      <c r="N18836" s="676"/>
    </row>
    <row r="18837" spans="14:14" x14ac:dyDescent="0.35">
      <c r="N18837" s="676"/>
    </row>
    <row r="18838" spans="14:14" x14ac:dyDescent="0.35">
      <c r="N18838" s="676"/>
    </row>
    <row r="18839" spans="14:14" x14ac:dyDescent="0.35">
      <c r="N18839" s="676"/>
    </row>
    <row r="18840" spans="14:14" x14ac:dyDescent="0.35">
      <c r="N18840" s="676"/>
    </row>
    <row r="18841" spans="14:14" x14ac:dyDescent="0.35">
      <c r="N18841" s="676"/>
    </row>
    <row r="18842" spans="14:14" x14ac:dyDescent="0.35">
      <c r="N18842" s="676"/>
    </row>
    <row r="18843" spans="14:14" x14ac:dyDescent="0.35">
      <c r="N18843" s="676"/>
    </row>
    <row r="18844" spans="14:14" x14ac:dyDescent="0.35">
      <c r="N18844" s="676"/>
    </row>
    <row r="18845" spans="14:14" x14ac:dyDescent="0.35">
      <c r="N18845" s="676"/>
    </row>
    <row r="18846" spans="14:14" x14ac:dyDescent="0.35">
      <c r="N18846" s="676"/>
    </row>
    <row r="18847" spans="14:14" x14ac:dyDescent="0.35">
      <c r="N18847" s="676"/>
    </row>
    <row r="18848" spans="14:14" x14ac:dyDescent="0.35">
      <c r="N18848" s="676"/>
    </row>
    <row r="18849" spans="14:14" x14ac:dyDescent="0.35">
      <c r="N18849" s="676"/>
    </row>
    <row r="18850" spans="14:14" x14ac:dyDescent="0.35">
      <c r="N18850" s="676"/>
    </row>
    <row r="18851" spans="14:14" x14ac:dyDescent="0.35">
      <c r="N18851" s="676"/>
    </row>
    <row r="18852" spans="14:14" x14ac:dyDescent="0.35">
      <c r="N18852" s="676"/>
    </row>
    <row r="18853" spans="14:14" x14ac:dyDescent="0.35">
      <c r="N18853" s="676"/>
    </row>
    <row r="18854" spans="14:14" x14ac:dyDescent="0.35">
      <c r="N18854" s="676"/>
    </row>
    <row r="18855" spans="14:14" x14ac:dyDescent="0.35">
      <c r="N18855" s="676"/>
    </row>
    <row r="18856" spans="14:14" x14ac:dyDescent="0.35">
      <c r="N18856" s="676"/>
    </row>
    <row r="18857" spans="14:14" x14ac:dyDescent="0.35">
      <c r="N18857" s="676"/>
    </row>
    <row r="18858" spans="14:14" x14ac:dyDescent="0.35">
      <c r="N18858" s="676"/>
    </row>
    <row r="18859" spans="14:14" x14ac:dyDescent="0.35">
      <c r="N18859" s="676"/>
    </row>
    <row r="18860" spans="14:14" x14ac:dyDescent="0.35">
      <c r="N18860" s="676"/>
    </row>
    <row r="18861" spans="14:14" x14ac:dyDescent="0.35">
      <c r="N18861" s="676"/>
    </row>
    <row r="18862" spans="14:14" x14ac:dyDescent="0.35">
      <c r="N18862" s="676"/>
    </row>
    <row r="18863" spans="14:14" x14ac:dyDescent="0.35">
      <c r="N18863" s="676"/>
    </row>
    <row r="18864" spans="14:14" x14ac:dyDescent="0.35">
      <c r="N18864" s="676"/>
    </row>
    <row r="18865" spans="14:14" x14ac:dyDescent="0.35">
      <c r="N18865" s="676"/>
    </row>
    <row r="18866" spans="14:14" x14ac:dyDescent="0.35">
      <c r="N18866" s="676"/>
    </row>
    <row r="18867" spans="14:14" x14ac:dyDescent="0.35">
      <c r="N18867" s="676"/>
    </row>
    <row r="18868" spans="14:14" x14ac:dyDescent="0.35">
      <c r="N18868" s="676"/>
    </row>
    <row r="18869" spans="14:14" x14ac:dyDescent="0.35">
      <c r="N18869" s="676"/>
    </row>
    <row r="18870" spans="14:14" x14ac:dyDescent="0.35">
      <c r="N18870" s="676"/>
    </row>
    <row r="18871" spans="14:14" x14ac:dyDescent="0.35">
      <c r="N18871" s="676"/>
    </row>
    <row r="18872" spans="14:14" x14ac:dyDescent="0.35">
      <c r="N18872" s="676"/>
    </row>
    <row r="18873" spans="14:14" x14ac:dyDescent="0.35">
      <c r="N18873" s="676"/>
    </row>
    <row r="18874" spans="14:14" x14ac:dyDescent="0.35">
      <c r="N18874" s="676"/>
    </row>
    <row r="18875" spans="14:14" x14ac:dyDescent="0.35">
      <c r="N18875" s="676"/>
    </row>
    <row r="18876" spans="14:14" x14ac:dyDescent="0.35">
      <c r="N18876" s="676"/>
    </row>
    <row r="18877" spans="14:14" x14ac:dyDescent="0.35">
      <c r="N18877" s="676"/>
    </row>
    <row r="18878" spans="14:14" x14ac:dyDescent="0.35">
      <c r="N18878" s="676"/>
    </row>
    <row r="18879" spans="14:14" x14ac:dyDescent="0.35">
      <c r="N18879" s="676"/>
    </row>
    <row r="18880" spans="14:14" x14ac:dyDescent="0.35">
      <c r="N18880" s="676"/>
    </row>
    <row r="18881" spans="14:14" x14ac:dyDescent="0.35">
      <c r="N18881" s="676"/>
    </row>
    <row r="18882" spans="14:14" x14ac:dyDescent="0.35">
      <c r="N18882" s="676"/>
    </row>
    <row r="18883" spans="14:14" x14ac:dyDescent="0.35">
      <c r="N18883" s="676"/>
    </row>
    <row r="18884" spans="14:14" x14ac:dyDescent="0.35">
      <c r="N18884" s="676"/>
    </row>
    <row r="18885" spans="14:14" x14ac:dyDescent="0.35">
      <c r="N18885" s="676"/>
    </row>
    <row r="18886" spans="14:14" x14ac:dyDescent="0.35">
      <c r="N18886" s="676"/>
    </row>
    <row r="18887" spans="14:14" x14ac:dyDescent="0.35">
      <c r="N18887" s="676"/>
    </row>
    <row r="18888" spans="14:14" x14ac:dyDescent="0.35">
      <c r="N18888" s="676"/>
    </row>
    <row r="18889" spans="14:14" x14ac:dyDescent="0.35">
      <c r="N18889" s="676"/>
    </row>
    <row r="18890" spans="14:14" x14ac:dyDescent="0.35">
      <c r="N18890" s="676"/>
    </row>
    <row r="18891" spans="14:14" x14ac:dyDescent="0.35">
      <c r="N18891" s="676"/>
    </row>
    <row r="18892" spans="14:14" x14ac:dyDescent="0.35">
      <c r="N18892" s="676"/>
    </row>
    <row r="18893" spans="14:14" x14ac:dyDescent="0.35">
      <c r="N18893" s="676"/>
    </row>
    <row r="18894" spans="14:14" x14ac:dyDescent="0.35">
      <c r="N18894" s="676"/>
    </row>
    <row r="18895" spans="14:14" x14ac:dyDescent="0.35">
      <c r="N18895" s="676"/>
    </row>
    <row r="18896" spans="14:14" x14ac:dyDescent="0.35">
      <c r="N18896" s="676"/>
    </row>
    <row r="18897" spans="14:14" x14ac:dyDescent="0.35">
      <c r="N18897" s="676"/>
    </row>
    <row r="18898" spans="14:14" x14ac:dyDescent="0.35">
      <c r="N18898" s="676"/>
    </row>
    <row r="18899" spans="14:14" x14ac:dyDescent="0.35">
      <c r="N18899" s="676"/>
    </row>
    <row r="18900" spans="14:14" x14ac:dyDescent="0.35">
      <c r="N18900" s="676"/>
    </row>
    <row r="18901" spans="14:14" x14ac:dyDescent="0.35">
      <c r="N18901" s="676"/>
    </row>
    <row r="18902" spans="14:14" x14ac:dyDescent="0.35">
      <c r="N18902" s="676"/>
    </row>
    <row r="18903" spans="14:14" x14ac:dyDescent="0.35">
      <c r="N18903" s="676"/>
    </row>
    <row r="18904" spans="14:14" x14ac:dyDescent="0.35">
      <c r="N18904" s="676"/>
    </row>
    <row r="18905" spans="14:14" x14ac:dyDescent="0.35">
      <c r="N18905" s="676"/>
    </row>
    <row r="18906" spans="14:14" x14ac:dyDescent="0.35">
      <c r="N18906" s="676"/>
    </row>
    <row r="18907" spans="14:14" x14ac:dyDescent="0.35">
      <c r="N18907" s="676"/>
    </row>
    <row r="18908" spans="14:14" x14ac:dyDescent="0.35">
      <c r="N18908" s="676"/>
    </row>
    <row r="18909" spans="14:14" x14ac:dyDescent="0.35">
      <c r="N18909" s="676"/>
    </row>
    <row r="18910" spans="14:14" x14ac:dyDescent="0.35">
      <c r="N18910" s="676"/>
    </row>
    <row r="18911" spans="14:14" x14ac:dyDescent="0.35">
      <c r="N18911" s="676"/>
    </row>
    <row r="18912" spans="14:14" x14ac:dyDescent="0.35">
      <c r="N18912" s="676"/>
    </row>
    <row r="18913" spans="14:14" x14ac:dyDescent="0.35">
      <c r="N18913" s="676"/>
    </row>
    <row r="18914" spans="14:14" x14ac:dyDescent="0.35">
      <c r="N18914" s="676"/>
    </row>
    <row r="18915" spans="14:14" x14ac:dyDescent="0.35">
      <c r="N18915" s="676"/>
    </row>
    <row r="18916" spans="14:14" x14ac:dyDescent="0.35">
      <c r="N18916" s="676"/>
    </row>
    <row r="18917" spans="14:14" x14ac:dyDescent="0.35">
      <c r="N18917" s="676"/>
    </row>
    <row r="18918" spans="14:14" x14ac:dyDescent="0.35">
      <c r="N18918" s="676"/>
    </row>
    <row r="18919" spans="14:14" x14ac:dyDescent="0.35">
      <c r="N18919" s="676"/>
    </row>
    <row r="18920" spans="14:14" x14ac:dyDescent="0.35">
      <c r="N18920" s="676"/>
    </row>
    <row r="18921" spans="14:14" x14ac:dyDescent="0.35">
      <c r="N18921" s="676"/>
    </row>
    <row r="18922" spans="14:14" x14ac:dyDescent="0.35">
      <c r="N18922" s="676"/>
    </row>
    <row r="18923" spans="14:14" x14ac:dyDescent="0.35">
      <c r="N18923" s="676"/>
    </row>
    <row r="18924" spans="14:14" x14ac:dyDescent="0.35">
      <c r="N18924" s="676"/>
    </row>
    <row r="18925" spans="14:14" x14ac:dyDescent="0.35">
      <c r="N18925" s="676"/>
    </row>
    <row r="18926" spans="14:14" x14ac:dyDescent="0.35">
      <c r="N18926" s="676"/>
    </row>
    <row r="18927" spans="14:14" x14ac:dyDescent="0.35">
      <c r="N18927" s="676"/>
    </row>
    <row r="18928" spans="14:14" x14ac:dyDescent="0.35">
      <c r="N18928" s="676"/>
    </row>
    <row r="18929" spans="14:14" x14ac:dyDescent="0.35">
      <c r="N18929" s="676"/>
    </row>
    <row r="18930" spans="14:14" x14ac:dyDescent="0.35">
      <c r="N18930" s="676"/>
    </row>
    <row r="18931" spans="14:14" x14ac:dyDescent="0.35">
      <c r="N18931" s="676"/>
    </row>
    <row r="18932" spans="14:14" x14ac:dyDescent="0.35">
      <c r="N18932" s="676"/>
    </row>
    <row r="18933" spans="14:14" x14ac:dyDescent="0.35">
      <c r="N18933" s="676"/>
    </row>
    <row r="18934" spans="14:14" x14ac:dyDescent="0.35">
      <c r="N18934" s="676"/>
    </row>
    <row r="18935" spans="14:14" x14ac:dyDescent="0.35">
      <c r="N18935" s="676"/>
    </row>
    <row r="18936" spans="14:14" x14ac:dyDescent="0.35">
      <c r="N18936" s="676"/>
    </row>
    <row r="18937" spans="14:14" x14ac:dyDescent="0.35">
      <c r="N18937" s="676"/>
    </row>
    <row r="18938" spans="14:14" x14ac:dyDescent="0.35">
      <c r="N18938" s="676"/>
    </row>
    <row r="18939" spans="14:14" x14ac:dyDescent="0.35">
      <c r="N18939" s="676"/>
    </row>
    <row r="18940" spans="14:14" x14ac:dyDescent="0.35">
      <c r="N18940" s="676"/>
    </row>
    <row r="18941" spans="14:14" x14ac:dyDescent="0.35">
      <c r="N18941" s="676"/>
    </row>
    <row r="18942" spans="14:14" x14ac:dyDescent="0.35">
      <c r="N18942" s="676"/>
    </row>
    <row r="18943" spans="14:14" x14ac:dyDescent="0.35">
      <c r="N18943" s="676"/>
    </row>
    <row r="18944" spans="14:14" x14ac:dyDescent="0.35">
      <c r="N18944" s="676"/>
    </row>
    <row r="18945" spans="14:14" x14ac:dyDescent="0.35">
      <c r="N18945" s="676"/>
    </row>
    <row r="18946" spans="14:14" x14ac:dyDescent="0.35">
      <c r="N18946" s="676"/>
    </row>
    <row r="18947" spans="14:14" x14ac:dyDescent="0.35">
      <c r="N18947" s="676"/>
    </row>
    <row r="18948" spans="14:14" x14ac:dyDescent="0.35">
      <c r="N18948" s="676"/>
    </row>
    <row r="18949" spans="14:14" x14ac:dyDescent="0.35">
      <c r="N18949" s="676"/>
    </row>
    <row r="18950" spans="14:14" x14ac:dyDescent="0.35">
      <c r="N18950" s="676"/>
    </row>
    <row r="18951" spans="14:14" x14ac:dyDescent="0.35">
      <c r="N18951" s="676"/>
    </row>
    <row r="18952" spans="14:14" x14ac:dyDescent="0.35">
      <c r="N18952" s="676"/>
    </row>
    <row r="18953" spans="14:14" x14ac:dyDescent="0.35">
      <c r="N18953" s="676"/>
    </row>
    <row r="18954" spans="14:14" x14ac:dyDescent="0.35">
      <c r="N18954" s="676"/>
    </row>
    <row r="18955" spans="14:14" x14ac:dyDescent="0.35">
      <c r="N18955" s="676"/>
    </row>
    <row r="18956" spans="14:14" x14ac:dyDescent="0.35">
      <c r="N18956" s="676"/>
    </row>
    <row r="18957" spans="14:14" x14ac:dyDescent="0.35">
      <c r="N18957" s="676"/>
    </row>
    <row r="18958" spans="14:14" x14ac:dyDescent="0.35">
      <c r="N18958" s="676"/>
    </row>
    <row r="18959" spans="14:14" x14ac:dyDescent="0.35">
      <c r="N18959" s="676"/>
    </row>
    <row r="18960" spans="14:14" x14ac:dyDescent="0.35">
      <c r="N18960" s="676"/>
    </row>
    <row r="18961" spans="14:14" x14ac:dyDescent="0.35">
      <c r="N18961" s="676"/>
    </row>
    <row r="18962" spans="14:14" x14ac:dyDescent="0.35">
      <c r="N18962" s="676"/>
    </row>
    <row r="18963" spans="14:14" x14ac:dyDescent="0.35">
      <c r="N18963" s="676"/>
    </row>
    <row r="18964" spans="14:14" x14ac:dyDescent="0.35">
      <c r="N18964" s="676"/>
    </row>
    <row r="18965" spans="14:14" x14ac:dyDescent="0.35">
      <c r="N18965" s="676"/>
    </row>
    <row r="18966" spans="14:14" x14ac:dyDescent="0.35">
      <c r="N18966" s="676"/>
    </row>
    <row r="18967" spans="14:14" x14ac:dyDescent="0.35">
      <c r="N18967" s="676"/>
    </row>
    <row r="18968" spans="14:14" x14ac:dyDescent="0.35">
      <c r="N18968" s="676"/>
    </row>
    <row r="18969" spans="14:14" x14ac:dyDescent="0.35">
      <c r="N18969" s="676"/>
    </row>
    <row r="18970" spans="14:14" x14ac:dyDescent="0.35">
      <c r="N18970" s="676"/>
    </row>
    <row r="18971" spans="14:14" x14ac:dyDescent="0.35">
      <c r="N18971" s="676"/>
    </row>
    <row r="18972" spans="14:14" x14ac:dyDescent="0.35">
      <c r="N18972" s="676"/>
    </row>
    <row r="18973" spans="14:14" x14ac:dyDescent="0.35">
      <c r="N18973" s="676"/>
    </row>
    <row r="18974" spans="14:14" x14ac:dyDescent="0.35">
      <c r="N18974" s="676"/>
    </row>
    <row r="18975" spans="14:14" x14ac:dyDescent="0.35">
      <c r="N18975" s="676"/>
    </row>
    <row r="18976" spans="14:14" x14ac:dyDescent="0.35">
      <c r="N18976" s="676"/>
    </row>
    <row r="18977" spans="14:14" x14ac:dyDescent="0.35">
      <c r="N18977" s="676"/>
    </row>
    <row r="18978" spans="14:14" x14ac:dyDescent="0.35">
      <c r="N18978" s="676"/>
    </row>
    <row r="18979" spans="14:14" x14ac:dyDescent="0.35">
      <c r="N18979" s="676"/>
    </row>
    <row r="18980" spans="14:14" x14ac:dyDescent="0.35">
      <c r="N18980" s="676"/>
    </row>
    <row r="18981" spans="14:14" x14ac:dyDescent="0.35">
      <c r="N18981" s="676"/>
    </row>
    <row r="18982" spans="14:14" x14ac:dyDescent="0.35">
      <c r="N18982" s="676"/>
    </row>
    <row r="18983" spans="14:14" x14ac:dyDescent="0.35">
      <c r="N18983" s="676"/>
    </row>
    <row r="18984" spans="14:14" x14ac:dyDescent="0.35">
      <c r="N18984" s="676"/>
    </row>
    <row r="18985" spans="14:14" x14ac:dyDescent="0.35">
      <c r="N18985" s="676"/>
    </row>
    <row r="18986" spans="14:14" x14ac:dyDescent="0.35">
      <c r="N18986" s="676"/>
    </row>
    <row r="18987" spans="14:14" x14ac:dyDescent="0.35">
      <c r="N18987" s="676"/>
    </row>
    <row r="18988" spans="14:14" x14ac:dyDescent="0.35">
      <c r="N18988" s="676"/>
    </row>
    <row r="18989" spans="14:14" x14ac:dyDescent="0.35">
      <c r="N18989" s="676"/>
    </row>
    <row r="18990" spans="14:14" x14ac:dyDescent="0.35">
      <c r="N18990" s="676"/>
    </row>
    <row r="18991" spans="14:14" x14ac:dyDescent="0.35">
      <c r="N18991" s="676"/>
    </row>
    <row r="18992" spans="14:14" x14ac:dyDescent="0.35">
      <c r="N18992" s="676"/>
    </row>
    <row r="18993" spans="14:14" x14ac:dyDescent="0.35">
      <c r="N18993" s="676"/>
    </row>
    <row r="18994" spans="14:14" x14ac:dyDescent="0.35">
      <c r="N18994" s="676"/>
    </row>
    <row r="18995" spans="14:14" x14ac:dyDescent="0.35">
      <c r="N18995" s="676"/>
    </row>
    <row r="18996" spans="14:14" x14ac:dyDescent="0.35">
      <c r="N18996" s="676"/>
    </row>
    <row r="18997" spans="14:14" x14ac:dyDescent="0.35">
      <c r="N18997" s="676"/>
    </row>
    <row r="18998" spans="14:14" x14ac:dyDescent="0.35">
      <c r="N18998" s="676"/>
    </row>
    <row r="18999" spans="14:14" x14ac:dyDescent="0.35">
      <c r="N18999" s="676"/>
    </row>
    <row r="19000" spans="14:14" x14ac:dyDescent="0.35">
      <c r="N19000" s="676"/>
    </row>
    <row r="19001" spans="14:14" x14ac:dyDescent="0.35">
      <c r="N19001" s="676"/>
    </row>
    <row r="19002" spans="14:14" x14ac:dyDescent="0.35">
      <c r="N19002" s="676"/>
    </row>
    <row r="19003" spans="14:14" x14ac:dyDescent="0.35">
      <c r="N19003" s="676"/>
    </row>
    <row r="19004" spans="14:14" x14ac:dyDescent="0.35">
      <c r="N19004" s="676"/>
    </row>
    <row r="19005" spans="14:14" x14ac:dyDescent="0.35">
      <c r="N19005" s="676"/>
    </row>
    <row r="19006" spans="14:14" x14ac:dyDescent="0.35">
      <c r="N19006" s="676"/>
    </row>
    <row r="19007" spans="14:14" x14ac:dyDescent="0.35">
      <c r="N19007" s="676"/>
    </row>
    <row r="19008" spans="14:14" x14ac:dyDescent="0.35">
      <c r="N19008" s="676"/>
    </row>
    <row r="19009" spans="14:14" x14ac:dyDescent="0.35">
      <c r="N19009" s="676"/>
    </row>
    <row r="19010" spans="14:14" x14ac:dyDescent="0.35">
      <c r="N19010" s="676"/>
    </row>
    <row r="19011" spans="14:14" x14ac:dyDescent="0.35">
      <c r="N19011" s="676"/>
    </row>
    <row r="19012" spans="14:14" x14ac:dyDescent="0.35">
      <c r="N19012" s="676"/>
    </row>
    <row r="19013" spans="14:14" x14ac:dyDescent="0.35">
      <c r="N19013" s="676"/>
    </row>
    <row r="19014" spans="14:14" x14ac:dyDescent="0.35">
      <c r="N19014" s="676"/>
    </row>
    <row r="19015" spans="14:14" x14ac:dyDescent="0.35">
      <c r="N19015" s="676"/>
    </row>
    <row r="19016" spans="14:14" x14ac:dyDescent="0.35">
      <c r="N19016" s="676"/>
    </row>
    <row r="19017" spans="14:14" x14ac:dyDescent="0.35">
      <c r="N19017" s="676"/>
    </row>
    <row r="19018" spans="14:14" x14ac:dyDescent="0.35">
      <c r="N19018" s="676"/>
    </row>
    <row r="19019" spans="14:14" x14ac:dyDescent="0.35">
      <c r="N19019" s="676"/>
    </row>
    <row r="19020" spans="14:14" x14ac:dyDescent="0.35">
      <c r="N19020" s="676"/>
    </row>
    <row r="19021" spans="14:14" x14ac:dyDescent="0.35">
      <c r="N19021" s="676"/>
    </row>
    <row r="19022" spans="14:14" x14ac:dyDescent="0.35">
      <c r="N19022" s="676"/>
    </row>
    <row r="19023" spans="14:14" x14ac:dyDescent="0.35">
      <c r="N19023" s="676"/>
    </row>
    <row r="19024" spans="14:14" x14ac:dyDescent="0.35">
      <c r="N19024" s="676"/>
    </row>
    <row r="19025" spans="14:14" x14ac:dyDescent="0.35">
      <c r="N19025" s="676"/>
    </row>
    <row r="19026" spans="14:14" x14ac:dyDescent="0.35">
      <c r="N19026" s="676"/>
    </row>
    <row r="19027" spans="14:14" x14ac:dyDescent="0.35">
      <c r="N19027" s="676"/>
    </row>
    <row r="19028" spans="14:14" x14ac:dyDescent="0.35">
      <c r="N19028" s="676"/>
    </row>
    <row r="19029" spans="14:14" x14ac:dyDescent="0.35">
      <c r="N19029" s="676"/>
    </row>
    <row r="19030" spans="14:14" x14ac:dyDescent="0.35">
      <c r="N19030" s="676"/>
    </row>
    <row r="19031" spans="14:14" x14ac:dyDescent="0.35">
      <c r="N19031" s="676"/>
    </row>
    <row r="19032" spans="14:14" x14ac:dyDescent="0.35">
      <c r="N19032" s="676"/>
    </row>
    <row r="19033" spans="14:14" x14ac:dyDescent="0.35">
      <c r="N19033" s="676"/>
    </row>
    <row r="19034" spans="14:14" x14ac:dyDescent="0.35">
      <c r="N19034" s="676"/>
    </row>
    <row r="19035" spans="14:14" x14ac:dyDescent="0.35">
      <c r="N19035" s="676"/>
    </row>
    <row r="19036" spans="14:14" x14ac:dyDescent="0.35">
      <c r="N19036" s="676"/>
    </row>
    <row r="19037" spans="14:14" x14ac:dyDescent="0.35">
      <c r="N19037" s="676"/>
    </row>
    <row r="19038" spans="14:14" x14ac:dyDescent="0.35">
      <c r="N19038" s="676"/>
    </row>
    <row r="19039" spans="14:14" x14ac:dyDescent="0.35">
      <c r="N19039" s="676"/>
    </row>
    <row r="19040" spans="14:14" x14ac:dyDescent="0.35">
      <c r="N19040" s="676"/>
    </row>
    <row r="19041" spans="14:14" x14ac:dyDescent="0.35">
      <c r="N19041" s="676"/>
    </row>
    <row r="19042" spans="14:14" x14ac:dyDescent="0.35">
      <c r="N19042" s="676"/>
    </row>
    <row r="19043" spans="14:14" x14ac:dyDescent="0.35">
      <c r="N19043" s="676"/>
    </row>
    <row r="19044" spans="14:14" x14ac:dyDescent="0.35">
      <c r="N19044" s="676"/>
    </row>
    <row r="19045" spans="14:14" x14ac:dyDescent="0.35">
      <c r="N19045" s="676"/>
    </row>
    <row r="19046" spans="14:14" x14ac:dyDescent="0.35">
      <c r="N19046" s="676"/>
    </row>
    <row r="19047" spans="14:14" x14ac:dyDescent="0.35">
      <c r="N19047" s="676"/>
    </row>
    <row r="19048" spans="14:14" x14ac:dyDescent="0.35">
      <c r="N19048" s="676"/>
    </row>
    <row r="19049" spans="14:14" x14ac:dyDescent="0.35">
      <c r="N19049" s="676"/>
    </row>
    <row r="19050" spans="14:14" x14ac:dyDescent="0.35">
      <c r="N19050" s="676"/>
    </row>
    <row r="19051" spans="14:14" x14ac:dyDescent="0.35">
      <c r="N19051" s="676"/>
    </row>
    <row r="19052" spans="14:14" x14ac:dyDescent="0.35">
      <c r="N19052" s="676"/>
    </row>
    <row r="19053" spans="14:14" x14ac:dyDescent="0.35">
      <c r="N19053" s="676"/>
    </row>
    <row r="19054" spans="14:14" x14ac:dyDescent="0.35">
      <c r="N19054" s="676"/>
    </row>
    <row r="19055" spans="14:14" x14ac:dyDescent="0.35">
      <c r="N19055" s="676"/>
    </row>
    <row r="19056" spans="14:14" x14ac:dyDescent="0.35">
      <c r="N19056" s="676"/>
    </row>
    <row r="19057" spans="14:14" x14ac:dyDescent="0.35">
      <c r="N19057" s="676"/>
    </row>
    <row r="19058" spans="14:14" x14ac:dyDescent="0.35">
      <c r="N19058" s="676"/>
    </row>
    <row r="19059" spans="14:14" x14ac:dyDescent="0.35">
      <c r="N19059" s="676"/>
    </row>
    <row r="19060" spans="14:14" x14ac:dyDescent="0.35">
      <c r="N19060" s="676"/>
    </row>
    <row r="19061" spans="14:14" x14ac:dyDescent="0.35">
      <c r="N19061" s="676"/>
    </row>
    <row r="19062" spans="14:14" x14ac:dyDescent="0.35">
      <c r="N19062" s="676"/>
    </row>
    <row r="19063" spans="14:14" x14ac:dyDescent="0.35">
      <c r="N19063" s="676"/>
    </row>
    <row r="19064" spans="14:14" x14ac:dyDescent="0.35">
      <c r="N19064" s="676"/>
    </row>
    <row r="19065" spans="14:14" x14ac:dyDescent="0.35">
      <c r="N19065" s="676"/>
    </row>
    <row r="19066" spans="14:14" x14ac:dyDescent="0.35">
      <c r="N19066" s="676"/>
    </row>
    <row r="19067" spans="14:14" x14ac:dyDescent="0.35">
      <c r="N19067" s="676"/>
    </row>
    <row r="19068" spans="14:14" x14ac:dyDescent="0.35">
      <c r="N19068" s="676"/>
    </row>
    <row r="19069" spans="14:14" x14ac:dyDescent="0.35">
      <c r="N19069" s="676"/>
    </row>
    <row r="19070" spans="14:14" x14ac:dyDescent="0.35">
      <c r="N19070" s="676"/>
    </row>
    <row r="19071" spans="14:14" x14ac:dyDescent="0.35">
      <c r="N19071" s="676"/>
    </row>
    <row r="19072" spans="14:14" x14ac:dyDescent="0.35">
      <c r="N19072" s="676"/>
    </row>
    <row r="19073" spans="14:14" x14ac:dyDescent="0.35">
      <c r="N19073" s="676"/>
    </row>
    <row r="19074" spans="14:14" x14ac:dyDescent="0.35">
      <c r="N19074" s="676"/>
    </row>
    <row r="19075" spans="14:14" x14ac:dyDescent="0.35">
      <c r="N19075" s="676"/>
    </row>
    <row r="19076" spans="14:14" x14ac:dyDescent="0.35">
      <c r="N19076" s="676"/>
    </row>
    <row r="19077" spans="14:14" x14ac:dyDescent="0.35">
      <c r="N19077" s="676"/>
    </row>
    <row r="19078" spans="14:14" x14ac:dyDescent="0.35">
      <c r="N19078" s="676"/>
    </row>
    <row r="19079" spans="14:14" x14ac:dyDescent="0.35">
      <c r="N19079" s="676"/>
    </row>
    <row r="19080" spans="14:14" x14ac:dyDescent="0.35">
      <c r="N19080" s="676"/>
    </row>
    <row r="19081" spans="14:14" x14ac:dyDescent="0.35">
      <c r="N19081" s="676"/>
    </row>
    <row r="19082" spans="14:14" x14ac:dyDescent="0.35">
      <c r="N19082" s="676"/>
    </row>
    <row r="19083" spans="14:14" x14ac:dyDescent="0.35">
      <c r="N19083" s="676"/>
    </row>
    <row r="19084" spans="14:14" x14ac:dyDescent="0.35">
      <c r="N19084" s="676"/>
    </row>
    <row r="19085" spans="14:14" x14ac:dyDescent="0.35">
      <c r="N19085" s="676"/>
    </row>
    <row r="19086" spans="14:14" x14ac:dyDescent="0.35">
      <c r="N19086" s="676"/>
    </row>
    <row r="19087" spans="14:14" x14ac:dyDescent="0.35">
      <c r="N19087" s="676"/>
    </row>
    <row r="19088" spans="14:14" x14ac:dyDescent="0.35">
      <c r="N19088" s="676"/>
    </row>
    <row r="19089" spans="14:14" x14ac:dyDescent="0.35">
      <c r="N19089" s="676"/>
    </row>
    <row r="19090" spans="14:14" x14ac:dyDescent="0.35">
      <c r="N19090" s="676"/>
    </row>
    <row r="19091" spans="14:14" x14ac:dyDescent="0.35">
      <c r="N19091" s="676"/>
    </row>
    <row r="19092" spans="14:14" x14ac:dyDescent="0.35">
      <c r="N19092" s="676"/>
    </row>
    <row r="19093" spans="14:14" x14ac:dyDescent="0.35">
      <c r="N19093" s="676"/>
    </row>
    <row r="19094" spans="14:14" x14ac:dyDescent="0.35">
      <c r="N19094" s="676"/>
    </row>
    <row r="19095" spans="14:14" x14ac:dyDescent="0.35">
      <c r="N19095" s="676"/>
    </row>
    <row r="19096" spans="14:14" x14ac:dyDescent="0.35">
      <c r="N19096" s="676"/>
    </row>
    <row r="19097" spans="14:14" x14ac:dyDescent="0.35">
      <c r="N19097" s="676"/>
    </row>
    <row r="19098" spans="14:14" x14ac:dyDescent="0.35">
      <c r="N19098" s="676"/>
    </row>
    <row r="19099" spans="14:14" x14ac:dyDescent="0.35">
      <c r="N19099" s="676"/>
    </row>
    <row r="19100" spans="14:14" x14ac:dyDescent="0.35">
      <c r="N19100" s="676"/>
    </row>
    <row r="19101" spans="14:14" x14ac:dyDescent="0.35">
      <c r="N19101" s="676"/>
    </row>
    <row r="19102" spans="14:14" x14ac:dyDescent="0.35">
      <c r="N19102" s="676"/>
    </row>
    <row r="19103" spans="14:14" x14ac:dyDescent="0.35">
      <c r="N19103" s="676"/>
    </row>
    <row r="19104" spans="14:14" x14ac:dyDescent="0.35">
      <c r="N19104" s="676"/>
    </row>
    <row r="19105" spans="14:14" x14ac:dyDescent="0.35">
      <c r="N19105" s="676"/>
    </row>
    <row r="19106" spans="14:14" x14ac:dyDescent="0.35">
      <c r="N19106" s="676"/>
    </row>
    <row r="19107" spans="14:14" x14ac:dyDescent="0.35">
      <c r="N19107" s="676"/>
    </row>
    <row r="19108" spans="14:14" x14ac:dyDescent="0.35">
      <c r="N19108" s="676"/>
    </row>
    <row r="19109" spans="14:14" x14ac:dyDescent="0.35">
      <c r="N19109" s="676"/>
    </row>
    <row r="19110" spans="14:14" x14ac:dyDescent="0.35">
      <c r="N19110" s="676"/>
    </row>
    <row r="19111" spans="14:14" x14ac:dyDescent="0.35">
      <c r="N19111" s="676"/>
    </row>
    <row r="19112" spans="14:14" x14ac:dyDescent="0.35">
      <c r="N19112" s="676"/>
    </row>
    <row r="19113" spans="14:14" x14ac:dyDescent="0.35">
      <c r="N19113" s="676"/>
    </row>
    <row r="19114" spans="14:14" x14ac:dyDescent="0.35">
      <c r="N19114" s="676"/>
    </row>
    <row r="19115" spans="14:14" x14ac:dyDescent="0.35">
      <c r="N19115" s="676"/>
    </row>
    <row r="19116" spans="14:14" x14ac:dyDescent="0.35">
      <c r="N19116" s="676"/>
    </row>
    <row r="19117" spans="14:14" x14ac:dyDescent="0.35">
      <c r="N19117" s="676"/>
    </row>
    <row r="19118" spans="14:14" x14ac:dyDescent="0.35">
      <c r="N19118" s="676"/>
    </row>
    <row r="19119" spans="14:14" x14ac:dyDescent="0.35">
      <c r="N19119" s="676"/>
    </row>
    <row r="19120" spans="14:14" x14ac:dyDescent="0.35">
      <c r="N19120" s="676"/>
    </row>
    <row r="19121" spans="14:14" x14ac:dyDescent="0.35">
      <c r="N19121" s="676"/>
    </row>
    <row r="19122" spans="14:14" x14ac:dyDescent="0.35">
      <c r="N19122" s="676"/>
    </row>
    <row r="19123" spans="14:14" x14ac:dyDescent="0.35">
      <c r="N19123" s="676"/>
    </row>
    <row r="19124" spans="14:14" x14ac:dyDescent="0.35">
      <c r="N19124" s="676"/>
    </row>
    <row r="19125" spans="14:14" x14ac:dyDescent="0.35">
      <c r="N19125" s="676"/>
    </row>
    <row r="19126" spans="14:14" x14ac:dyDescent="0.35">
      <c r="N19126" s="676"/>
    </row>
    <row r="19127" spans="14:14" x14ac:dyDescent="0.35">
      <c r="N19127" s="676"/>
    </row>
    <row r="19128" spans="14:14" x14ac:dyDescent="0.35">
      <c r="N19128" s="676"/>
    </row>
    <row r="19129" spans="14:14" x14ac:dyDescent="0.35">
      <c r="N19129" s="676"/>
    </row>
    <row r="19130" spans="14:14" x14ac:dyDescent="0.35">
      <c r="N19130" s="676"/>
    </row>
    <row r="19131" spans="14:14" x14ac:dyDescent="0.35">
      <c r="N19131" s="676"/>
    </row>
    <row r="19132" spans="14:14" x14ac:dyDescent="0.35">
      <c r="N19132" s="676"/>
    </row>
    <row r="19133" spans="14:14" x14ac:dyDescent="0.35">
      <c r="N19133" s="676"/>
    </row>
    <row r="19134" spans="14:14" x14ac:dyDescent="0.35">
      <c r="N19134" s="676"/>
    </row>
    <row r="19135" spans="14:14" x14ac:dyDescent="0.35">
      <c r="N19135" s="676"/>
    </row>
    <row r="19136" spans="14:14" x14ac:dyDescent="0.35">
      <c r="N19136" s="676"/>
    </row>
    <row r="19137" spans="14:14" x14ac:dyDescent="0.35">
      <c r="N19137" s="676"/>
    </row>
    <row r="19138" spans="14:14" x14ac:dyDescent="0.35">
      <c r="N19138" s="676"/>
    </row>
    <row r="19139" spans="14:14" x14ac:dyDescent="0.35">
      <c r="N19139" s="676"/>
    </row>
    <row r="19140" spans="14:14" x14ac:dyDescent="0.35">
      <c r="N19140" s="676"/>
    </row>
    <row r="19141" spans="14:14" x14ac:dyDescent="0.35">
      <c r="N19141" s="676"/>
    </row>
    <row r="19142" spans="14:14" x14ac:dyDescent="0.35">
      <c r="N19142" s="676"/>
    </row>
    <row r="19143" spans="14:14" x14ac:dyDescent="0.35">
      <c r="N19143" s="676"/>
    </row>
    <row r="19144" spans="14:14" x14ac:dyDescent="0.35">
      <c r="N19144" s="676"/>
    </row>
    <row r="19145" spans="14:14" x14ac:dyDescent="0.35">
      <c r="N19145" s="676"/>
    </row>
    <row r="19146" spans="14:14" x14ac:dyDescent="0.35">
      <c r="N19146" s="676"/>
    </row>
    <row r="19147" spans="14:14" x14ac:dyDescent="0.35">
      <c r="N19147" s="676"/>
    </row>
    <row r="19148" spans="14:14" x14ac:dyDescent="0.35">
      <c r="N19148" s="676"/>
    </row>
    <row r="19149" spans="14:14" x14ac:dyDescent="0.35">
      <c r="N19149" s="676"/>
    </row>
    <row r="19150" spans="14:14" x14ac:dyDescent="0.35">
      <c r="N19150" s="676"/>
    </row>
    <row r="19151" spans="14:14" x14ac:dyDescent="0.35">
      <c r="N19151" s="676"/>
    </row>
    <row r="19152" spans="14:14" x14ac:dyDescent="0.35">
      <c r="N19152" s="676"/>
    </row>
    <row r="19153" spans="14:14" x14ac:dyDescent="0.35">
      <c r="N19153" s="676"/>
    </row>
    <row r="19154" spans="14:14" x14ac:dyDescent="0.35">
      <c r="N19154" s="676"/>
    </row>
    <row r="19155" spans="14:14" x14ac:dyDescent="0.35">
      <c r="N19155" s="676"/>
    </row>
    <row r="19156" spans="14:14" x14ac:dyDescent="0.35">
      <c r="N19156" s="676"/>
    </row>
    <row r="19157" spans="14:14" x14ac:dyDescent="0.35">
      <c r="N19157" s="676"/>
    </row>
    <row r="19158" spans="14:14" x14ac:dyDescent="0.35">
      <c r="N19158" s="676"/>
    </row>
    <row r="19159" spans="14:14" x14ac:dyDescent="0.35">
      <c r="N19159" s="676"/>
    </row>
    <row r="19160" spans="14:14" x14ac:dyDescent="0.35">
      <c r="N19160" s="676"/>
    </row>
    <row r="19161" spans="14:14" x14ac:dyDescent="0.35">
      <c r="N19161" s="676"/>
    </row>
    <row r="19162" spans="14:14" x14ac:dyDescent="0.35">
      <c r="N19162" s="676"/>
    </row>
    <row r="19163" spans="14:14" x14ac:dyDescent="0.35">
      <c r="N19163" s="676"/>
    </row>
    <row r="19164" spans="14:14" x14ac:dyDescent="0.35">
      <c r="N19164" s="676"/>
    </row>
    <row r="19165" spans="14:14" x14ac:dyDescent="0.35">
      <c r="N19165" s="676"/>
    </row>
    <row r="19166" spans="14:14" x14ac:dyDescent="0.35">
      <c r="N19166" s="676"/>
    </row>
    <row r="19167" spans="14:14" x14ac:dyDescent="0.35">
      <c r="N19167" s="676"/>
    </row>
    <row r="19168" spans="14:14" x14ac:dyDescent="0.35">
      <c r="N19168" s="676"/>
    </row>
    <row r="19169" spans="14:14" x14ac:dyDescent="0.35">
      <c r="N19169" s="676"/>
    </row>
    <row r="19170" spans="14:14" x14ac:dyDescent="0.35">
      <c r="N19170" s="676"/>
    </row>
    <row r="19171" spans="14:14" x14ac:dyDescent="0.35">
      <c r="N19171" s="676"/>
    </row>
    <row r="19172" spans="14:14" x14ac:dyDescent="0.35">
      <c r="N19172" s="676"/>
    </row>
    <row r="19173" spans="14:14" x14ac:dyDescent="0.35">
      <c r="N19173" s="676"/>
    </row>
    <row r="19174" spans="14:14" x14ac:dyDescent="0.35">
      <c r="N19174" s="676"/>
    </row>
    <row r="19175" spans="14:14" x14ac:dyDescent="0.35">
      <c r="N19175" s="676"/>
    </row>
    <row r="19176" spans="14:14" x14ac:dyDescent="0.35">
      <c r="N19176" s="676"/>
    </row>
    <row r="19177" spans="14:14" x14ac:dyDescent="0.35">
      <c r="N19177" s="676"/>
    </row>
    <row r="19178" spans="14:14" x14ac:dyDescent="0.35">
      <c r="N19178" s="676"/>
    </row>
    <row r="19179" spans="14:14" x14ac:dyDescent="0.35">
      <c r="N19179" s="676"/>
    </row>
    <row r="19180" spans="14:14" x14ac:dyDescent="0.35">
      <c r="N19180" s="676"/>
    </row>
    <row r="19181" spans="14:14" x14ac:dyDescent="0.35">
      <c r="N19181" s="676"/>
    </row>
    <row r="19182" spans="14:14" x14ac:dyDescent="0.35">
      <c r="N19182" s="676"/>
    </row>
    <row r="19183" spans="14:14" x14ac:dyDescent="0.35">
      <c r="N19183" s="676"/>
    </row>
    <row r="19184" spans="14:14" x14ac:dyDescent="0.35">
      <c r="N19184" s="676"/>
    </row>
    <row r="19185" spans="14:14" x14ac:dyDescent="0.35">
      <c r="N19185" s="676"/>
    </row>
    <row r="19186" spans="14:14" x14ac:dyDescent="0.35">
      <c r="N19186" s="676"/>
    </row>
    <row r="19187" spans="14:14" x14ac:dyDescent="0.35">
      <c r="N19187" s="676"/>
    </row>
    <row r="19188" spans="14:14" x14ac:dyDescent="0.35">
      <c r="N19188" s="676"/>
    </row>
    <row r="19189" spans="14:14" x14ac:dyDescent="0.35">
      <c r="N19189" s="676"/>
    </row>
    <row r="19190" spans="14:14" x14ac:dyDescent="0.35">
      <c r="N19190" s="676"/>
    </row>
    <row r="19191" spans="14:14" x14ac:dyDescent="0.35">
      <c r="N19191" s="676"/>
    </row>
    <row r="19192" spans="14:14" x14ac:dyDescent="0.35">
      <c r="N19192" s="676"/>
    </row>
    <row r="19193" spans="14:14" x14ac:dyDescent="0.35">
      <c r="N19193" s="676"/>
    </row>
    <row r="19194" spans="14:14" x14ac:dyDescent="0.35">
      <c r="N19194" s="676"/>
    </row>
    <row r="19195" spans="14:14" x14ac:dyDescent="0.35">
      <c r="N19195" s="676"/>
    </row>
    <row r="19196" spans="14:14" x14ac:dyDescent="0.35">
      <c r="N19196" s="676"/>
    </row>
    <row r="19197" spans="14:14" x14ac:dyDescent="0.35">
      <c r="N19197" s="676"/>
    </row>
    <row r="19198" spans="14:14" x14ac:dyDescent="0.35">
      <c r="N19198" s="676"/>
    </row>
    <row r="19199" spans="14:14" x14ac:dyDescent="0.35">
      <c r="N19199" s="676"/>
    </row>
    <row r="19200" spans="14:14" x14ac:dyDescent="0.35">
      <c r="N19200" s="676"/>
    </row>
    <row r="19201" spans="14:14" x14ac:dyDescent="0.35">
      <c r="N19201" s="676"/>
    </row>
    <row r="19202" spans="14:14" x14ac:dyDescent="0.35">
      <c r="N19202" s="676"/>
    </row>
    <row r="19203" spans="14:14" x14ac:dyDescent="0.35">
      <c r="N19203" s="676"/>
    </row>
    <row r="19204" spans="14:14" x14ac:dyDescent="0.35">
      <c r="N19204" s="676"/>
    </row>
    <row r="19205" spans="14:14" x14ac:dyDescent="0.35">
      <c r="N19205" s="676"/>
    </row>
    <row r="19206" spans="14:14" x14ac:dyDescent="0.35">
      <c r="N19206" s="676"/>
    </row>
    <row r="19207" spans="14:14" x14ac:dyDescent="0.35">
      <c r="N19207" s="676"/>
    </row>
    <row r="19208" spans="14:14" x14ac:dyDescent="0.35">
      <c r="N19208" s="676"/>
    </row>
    <row r="19209" spans="14:14" x14ac:dyDescent="0.35">
      <c r="N19209" s="676"/>
    </row>
    <row r="19210" spans="14:14" x14ac:dyDescent="0.35">
      <c r="N19210" s="676"/>
    </row>
    <row r="19211" spans="14:14" x14ac:dyDescent="0.35">
      <c r="N19211" s="676"/>
    </row>
    <row r="19212" spans="14:14" x14ac:dyDescent="0.35">
      <c r="N19212" s="676"/>
    </row>
    <row r="19213" spans="14:14" x14ac:dyDescent="0.35">
      <c r="N19213" s="676"/>
    </row>
    <row r="19214" spans="14:14" x14ac:dyDescent="0.35">
      <c r="N19214" s="676"/>
    </row>
    <row r="19215" spans="14:14" x14ac:dyDescent="0.35">
      <c r="N19215" s="676"/>
    </row>
    <row r="19216" spans="14:14" x14ac:dyDescent="0.35">
      <c r="N19216" s="676"/>
    </row>
    <row r="19217" spans="14:14" x14ac:dyDescent="0.35">
      <c r="N19217" s="676"/>
    </row>
    <row r="19218" spans="14:14" x14ac:dyDescent="0.35">
      <c r="N19218" s="676"/>
    </row>
    <row r="19219" spans="14:14" x14ac:dyDescent="0.35">
      <c r="N19219" s="676"/>
    </row>
    <row r="19220" spans="14:14" x14ac:dyDescent="0.35">
      <c r="N19220" s="676"/>
    </row>
    <row r="19221" spans="14:14" x14ac:dyDescent="0.35">
      <c r="N19221" s="676"/>
    </row>
    <row r="19222" spans="14:14" x14ac:dyDescent="0.35">
      <c r="N19222" s="676"/>
    </row>
    <row r="19223" spans="14:14" x14ac:dyDescent="0.35">
      <c r="N19223" s="676"/>
    </row>
    <row r="19224" spans="14:14" x14ac:dyDescent="0.35">
      <c r="N19224" s="676"/>
    </row>
    <row r="19225" spans="14:14" x14ac:dyDescent="0.35">
      <c r="N19225" s="676"/>
    </row>
    <row r="19226" spans="14:14" x14ac:dyDescent="0.35">
      <c r="N19226" s="676"/>
    </row>
    <row r="19227" spans="14:14" x14ac:dyDescent="0.35">
      <c r="N19227" s="676"/>
    </row>
    <row r="19228" spans="14:14" x14ac:dyDescent="0.35">
      <c r="N19228" s="676"/>
    </row>
    <row r="19229" spans="14:14" x14ac:dyDescent="0.35">
      <c r="N19229" s="676"/>
    </row>
    <row r="19230" spans="14:14" x14ac:dyDescent="0.35">
      <c r="N19230" s="676"/>
    </row>
    <row r="19231" spans="14:14" x14ac:dyDescent="0.35">
      <c r="N19231" s="676"/>
    </row>
    <row r="19232" spans="14:14" x14ac:dyDescent="0.35">
      <c r="N19232" s="676"/>
    </row>
    <row r="19233" spans="14:14" x14ac:dyDescent="0.35">
      <c r="N19233" s="676"/>
    </row>
    <row r="19234" spans="14:14" x14ac:dyDescent="0.35">
      <c r="N19234" s="676"/>
    </row>
    <row r="19235" spans="14:14" x14ac:dyDescent="0.35">
      <c r="N19235" s="676"/>
    </row>
    <row r="19236" spans="14:14" x14ac:dyDescent="0.35">
      <c r="N19236" s="676"/>
    </row>
    <row r="19237" spans="14:14" x14ac:dyDescent="0.35">
      <c r="N19237" s="676"/>
    </row>
    <row r="19238" spans="14:14" x14ac:dyDescent="0.35">
      <c r="N19238" s="676"/>
    </row>
    <row r="19239" spans="14:14" x14ac:dyDescent="0.35">
      <c r="N19239" s="676"/>
    </row>
    <row r="19240" spans="14:14" x14ac:dyDescent="0.35">
      <c r="N19240" s="676"/>
    </row>
    <row r="19241" spans="14:14" x14ac:dyDescent="0.35">
      <c r="N19241" s="676"/>
    </row>
    <row r="19242" spans="14:14" x14ac:dyDescent="0.35">
      <c r="N19242" s="676"/>
    </row>
    <row r="19243" spans="14:14" x14ac:dyDescent="0.35">
      <c r="N19243" s="676"/>
    </row>
    <row r="19244" spans="14:14" x14ac:dyDescent="0.35">
      <c r="N19244" s="676"/>
    </row>
    <row r="19245" spans="14:14" x14ac:dyDescent="0.35">
      <c r="N19245" s="676"/>
    </row>
    <row r="19246" spans="14:14" x14ac:dyDescent="0.35">
      <c r="N19246" s="676"/>
    </row>
    <row r="19247" spans="14:14" x14ac:dyDescent="0.35">
      <c r="N19247" s="676"/>
    </row>
    <row r="19248" spans="14:14" x14ac:dyDescent="0.35">
      <c r="N19248" s="676"/>
    </row>
    <row r="19249" spans="14:14" x14ac:dyDescent="0.35">
      <c r="N19249" s="676"/>
    </row>
    <row r="19250" spans="14:14" x14ac:dyDescent="0.35">
      <c r="N19250" s="676"/>
    </row>
    <row r="19251" spans="14:14" x14ac:dyDescent="0.35">
      <c r="N19251" s="676"/>
    </row>
    <row r="19252" spans="14:14" x14ac:dyDescent="0.35">
      <c r="N19252" s="676"/>
    </row>
    <row r="19253" spans="14:14" x14ac:dyDescent="0.35">
      <c r="N19253" s="676"/>
    </row>
    <row r="19254" spans="14:14" x14ac:dyDescent="0.35">
      <c r="N19254" s="676"/>
    </row>
    <row r="19255" spans="14:14" x14ac:dyDescent="0.35">
      <c r="N19255" s="676"/>
    </row>
    <row r="19256" spans="14:14" x14ac:dyDescent="0.35">
      <c r="N19256" s="676"/>
    </row>
    <row r="19257" spans="14:14" x14ac:dyDescent="0.35">
      <c r="N19257" s="676"/>
    </row>
    <row r="19258" spans="14:14" x14ac:dyDescent="0.35">
      <c r="N19258" s="676"/>
    </row>
    <row r="19259" spans="14:14" x14ac:dyDescent="0.35">
      <c r="N19259" s="676"/>
    </row>
    <row r="19260" spans="14:14" x14ac:dyDescent="0.35">
      <c r="N19260" s="676"/>
    </row>
    <row r="19261" spans="14:14" x14ac:dyDescent="0.35">
      <c r="N19261" s="676"/>
    </row>
    <row r="19262" spans="14:14" x14ac:dyDescent="0.35">
      <c r="N19262" s="676"/>
    </row>
    <row r="19263" spans="14:14" x14ac:dyDescent="0.35">
      <c r="N19263" s="676"/>
    </row>
    <row r="19264" spans="14:14" x14ac:dyDescent="0.35">
      <c r="N19264" s="676"/>
    </row>
    <row r="19265" spans="14:14" x14ac:dyDescent="0.35">
      <c r="N19265" s="676"/>
    </row>
    <row r="19266" spans="14:14" x14ac:dyDescent="0.35">
      <c r="N19266" s="676"/>
    </row>
    <row r="19267" spans="14:14" x14ac:dyDescent="0.35">
      <c r="N19267" s="676"/>
    </row>
    <row r="19268" spans="14:14" x14ac:dyDescent="0.35">
      <c r="N19268" s="676"/>
    </row>
    <row r="19269" spans="14:14" x14ac:dyDescent="0.35">
      <c r="N19269" s="676"/>
    </row>
    <row r="19270" spans="14:14" x14ac:dyDescent="0.35">
      <c r="N19270" s="676"/>
    </row>
    <row r="19271" spans="14:14" x14ac:dyDescent="0.35">
      <c r="N19271" s="676"/>
    </row>
    <row r="19272" spans="14:14" x14ac:dyDescent="0.35">
      <c r="N19272" s="676"/>
    </row>
    <row r="19273" spans="14:14" x14ac:dyDescent="0.35">
      <c r="N19273" s="676"/>
    </row>
    <row r="19274" spans="14:14" x14ac:dyDescent="0.35">
      <c r="N19274" s="676"/>
    </row>
    <row r="19275" spans="14:14" x14ac:dyDescent="0.35">
      <c r="N19275" s="676"/>
    </row>
    <row r="19276" spans="14:14" x14ac:dyDescent="0.35">
      <c r="N19276" s="676"/>
    </row>
    <row r="19277" spans="14:14" x14ac:dyDescent="0.35">
      <c r="N19277" s="676"/>
    </row>
    <row r="19278" spans="14:14" x14ac:dyDescent="0.35">
      <c r="N19278" s="676"/>
    </row>
    <row r="19279" spans="14:14" x14ac:dyDescent="0.35">
      <c r="N19279" s="676"/>
    </row>
    <row r="19280" spans="14:14" x14ac:dyDescent="0.35">
      <c r="N19280" s="676"/>
    </row>
    <row r="19281" spans="14:14" x14ac:dyDescent="0.35">
      <c r="N19281" s="676"/>
    </row>
    <row r="19282" spans="14:14" x14ac:dyDescent="0.35">
      <c r="N19282" s="676"/>
    </row>
    <row r="19283" spans="14:14" x14ac:dyDescent="0.35">
      <c r="N19283" s="676"/>
    </row>
    <row r="19284" spans="14:14" x14ac:dyDescent="0.35">
      <c r="N19284" s="676"/>
    </row>
    <row r="19285" spans="14:14" x14ac:dyDescent="0.35">
      <c r="N19285" s="676"/>
    </row>
    <row r="19286" spans="14:14" x14ac:dyDescent="0.35">
      <c r="N19286" s="676"/>
    </row>
    <row r="19287" spans="14:14" x14ac:dyDescent="0.35">
      <c r="N19287" s="676"/>
    </row>
    <row r="19288" spans="14:14" x14ac:dyDescent="0.35">
      <c r="N19288" s="676"/>
    </row>
    <row r="19289" spans="14:14" x14ac:dyDescent="0.35">
      <c r="N19289" s="676"/>
    </row>
    <row r="19290" spans="14:14" x14ac:dyDescent="0.35">
      <c r="N19290" s="676"/>
    </row>
    <row r="19291" spans="14:14" x14ac:dyDescent="0.35">
      <c r="N19291" s="676"/>
    </row>
    <row r="19292" spans="14:14" x14ac:dyDescent="0.35">
      <c r="N19292" s="676"/>
    </row>
    <row r="19293" spans="14:14" x14ac:dyDescent="0.35">
      <c r="N19293" s="676"/>
    </row>
    <row r="19294" spans="14:14" x14ac:dyDescent="0.35">
      <c r="N19294" s="676"/>
    </row>
    <row r="19295" spans="14:14" x14ac:dyDescent="0.35">
      <c r="N19295" s="676"/>
    </row>
    <row r="19296" spans="14:14" x14ac:dyDescent="0.35">
      <c r="N19296" s="676"/>
    </row>
    <row r="19297" spans="14:14" x14ac:dyDescent="0.35">
      <c r="N19297" s="676"/>
    </row>
    <row r="19298" spans="14:14" x14ac:dyDescent="0.35">
      <c r="N19298" s="676"/>
    </row>
    <row r="19299" spans="14:14" x14ac:dyDescent="0.35">
      <c r="N19299" s="676"/>
    </row>
    <row r="19300" spans="14:14" x14ac:dyDescent="0.35">
      <c r="N19300" s="676"/>
    </row>
    <row r="19301" spans="14:14" x14ac:dyDescent="0.35">
      <c r="N19301" s="676"/>
    </row>
    <row r="19302" spans="14:14" x14ac:dyDescent="0.35">
      <c r="N19302" s="676"/>
    </row>
    <row r="19303" spans="14:14" x14ac:dyDescent="0.35">
      <c r="N19303" s="676"/>
    </row>
    <row r="19304" spans="14:14" x14ac:dyDescent="0.35">
      <c r="N19304" s="676"/>
    </row>
    <row r="19305" spans="14:14" x14ac:dyDescent="0.35">
      <c r="N19305" s="676"/>
    </row>
    <row r="19306" spans="14:14" x14ac:dyDescent="0.35">
      <c r="N19306" s="676"/>
    </row>
    <row r="19307" spans="14:14" x14ac:dyDescent="0.35">
      <c r="N19307" s="676"/>
    </row>
    <row r="19308" spans="14:14" x14ac:dyDescent="0.35">
      <c r="N19308" s="676"/>
    </row>
    <row r="19309" spans="14:14" x14ac:dyDescent="0.35">
      <c r="N19309" s="676"/>
    </row>
    <row r="19310" spans="14:14" x14ac:dyDescent="0.35">
      <c r="N19310" s="676"/>
    </row>
    <row r="19311" spans="14:14" x14ac:dyDescent="0.35">
      <c r="N19311" s="676"/>
    </row>
    <row r="19312" spans="14:14" x14ac:dyDescent="0.35">
      <c r="N19312" s="676"/>
    </row>
    <row r="19313" spans="14:14" x14ac:dyDescent="0.35">
      <c r="N19313" s="676"/>
    </row>
    <row r="19314" spans="14:14" x14ac:dyDescent="0.35">
      <c r="N19314" s="676"/>
    </row>
    <row r="19315" spans="14:14" x14ac:dyDescent="0.35">
      <c r="N19315" s="676"/>
    </row>
    <row r="19316" spans="14:14" x14ac:dyDescent="0.35">
      <c r="N19316" s="676"/>
    </row>
    <row r="19317" spans="14:14" x14ac:dyDescent="0.35">
      <c r="N19317" s="676"/>
    </row>
    <row r="19318" spans="14:14" x14ac:dyDescent="0.35">
      <c r="N19318" s="676"/>
    </row>
    <row r="19319" spans="14:14" x14ac:dyDescent="0.35">
      <c r="N19319" s="676"/>
    </row>
    <row r="19320" spans="14:14" x14ac:dyDescent="0.35">
      <c r="N19320" s="676"/>
    </row>
    <row r="19321" spans="14:14" x14ac:dyDescent="0.35">
      <c r="N19321" s="676"/>
    </row>
    <row r="19322" spans="14:14" x14ac:dyDescent="0.35">
      <c r="N19322" s="676"/>
    </row>
    <row r="19323" spans="14:14" x14ac:dyDescent="0.35">
      <c r="N19323" s="676"/>
    </row>
    <row r="19324" spans="14:14" x14ac:dyDescent="0.35">
      <c r="N19324" s="676"/>
    </row>
    <row r="19325" spans="14:14" x14ac:dyDescent="0.35">
      <c r="N19325" s="676"/>
    </row>
    <row r="19326" spans="14:14" x14ac:dyDescent="0.35">
      <c r="N19326" s="676"/>
    </row>
    <row r="19327" spans="14:14" x14ac:dyDescent="0.35">
      <c r="N19327" s="676"/>
    </row>
    <row r="19328" spans="14:14" x14ac:dyDescent="0.35">
      <c r="N19328" s="676"/>
    </row>
    <row r="19329" spans="14:14" x14ac:dyDescent="0.35">
      <c r="N19329" s="676"/>
    </row>
    <row r="19330" spans="14:14" x14ac:dyDescent="0.35">
      <c r="N19330" s="676"/>
    </row>
    <row r="19331" spans="14:14" x14ac:dyDescent="0.35">
      <c r="N19331" s="676"/>
    </row>
    <row r="19332" spans="14:14" x14ac:dyDescent="0.35">
      <c r="N19332" s="676"/>
    </row>
    <row r="19333" spans="14:14" x14ac:dyDescent="0.35">
      <c r="N19333" s="676"/>
    </row>
    <row r="19334" spans="14:14" x14ac:dyDescent="0.35">
      <c r="N19334" s="676"/>
    </row>
    <row r="19335" spans="14:14" x14ac:dyDescent="0.35">
      <c r="N19335" s="676"/>
    </row>
    <row r="19336" spans="14:14" x14ac:dyDescent="0.35">
      <c r="N19336" s="676"/>
    </row>
    <row r="19337" spans="14:14" x14ac:dyDescent="0.35">
      <c r="N19337" s="676"/>
    </row>
    <row r="19338" spans="14:14" x14ac:dyDescent="0.35">
      <c r="N19338" s="676"/>
    </row>
    <row r="19339" spans="14:14" x14ac:dyDescent="0.35">
      <c r="N19339" s="676"/>
    </row>
    <row r="19340" spans="14:14" x14ac:dyDescent="0.35">
      <c r="N19340" s="676"/>
    </row>
    <row r="19341" spans="14:14" x14ac:dyDescent="0.35">
      <c r="N19341" s="676"/>
    </row>
    <row r="19342" spans="14:14" x14ac:dyDescent="0.35">
      <c r="N19342" s="676"/>
    </row>
    <row r="19343" spans="14:14" x14ac:dyDescent="0.35">
      <c r="N19343" s="676"/>
    </row>
    <row r="19344" spans="14:14" x14ac:dyDescent="0.35">
      <c r="N19344" s="676"/>
    </row>
    <row r="19345" spans="14:14" x14ac:dyDescent="0.35">
      <c r="N19345" s="676"/>
    </row>
    <row r="19346" spans="14:14" x14ac:dyDescent="0.35">
      <c r="N19346" s="676"/>
    </row>
    <row r="19347" spans="14:14" x14ac:dyDescent="0.35">
      <c r="N19347" s="676"/>
    </row>
    <row r="19348" spans="14:14" x14ac:dyDescent="0.35">
      <c r="N19348" s="676"/>
    </row>
    <row r="19349" spans="14:14" x14ac:dyDescent="0.35">
      <c r="N19349" s="676"/>
    </row>
    <row r="19350" spans="14:14" x14ac:dyDescent="0.35">
      <c r="N19350" s="676"/>
    </row>
    <row r="19351" spans="14:14" x14ac:dyDescent="0.35">
      <c r="N19351" s="676"/>
    </row>
    <row r="19352" spans="14:14" x14ac:dyDescent="0.35">
      <c r="N19352" s="676"/>
    </row>
    <row r="19353" spans="14:14" x14ac:dyDescent="0.35">
      <c r="N19353" s="676"/>
    </row>
    <row r="19354" spans="14:14" x14ac:dyDescent="0.35">
      <c r="N19354" s="676"/>
    </row>
    <row r="19355" spans="14:14" x14ac:dyDescent="0.35">
      <c r="N19355" s="676"/>
    </row>
    <row r="19356" spans="14:14" x14ac:dyDescent="0.35">
      <c r="N19356" s="676"/>
    </row>
    <row r="19357" spans="14:14" x14ac:dyDescent="0.35">
      <c r="N19357" s="676"/>
    </row>
    <row r="19358" spans="14:14" x14ac:dyDescent="0.35">
      <c r="N19358" s="676"/>
    </row>
    <row r="19359" spans="14:14" x14ac:dyDescent="0.35">
      <c r="N19359" s="676"/>
    </row>
    <row r="19360" spans="14:14" x14ac:dyDescent="0.35">
      <c r="N19360" s="676"/>
    </row>
    <row r="19361" spans="14:14" x14ac:dyDescent="0.35">
      <c r="N19361" s="676"/>
    </row>
    <row r="19362" spans="14:14" x14ac:dyDescent="0.35">
      <c r="N19362" s="676"/>
    </row>
    <row r="19363" spans="14:14" x14ac:dyDescent="0.35">
      <c r="N19363" s="676"/>
    </row>
    <row r="19364" spans="14:14" x14ac:dyDescent="0.35">
      <c r="N19364" s="676"/>
    </row>
    <row r="19365" spans="14:14" x14ac:dyDescent="0.35">
      <c r="N19365" s="676"/>
    </row>
    <row r="19366" spans="14:14" x14ac:dyDescent="0.35">
      <c r="N19366" s="676"/>
    </row>
    <row r="19367" spans="14:14" x14ac:dyDescent="0.35">
      <c r="N19367" s="676"/>
    </row>
    <row r="19368" spans="14:14" x14ac:dyDescent="0.35">
      <c r="N19368" s="676"/>
    </row>
    <row r="19369" spans="14:14" x14ac:dyDescent="0.35">
      <c r="N19369" s="676"/>
    </row>
    <row r="19370" spans="14:14" x14ac:dyDescent="0.35">
      <c r="N19370" s="676"/>
    </row>
    <row r="19371" spans="14:14" x14ac:dyDescent="0.35">
      <c r="N19371" s="676"/>
    </row>
    <row r="19372" spans="14:14" x14ac:dyDescent="0.35">
      <c r="N19372" s="676"/>
    </row>
    <row r="19373" spans="14:14" x14ac:dyDescent="0.35">
      <c r="N19373" s="676"/>
    </row>
    <row r="19374" spans="14:14" x14ac:dyDescent="0.35">
      <c r="N19374" s="676"/>
    </row>
    <row r="19375" spans="14:14" x14ac:dyDescent="0.35">
      <c r="N19375" s="676"/>
    </row>
    <row r="19376" spans="14:14" x14ac:dyDescent="0.35">
      <c r="N19376" s="676"/>
    </row>
    <row r="19377" spans="14:14" x14ac:dyDescent="0.35">
      <c r="N19377" s="676"/>
    </row>
    <row r="19378" spans="14:14" x14ac:dyDescent="0.35">
      <c r="N19378" s="676"/>
    </row>
    <row r="19379" spans="14:14" x14ac:dyDescent="0.35">
      <c r="N19379" s="676"/>
    </row>
    <row r="19380" spans="14:14" x14ac:dyDescent="0.35">
      <c r="N19380" s="676"/>
    </row>
    <row r="19381" spans="14:14" x14ac:dyDescent="0.35">
      <c r="N19381" s="676"/>
    </row>
    <row r="19382" spans="14:14" x14ac:dyDescent="0.35">
      <c r="N19382" s="676"/>
    </row>
    <row r="19383" spans="14:14" x14ac:dyDescent="0.35">
      <c r="N19383" s="676"/>
    </row>
    <row r="19384" spans="14:14" x14ac:dyDescent="0.35">
      <c r="N19384" s="676"/>
    </row>
    <row r="19385" spans="14:14" x14ac:dyDescent="0.35">
      <c r="N19385" s="676"/>
    </row>
    <row r="19386" spans="14:14" x14ac:dyDescent="0.35">
      <c r="N19386" s="676"/>
    </row>
    <row r="19387" spans="14:14" x14ac:dyDescent="0.35">
      <c r="N19387" s="676"/>
    </row>
    <row r="19388" spans="14:14" x14ac:dyDescent="0.35">
      <c r="N19388" s="676"/>
    </row>
    <row r="19389" spans="14:14" x14ac:dyDescent="0.35">
      <c r="N19389" s="676"/>
    </row>
    <row r="19390" spans="14:14" x14ac:dyDescent="0.35">
      <c r="N19390" s="676"/>
    </row>
    <row r="19391" spans="14:14" x14ac:dyDescent="0.35">
      <c r="N19391" s="676"/>
    </row>
    <row r="19392" spans="14:14" x14ac:dyDescent="0.35">
      <c r="N19392" s="676"/>
    </row>
    <row r="19393" spans="14:14" x14ac:dyDescent="0.35">
      <c r="N19393" s="676"/>
    </row>
    <row r="19394" spans="14:14" x14ac:dyDescent="0.35">
      <c r="N19394" s="676"/>
    </row>
    <row r="19395" spans="14:14" x14ac:dyDescent="0.35">
      <c r="N19395" s="676"/>
    </row>
    <row r="19396" spans="14:14" x14ac:dyDescent="0.35">
      <c r="N19396" s="676"/>
    </row>
    <row r="19397" spans="14:14" x14ac:dyDescent="0.35">
      <c r="N19397" s="676"/>
    </row>
    <row r="19398" spans="14:14" x14ac:dyDescent="0.35">
      <c r="N19398" s="676"/>
    </row>
    <row r="19399" spans="14:14" x14ac:dyDescent="0.35">
      <c r="N19399" s="676"/>
    </row>
    <row r="19400" spans="14:14" x14ac:dyDescent="0.35">
      <c r="N19400" s="676"/>
    </row>
    <row r="19401" spans="14:14" x14ac:dyDescent="0.35">
      <c r="N19401" s="676"/>
    </row>
    <row r="19402" spans="14:14" x14ac:dyDescent="0.35">
      <c r="N19402" s="676"/>
    </row>
    <row r="19403" spans="14:14" x14ac:dyDescent="0.35">
      <c r="N19403" s="676"/>
    </row>
    <row r="19404" spans="14:14" x14ac:dyDescent="0.35">
      <c r="N19404" s="676"/>
    </row>
    <row r="19405" spans="14:14" x14ac:dyDescent="0.35">
      <c r="N19405" s="676"/>
    </row>
    <row r="19406" spans="14:14" x14ac:dyDescent="0.35">
      <c r="N19406" s="676"/>
    </row>
    <row r="19407" spans="14:14" x14ac:dyDescent="0.35">
      <c r="N19407" s="676"/>
    </row>
    <row r="19408" spans="14:14" x14ac:dyDescent="0.35">
      <c r="N19408" s="676"/>
    </row>
    <row r="19409" spans="14:14" x14ac:dyDescent="0.35">
      <c r="N19409" s="676"/>
    </row>
    <row r="19410" spans="14:14" x14ac:dyDescent="0.35">
      <c r="N19410" s="676"/>
    </row>
    <row r="19411" spans="14:14" x14ac:dyDescent="0.35">
      <c r="N19411" s="676"/>
    </row>
    <row r="19412" spans="14:14" x14ac:dyDescent="0.35">
      <c r="N19412" s="676"/>
    </row>
    <row r="19413" spans="14:14" x14ac:dyDescent="0.35">
      <c r="N19413" s="676"/>
    </row>
    <row r="19414" spans="14:14" x14ac:dyDescent="0.35">
      <c r="N19414" s="676"/>
    </row>
    <row r="19415" spans="14:14" x14ac:dyDescent="0.35">
      <c r="N19415" s="676"/>
    </row>
    <row r="19416" spans="14:14" x14ac:dyDescent="0.35">
      <c r="N19416" s="676"/>
    </row>
    <row r="19417" spans="14:14" x14ac:dyDescent="0.35">
      <c r="N19417" s="676"/>
    </row>
    <row r="19418" spans="14:14" x14ac:dyDescent="0.35">
      <c r="N19418" s="676"/>
    </row>
    <row r="19419" spans="14:14" x14ac:dyDescent="0.35">
      <c r="N19419" s="676"/>
    </row>
    <row r="19420" spans="14:14" x14ac:dyDescent="0.35">
      <c r="N19420" s="676"/>
    </row>
    <row r="19421" spans="14:14" x14ac:dyDescent="0.35">
      <c r="N19421" s="676"/>
    </row>
    <row r="19422" spans="14:14" x14ac:dyDescent="0.35">
      <c r="N19422" s="676"/>
    </row>
    <row r="19423" spans="14:14" x14ac:dyDescent="0.35">
      <c r="N19423" s="676"/>
    </row>
    <row r="19424" spans="14:14" x14ac:dyDescent="0.35">
      <c r="N19424" s="676"/>
    </row>
    <row r="19425" spans="14:14" x14ac:dyDescent="0.35">
      <c r="N19425" s="676"/>
    </row>
    <row r="19426" spans="14:14" x14ac:dyDescent="0.35">
      <c r="N19426" s="676"/>
    </row>
    <row r="19427" spans="14:14" x14ac:dyDescent="0.35">
      <c r="N19427" s="676"/>
    </row>
    <row r="19428" spans="14:14" x14ac:dyDescent="0.35">
      <c r="N19428" s="676"/>
    </row>
    <row r="19429" spans="14:14" x14ac:dyDescent="0.35">
      <c r="N19429" s="676"/>
    </row>
    <row r="19430" spans="14:14" x14ac:dyDescent="0.35">
      <c r="N19430" s="676"/>
    </row>
    <row r="19431" spans="14:14" x14ac:dyDescent="0.35">
      <c r="N19431" s="676"/>
    </row>
    <row r="19432" spans="14:14" x14ac:dyDescent="0.35">
      <c r="N19432" s="676"/>
    </row>
    <row r="19433" spans="14:14" x14ac:dyDescent="0.35">
      <c r="N19433" s="676"/>
    </row>
    <row r="19434" spans="14:14" x14ac:dyDescent="0.35">
      <c r="N19434" s="676"/>
    </row>
    <row r="19435" spans="14:14" x14ac:dyDescent="0.35">
      <c r="N19435" s="676"/>
    </row>
    <row r="19436" spans="14:14" x14ac:dyDescent="0.35">
      <c r="N19436" s="676"/>
    </row>
    <row r="19437" spans="14:14" x14ac:dyDescent="0.35">
      <c r="N19437" s="676"/>
    </row>
    <row r="19438" spans="14:14" x14ac:dyDescent="0.35">
      <c r="N19438" s="676"/>
    </row>
    <row r="19439" spans="14:14" x14ac:dyDescent="0.35">
      <c r="N19439" s="676"/>
    </row>
    <row r="19440" spans="14:14" x14ac:dyDescent="0.35">
      <c r="N19440" s="676"/>
    </row>
    <row r="19441" spans="14:14" x14ac:dyDescent="0.35">
      <c r="N19441" s="676"/>
    </row>
    <row r="19442" spans="14:14" x14ac:dyDescent="0.35">
      <c r="N19442" s="676"/>
    </row>
    <row r="19443" spans="14:14" x14ac:dyDescent="0.35">
      <c r="N19443" s="676"/>
    </row>
    <row r="19444" spans="14:14" x14ac:dyDescent="0.35">
      <c r="N19444" s="676"/>
    </row>
    <row r="19445" spans="14:14" x14ac:dyDescent="0.35">
      <c r="N19445" s="676"/>
    </row>
    <row r="19446" spans="14:14" x14ac:dyDescent="0.35">
      <c r="N19446" s="676"/>
    </row>
    <row r="19447" spans="14:14" x14ac:dyDescent="0.35">
      <c r="N19447" s="676"/>
    </row>
    <row r="19448" spans="14:14" x14ac:dyDescent="0.35">
      <c r="N19448" s="676"/>
    </row>
    <row r="19449" spans="14:14" x14ac:dyDescent="0.35">
      <c r="N19449" s="676"/>
    </row>
    <row r="19450" spans="14:14" x14ac:dyDescent="0.35">
      <c r="N19450" s="676"/>
    </row>
    <row r="19451" spans="14:14" x14ac:dyDescent="0.35">
      <c r="N19451" s="676"/>
    </row>
    <row r="19452" spans="14:14" x14ac:dyDescent="0.35">
      <c r="N19452" s="676"/>
    </row>
    <row r="19453" spans="14:14" x14ac:dyDescent="0.35">
      <c r="N19453" s="676"/>
    </row>
    <row r="19454" spans="14:14" x14ac:dyDescent="0.35">
      <c r="N19454" s="676"/>
    </row>
    <row r="19455" spans="14:14" x14ac:dyDescent="0.35">
      <c r="N19455" s="676"/>
    </row>
    <row r="19456" spans="14:14" x14ac:dyDescent="0.35">
      <c r="N19456" s="676"/>
    </row>
    <row r="19457" spans="14:14" x14ac:dyDescent="0.35">
      <c r="N19457" s="676"/>
    </row>
    <row r="19458" spans="14:14" x14ac:dyDescent="0.35">
      <c r="N19458" s="676"/>
    </row>
    <row r="19459" spans="14:14" x14ac:dyDescent="0.35">
      <c r="N19459" s="676"/>
    </row>
    <row r="19460" spans="14:14" x14ac:dyDescent="0.35">
      <c r="N19460" s="676"/>
    </row>
    <row r="19461" spans="14:14" x14ac:dyDescent="0.35">
      <c r="N19461" s="676"/>
    </row>
    <row r="19462" spans="14:14" x14ac:dyDescent="0.35">
      <c r="N19462" s="676"/>
    </row>
    <row r="19463" spans="14:14" x14ac:dyDescent="0.35">
      <c r="N19463" s="676"/>
    </row>
    <row r="19464" spans="14:14" x14ac:dyDescent="0.35">
      <c r="N19464" s="676"/>
    </row>
    <row r="19465" spans="14:14" x14ac:dyDescent="0.35">
      <c r="N19465" s="676"/>
    </row>
    <row r="19466" spans="14:14" x14ac:dyDescent="0.35">
      <c r="N19466" s="676"/>
    </row>
    <row r="19467" spans="14:14" x14ac:dyDescent="0.35">
      <c r="N19467" s="676"/>
    </row>
    <row r="19468" spans="14:14" x14ac:dyDescent="0.35">
      <c r="N19468" s="676"/>
    </row>
    <row r="19469" spans="14:14" x14ac:dyDescent="0.35">
      <c r="N19469" s="676"/>
    </row>
    <row r="19470" spans="14:14" x14ac:dyDescent="0.35">
      <c r="N19470" s="676"/>
    </row>
    <row r="19471" spans="14:14" x14ac:dyDescent="0.35">
      <c r="N19471" s="676"/>
    </row>
    <row r="19472" spans="14:14" x14ac:dyDescent="0.35">
      <c r="N19472" s="676"/>
    </row>
    <row r="19473" spans="14:14" x14ac:dyDescent="0.35">
      <c r="N19473" s="676"/>
    </row>
    <row r="19474" spans="14:14" x14ac:dyDescent="0.35">
      <c r="N19474" s="676"/>
    </row>
    <row r="19475" spans="14:14" x14ac:dyDescent="0.35">
      <c r="N19475" s="676"/>
    </row>
    <row r="19476" spans="14:14" x14ac:dyDescent="0.35">
      <c r="N19476" s="676"/>
    </row>
    <row r="19477" spans="14:14" x14ac:dyDescent="0.35">
      <c r="N19477" s="676"/>
    </row>
    <row r="19478" spans="14:14" x14ac:dyDescent="0.35">
      <c r="N19478" s="676"/>
    </row>
    <row r="19479" spans="14:14" x14ac:dyDescent="0.35">
      <c r="N19479" s="676"/>
    </row>
    <row r="19480" spans="14:14" x14ac:dyDescent="0.35">
      <c r="N19480" s="676"/>
    </row>
    <row r="19481" spans="14:14" x14ac:dyDescent="0.35">
      <c r="N19481" s="676"/>
    </row>
    <row r="19482" spans="14:14" x14ac:dyDescent="0.35">
      <c r="N19482" s="676"/>
    </row>
    <row r="19483" spans="14:14" x14ac:dyDescent="0.35">
      <c r="N19483" s="676"/>
    </row>
    <row r="19484" spans="14:14" x14ac:dyDescent="0.35">
      <c r="N19484" s="676"/>
    </row>
    <row r="19485" spans="14:14" x14ac:dyDescent="0.35">
      <c r="N19485" s="676"/>
    </row>
    <row r="19486" spans="14:14" x14ac:dyDescent="0.35">
      <c r="N19486" s="676"/>
    </row>
    <row r="19487" spans="14:14" x14ac:dyDescent="0.35">
      <c r="N19487" s="676"/>
    </row>
    <row r="19488" spans="14:14" x14ac:dyDescent="0.35">
      <c r="N19488" s="676"/>
    </row>
    <row r="19489" spans="14:14" x14ac:dyDescent="0.35">
      <c r="N19489" s="676"/>
    </row>
    <row r="19490" spans="14:14" x14ac:dyDescent="0.35">
      <c r="N19490" s="676"/>
    </row>
    <row r="19491" spans="14:14" x14ac:dyDescent="0.35">
      <c r="N19491" s="676"/>
    </row>
    <row r="19492" spans="14:14" x14ac:dyDescent="0.35">
      <c r="N19492" s="676"/>
    </row>
    <row r="19493" spans="14:14" x14ac:dyDescent="0.35">
      <c r="N19493" s="676"/>
    </row>
    <row r="19494" spans="14:14" x14ac:dyDescent="0.35">
      <c r="N19494" s="676"/>
    </row>
    <row r="19495" spans="14:14" x14ac:dyDescent="0.35">
      <c r="N19495" s="676"/>
    </row>
    <row r="19496" spans="14:14" x14ac:dyDescent="0.35">
      <c r="N19496" s="676"/>
    </row>
    <row r="19497" spans="14:14" x14ac:dyDescent="0.35">
      <c r="N19497" s="676"/>
    </row>
    <row r="19498" spans="14:14" x14ac:dyDescent="0.35">
      <c r="N19498" s="676"/>
    </row>
    <row r="19499" spans="14:14" x14ac:dyDescent="0.35">
      <c r="N19499" s="676"/>
    </row>
    <row r="19500" spans="14:14" x14ac:dyDescent="0.35">
      <c r="N19500" s="676"/>
    </row>
    <row r="19501" spans="14:14" x14ac:dyDescent="0.35">
      <c r="N19501" s="676"/>
    </row>
    <row r="19502" spans="14:14" x14ac:dyDescent="0.35">
      <c r="N19502" s="676"/>
    </row>
    <row r="19503" spans="14:14" x14ac:dyDescent="0.35">
      <c r="N19503" s="676"/>
    </row>
    <row r="19504" spans="14:14" x14ac:dyDescent="0.35">
      <c r="N19504" s="676"/>
    </row>
    <row r="19505" spans="14:14" x14ac:dyDescent="0.35">
      <c r="N19505" s="676"/>
    </row>
    <row r="19506" spans="14:14" x14ac:dyDescent="0.35">
      <c r="N19506" s="676"/>
    </row>
    <row r="19507" spans="14:14" x14ac:dyDescent="0.35">
      <c r="N19507" s="676"/>
    </row>
    <row r="19508" spans="14:14" x14ac:dyDescent="0.35">
      <c r="N19508" s="676"/>
    </row>
    <row r="19509" spans="14:14" x14ac:dyDescent="0.35">
      <c r="N19509" s="676"/>
    </row>
    <row r="19510" spans="14:14" x14ac:dyDescent="0.35">
      <c r="N19510" s="676"/>
    </row>
    <row r="19511" spans="14:14" x14ac:dyDescent="0.35">
      <c r="N19511" s="676"/>
    </row>
    <row r="19512" spans="14:14" x14ac:dyDescent="0.35">
      <c r="N19512" s="676"/>
    </row>
    <row r="19513" spans="14:14" x14ac:dyDescent="0.35">
      <c r="N19513" s="676"/>
    </row>
    <row r="19514" spans="14:14" x14ac:dyDescent="0.35">
      <c r="N19514" s="676"/>
    </row>
    <row r="19515" spans="14:14" x14ac:dyDescent="0.35">
      <c r="N19515" s="676"/>
    </row>
    <row r="19516" spans="14:14" x14ac:dyDescent="0.35">
      <c r="N19516" s="676"/>
    </row>
    <row r="19517" spans="14:14" x14ac:dyDescent="0.35">
      <c r="N19517" s="676"/>
    </row>
    <row r="19518" spans="14:14" x14ac:dyDescent="0.35">
      <c r="N19518" s="676"/>
    </row>
    <row r="19519" spans="14:14" x14ac:dyDescent="0.35">
      <c r="N19519" s="676"/>
    </row>
    <row r="19520" spans="14:14" x14ac:dyDescent="0.35">
      <c r="N19520" s="676"/>
    </row>
    <row r="19521" spans="14:14" x14ac:dyDescent="0.35">
      <c r="N19521" s="676"/>
    </row>
    <row r="19522" spans="14:14" x14ac:dyDescent="0.35">
      <c r="N19522" s="676"/>
    </row>
    <row r="19523" spans="14:14" x14ac:dyDescent="0.35">
      <c r="N19523" s="676"/>
    </row>
    <row r="19524" spans="14:14" x14ac:dyDescent="0.35">
      <c r="N19524" s="676"/>
    </row>
    <row r="19525" spans="14:14" x14ac:dyDescent="0.35">
      <c r="N19525" s="676"/>
    </row>
    <row r="19526" spans="14:14" x14ac:dyDescent="0.35">
      <c r="N19526" s="676"/>
    </row>
    <row r="19527" spans="14:14" x14ac:dyDescent="0.35">
      <c r="N19527" s="676"/>
    </row>
    <row r="19528" spans="14:14" x14ac:dyDescent="0.35">
      <c r="N19528" s="676"/>
    </row>
    <row r="19529" spans="14:14" x14ac:dyDescent="0.35">
      <c r="N19529" s="676"/>
    </row>
    <row r="19530" spans="14:14" x14ac:dyDescent="0.35">
      <c r="N19530" s="676"/>
    </row>
    <row r="19531" spans="14:14" x14ac:dyDescent="0.35">
      <c r="N19531" s="676"/>
    </row>
    <row r="19532" spans="14:14" x14ac:dyDescent="0.35">
      <c r="N19532" s="676"/>
    </row>
    <row r="19533" spans="14:14" x14ac:dyDescent="0.35">
      <c r="N19533" s="676"/>
    </row>
    <row r="19534" spans="14:14" x14ac:dyDescent="0.35">
      <c r="N19534" s="676"/>
    </row>
    <row r="19535" spans="14:14" x14ac:dyDescent="0.35">
      <c r="N19535" s="676"/>
    </row>
    <row r="19536" spans="14:14" x14ac:dyDescent="0.35">
      <c r="N19536" s="676"/>
    </row>
    <row r="19537" spans="14:14" x14ac:dyDescent="0.35">
      <c r="N19537" s="676"/>
    </row>
    <row r="19538" spans="14:14" x14ac:dyDescent="0.35">
      <c r="N19538" s="676"/>
    </row>
    <row r="19539" spans="14:14" x14ac:dyDescent="0.35">
      <c r="N19539" s="676"/>
    </row>
    <row r="19540" spans="14:14" x14ac:dyDescent="0.35">
      <c r="N19540" s="676"/>
    </row>
    <row r="19541" spans="14:14" x14ac:dyDescent="0.35">
      <c r="N19541" s="676"/>
    </row>
    <row r="19542" spans="14:14" x14ac:dyDescent="0.35">
      <c r="N19542" s="676"/>
    </row>
    <row r="19543" spans="14:14" x14ac:dyDescent="0.35">
      <c r="N19543" s="676"/>
    </row>
    <row r="19544" spans="14:14" x14ac:dyDescent="0.35">
      <c r="N19544" s="676"/>
    </row>
    <row r="19545" spans="14:14" x14ac:dyDescent="0.35">
      <c r="N19545" s="676"/>
    </row>
    <row r="19546" spans="14:14" x14ac:dyDescent="0.35">
      <c r="N19546" s="676"/>
    </row>
    <row r="19547" spans="14:14" x14ac:dyDescent="0.35">
      <c r="N19547" s="676"/>
    </row>
    <row r="19548" spans="14:14" x14ac:dyDescent="0.35">
      <c r="N19548" s="676"/>
    </row>
    <row r="19549" spans="14:14" x14ac:dyDescent="0.35">
      <c r="N19549" s="676"/>
    </row>
    <row r="19550" spans="14:14" x14ac:dyDescent="0.35">
      <c r="N19550" s="676"/>
    </row>
    <row r="19551" spans="14:14" x14ac:dyDescent="0.35">
      <c r="N19551" s="676"/>
    </row>
    <row r="19552" spans="14:14" x14ac:dyDescent="0.35">
      <c r="N19552" s="676"/>
    </row>
    <row r="19553" spans="14:14" x14ac:dyDescent="0.35">
      <c r="N19553" s="676"/>
    </row>
    <row r="19554" spans="14:14" x14ac:dyDescent="0.35">
      <c r="N19554" s="676"/>
    </row>
    <row r="19555" spans="14:14" x14ac:dyDescent="0.35">
      <c r="N19555" s="676"/>
    </row>
    <row r="19556" spans="14:14" x14ac:dyDescent="0.35">
      <c r="N19556" s="676"/>
    </row>
    <row r="19557" spans="14:14" x14ac:dyDescent="0.35">
      <c r="N19557" s="676"/>
    </row>
    <row r="19558" spans="14:14" x14ac:dyDescent="0.35">
      <c r="N19558" s="676"/>
    </row>
    <row r="19559" spans="14:14" x14ac:dyDescent="0.35">
      <c r="N19559" s="676"/>
    </row>
    <row r="19560" spans="14:14" x14ac:dyDescent="0.35">
      <c r="N19560" s="676"/>
    </row>
    <row r="19561" spans="14:14" x14ac:dyDescent="0.35">
      <c r="N19561" s="676"/>
    </row>
    <row r="19562" spans="14:14" x14ac:dyDescent="0.35">
      <c r="N19562" s="676"/>
    </row>
    <row r="19563" spans="14:14" x14ac:dyDescent="0.35">
      <c r="N19563" s="676"/>
    </row>
    <row r="19564" spans="14:14" x14ac:dyDescent="0.35">
      <c r="N19564" s="676"/>
    </row>
    <row r="19565" spans="14:14" x14ac:dyDescent="0.35">
      <c r="N19565" s="676"/>
    </row>
    <row r="19566" spans="14:14" x14ac:dyDescent="0.35">
      <c r="N19566" s="676"/>
    </row>
    <row r="19567" spans="14:14" x14ac:dyDescent="0.35">
      <c r="N19567" s="676"/>
    </row>
    <row r="19568" spans="14:14" x14ac:dyDescent="0.35">
      <c r="N19568" s="676"/>
    </row>
    <row r="19569" spans="14:14" x14ac:dyDescent="0.35">
      <c r="N19569" s="676"/>
    </row>
    <row r="19570" spans="14:14" x14ac:dyDescent="0.35">
      <c r="N19570" s="676"/>
    </row>
    <row r="19571" spans="14:14" x14ac:dyDescent="0.35">
      <c r="N19571" s="676"/>
    </row>
    <row r="19572" spans="14:14" x14ac:dyDescent="0.35">
      <c r="N19572" s="676"/>
    </row>
    <row r="19573" spans="14:14" x14ac:dyDescent="0.35">
      <c r="N19573" s="676"/>
    </row>
    <row r="19574" spans="14:14" x14ac:dyDescent="0.35">
      <c r="N19574" s="676"/>
    </row>
    <row r="19575" spans="14:14" x14ac:dyDescent="0.35">
      <c r="N19575" s="676"/>
    </row>
    <row r="19576" spans="14:14" x14ac:dyDescent="0.35">
      <c r="N19576" s="676"/>
    </row>
    <row r="19577" spans="14:14" x14ac:dyDescent="0.35">
      <c r="N19577" s="676"/>
    </row>
    <row r="19578" spans="14:14" x14ac:dyDescent="0.35">
      <c r="N19578" s="676"/>
    </row>
    <row r="19579" spans="14:14" x14ac:dyDescent="0.35">
      <c r="N19579" s="676"/>
    </row>
    <row r="19580" spans="14:14" x14ac:dyDescent="0.35">
      <c r="N19580" s="676"/>
    </row>
    <row r="19581" spans="14:14" x14ac:dyDescent="0.35">
      <c r="N19581" s="676"/>
    </row>
    <row r="19582" spans="14:14" x14ac:dyDescent="0.35">
      <c r="N19582" s="676"/>
    </row>
    <row r="19583" spans="14:14" x14ac:dyDescent="0.35">
      <c r="N19583" s="676"/>
    </row>
    <row r="19584" spans="14:14" x14ac:dyDescent="0.35">
      <c r="N19584" s="676"/>
    </row>
    <row r="19585" spans="14:14" x14ac:dyDescent="0.35">
      <c r="N19585" s="676"/>
    </row>
    <row r="19586" spans="14:14" x14ac:dyDescent="0.35">
      <c r="N19586" s="676"/>
    </row>
    <row r="19587" spans="14:14" x14ac:dyDescent="0.35">
      <c r="N19587" s="676"/>
    </row>
    <row r="19588" spans="14:14" x14ac:dyDescent="0.35">
      <c r="N19588" s="676"/>
    </row>
    <row r="19589" spans="14:14" x14ac:dyDescent="0.35">
      <c r="N19589" s="676"/>
    </row>
    <row r="19590" spans="14:14" x14ac:dyDescent="0.35">
      <c r="N19590" s="676"/>
    </row>
    <row r="19591" spans="14:14" x14ac:dyDescent="0.35">
      <c r="N19591" s="676"/>
    </row>
    <row r="19592" spans="14:14" x14ac:dyDescent="0.35">
      <c r="N19592" s="676"/>
    </row>
    <row r="19593" spans="14:14" x14ac:dyDescent="0.35">
      <c r="N19593" s="676"/>
    </row>
    <row r="19594" spans="14:14" x14ac:dyDescent="0.35">
      <c r="N19594" s="676"/>
    </row>
    <row r="19595" spans="14:14" x14ac:dyDescent="0.35">
      <c r="N19595" s="676"/>
    </row>
    <row r="19596" spans="14:14" x14ac:dyDescent="0.35">
      <c r="N19596" s="676"/>
    </row>
    <row r="19597" spans="14:14" x14ac:dyDescent="0.35">
      <c r="N19597" s="676"/>
    </row>
    <row r="19598" spans="14:14" x14ac:dyDescent="0.35">
      <c r="N19598" s="676"/>
    </row>
    <row r="19599" spans="14:14" x14ac:dyDescent="0.35">
      <c r="N19599" s="676"/>
    </row>
    <row r="19600" spans="14:14" x14ac:dyDescent="0.35">
      <c r="N19600" s="676"/>
    </row>
    <row r="19601" spans="14:14" x14ac:dyDescent="0.35">
      <c r="N19601" s="676"/>
    </row>
    <row r="19602" spans="14:14" x14ac:dyDescent="0.35">
      <c r="N19602" s="676"/>
    </row>
    <row r="19603" spans="14:14" x14ac:dyDescent="0.35">
      <c r="N19603" s="676"/>
    </row>
    <row r="19604" spans="14:14" x14ac:dyDescent="0.35">
      <c r="N19604" s="676"/>
    </row>
    <row r="19605" spans="14:14" x14ac:dyDescent="0.35">
      <c r="N19605" s="676"/>
    </row>
    <row r="19606" spans="14:14" x14ac:dyDescent="0.35">
      <c r="N19606" s="676"/>
    </row>
    <row r="19607" spans="14:14" x14ac:dyDescent="0.35">
      <c r="N19607" s="676"/>
    </row>
    <row r="19608" spans="14:14" x14ac:dyDescent="0.35">
      <c r="N19608" s="676"/>
    </row>
    <row r="19609" spans="14:14" x14ac:dyDescent="0.35">
      <c r="N19609" s="676"/>
    </row>
    <row r="19610" spans="14:14" x14ac:dyDescent="0.35">
      <c r="N19610" s="676"/>
    </row>
    <row r="19611" spans="14:14" x14ac:dyDescent="0.35">
      <c r="N19611" s="676"/>
    </row>
    <row r="19612" spans="14:14" x14ac:dyDescent="0.35">
      <c r="N19612" s="676"/>
    </row>
    <row r="19613" spans="14:14" x14ac:dyDescent="0.35">
      <c r="N19613" s="676"/>
    </row>
    <row r="19614" spans="14:14" x14ac:dyDescent="0.35">
      <c r="N19614" s="676"/>
    </row>
    <row r="19615" spans="14:14" x14ac:dyDescent="0.35">
      <c r="N19615" s="676"/>
    </row>
    <row r="19616" spans="14:14" x14ac:dyDescent="0.35">
      <c r="N19616" s="676"/>
    </row>
    <row r="19617" spans="14:14" x14ac:dyDescent="0.35">
      <c r="N19617" s="676"/>
    </row>
    <row r="19618" spans="14:14" x14ac:dyDescent="0.35">
      <c r="N19618" s="676"/>
    </row>
    <row r="19619" spans="14:14" x14ac:dyDescent="0.35">
      <c r="N19619" s="676"/>
    </row>
    <row r="19620" spans="14:14" x14ac:dyDescent="0.35">
      <c r="N19620" s="676"/>
    </row>
    <row r="19621" spans="14:14" x14ac:dyDescent="0.35">
      <c r="N19621" s="676"/>
    </row>
    <row r="19622" spans="14:14" x14ac:dyDescent="0.35">
      <c r="N19622" s="676"/>
    </row>
    <row r="19623" spans="14:14" x14ac:dyDescent="0.35">
      <c r="N19623" s="676"/>
    </row>
    <row r="19624" spans="14:14" x14ac:dyDescent="0.35">
      <c r="N19624" s="676"/>
    </row>
    <row r="19625" spans="14:14" x14ac:dyDescent="0.35">
      <c r="N19625" s="676"/>
    </row>
    <row r="19626" spans="14:14" x14ac:dyDescent="0.35">
      <c r="N19626" s="676"/>
    </row>
    <row r="19627" spans="14:14" x14ac:dyDescent="0.35">
      <c r="N19627" s="676"/>
    </row>
    <row r="19628" spans="14:14" x14ac:dyDescent="0.35">
      <c r="N19628" s="676"/>
    </row>
    <row r="19629" spans="14:14" x14ac:dyDescent="0.35">
      <c r="N19629" s="676"/>
    </row>
    <row r="19630" spans="14:14" x14ac:dyDescent="0.35">
      <c r="N19630" s="676"/>
    </row>
    <row r="19631" spans="14:14" x14ac:dyDescent="0.35">
      <c r="N19631" s="676"/>
    </row>
    <row r="19632" spans="14:14" x14ac:dyDescent="0.35">
      <c r="N19632" s="676"/>
    </row>
    <row r="19633" spans="14:14" x14ac:dyDescent="0.35">
      <c r="N19633" s="676"/>
    </row>
    <row r="19634" spans="14:14" x14ac:dyDescent="0.35">
      <c r="N19634" s="676"/>
    </row>
    <row r="19635" spans="14:14" x14ac:dyDescent="0.35">
      <c r="N19635" s="676"/>
    </row>
    <row r="19636" spans="14:14" x14ac:dyDescent="0.35">
      <c r="N19636" s="676"/>
    </row>
    <row r="19637" spans="14:14" x14ac:dyDescent="0.35">
      <c r="N19637" s="676"/>
    </row>
    <row r="19638" spans="14:14" x14ac:dyDescent="0.35">
      <c r="N19638" s="676"/>
    </row>
    <row r="19639" spans="14:14" x14ac:dyDescent="0.35">
      <c r="N19639" s="676"/>
    </row>
    <row r="19640" spans="14:14" x14ac:dyDescent="0.35">
      <c r="N19640" s="676"/>
    </row>
    <row r="19641" spans="14:14" x14ac:dyDescent="0.35">
      <c r="N19641" s="676"/>
    </row>
    <row r="19642" spans="14:14" x14ac:dyDescent="0.35">
      <c r="N19642" s="676"/>
    </row>
    <row r="19643" spans="14:14" x14ac:dyDescent="0.35">
      <c r="N19643" s="676"/>
    </row>
    <row r="19644" spans="14:14" x14ac:dyDescent="0.35">
      <c r="N19644" s="676"/>
    </row>
    <row r="19645" spans="14:14" x14ac:dyDescent="0.35">
      <c r="N19645" s="676"/>
    </row>
    <row r="19646" spans="14:14" x14ac:dyDescent="0.35">
      <c r="N19646" s="676"/>
    </row>
    <row r="19647" spans="14:14" x14ac:dyDescent="0.35">
      <c r="N19647" s="676"/>
    </row>
    <row r="19648" spans="14:14" x14ac:dyDescent="0.35">
      <c r="N19648" s="676"/>
    </row>
    <row r="19649" spans="14:14" x14ac:dyDescent="0.35">
      <c r="N19649" s="676"/>
    </row>
    <row r="19650" spans="14:14" x14ac:dyDescent="0.35">
      <c r="N19650" s="676"/>
    </row>
    <row r="19651" spans="14:14" x14ac:dyDescent="0.35">
      <c r="N19651" s="676"/>
    </row>
    <row r="19652" spans="14:14" x14ac:dyDescent="0.35">
      <c r="N19652" s="676"/>
    </row>
    <row r="19653" spans="14:14" x14ac:dyDescent="0.35">
      <c r="N19653" s="676"/>
    </row>
    <row r="19654" spans="14:14" x14ac:dyDescent="0.35">
      <c r="N19654" s="676"/>
    </row>
    <row r="19655" spans="14:14" x14ac:dyDescent="0.35">
      <c r="N19655" s="676"/>
    </row>
    <row r="19656" spans="14:14" x14ac:dyDescent="0.35">
      <c r="N19656" s="676"/>
    </row>
    <row r="19657" spans="14:14" x14ac:dyDescent="0.35">
      <c r="N19657" s="676"/>
    </row>
    <row r="19658" spans="14:14" x14ac:dyDescent="0.35">
      <c r="N19658" s="676"/>
    </row>
    <row r="19659" spans="14:14" x14ac:dyDescent="0.35">
      <c r="N19659" s="676"/>
    </row>
    <row r="19660" spans="14:14" x14ac:dyDescent="0.35">
      <c r="N19660" s="676"/>
    </row>
    <row r="19661" spans="14:14" x14ac:dyDescent="0.35">
      <c r="N19661" s="676"/>
    </row>
    <row r="19662" spans="14:14" x14ac:dyDescent="0.35">
      <c r="N19662" s="676"/>
    </row>
    <row r="19663" spans="14:14" x14ac:dyDescent="0.35">
      <c r="N19663" s="676"/>
    </row>
    <row r="19664" spans="14:14" x14ac:dyDescent="0.35">
      <c r="N19664" s="676"/>
    </row>
    <row r="19665" spans="14:14" x14ac:dyDescent="0.35">
      <c r="N19665" s="676"/>
    </row>
    <row r="19666" spans="14:14" x14ac:dyDescent="0.35">
      <c r="N19666" s="676"/>
    </row>
    <row r="19667" spans="14:14" x14ac:dyDescent="0.35">
      <c r="N19667" s="676"/>
    </row>
    <row r="19668" spans="14:14" x14ac:dyDescent="0.35">
      <c r="N19668" s="676"/>
    </row>
    <row r="19669" spans="14:14" x14ac:dyDescent="0.35">
      <c r="N19669" s="676"/>
    </row>
    <row r="19670" spans="14:14" x14ac:dyDescent="0.35">
      <c r="N19670" s="676"/>
    </row>
    <row r="19671" spans="14:14" x14ac:dyDescent="0.35">
      <c r="N19671" s="676"/>
    </row>
    <row r="19672" spans="14:14" x14ac:dyDescent="0.35">
      <c r="N19672" s="676"/>
    </row>
    <row r="19673" spans="14:14" x14ac:dyDescent="0.35">
      <c r="N19673" s="676"/>
    </row>
    <row r="19674" spans="14:14" x14ac:dyDescent="0.35">
      <c r="N19674" s="676"/>
    </row>
    <row r="19675" spans="14:14" x14ac:dyDescent="0.35">
      <c r="N19675" s="676"/>
    </row>
    <row r="19676" spans="14:14" x14ac:dyDescent="0.35">
      <c r="N19676" s="676"/>
    </row>
    <row r="19677" spans="14:14" x14ac:dyDescent="0.35">
      <c r="N19677" s="676"/>
    </row>
    <row r="19678" spans="14:14" x14ac:dyDescent="0.35">
      <c r="N19678" s="676"/>
    </row>
    <row r="19679" spans="14:14" x14ac:dyDescent="0.35">
      <c r="N19679" s="676"/>
    </row>
    <row r="19680" spans="14:14" x14ac:dyDescent="0.35">
      <c r="N19680" s="676"/>
    </row>
    <row r="19681" spans="14:14" x14ac:dyDescent="0.35">
      <c r="N19681" s="676"/>
    </row>
    <row r="19682" spans="14:14" x14ac:dyDescent="0.35">
      <c r="N19682" s="676"/>
    </row>
    <row r="19683" spans="14:14" x14ac:dyDescent="0.35">
      <c r="N19683" s="676"/>
    </row>
    <row r="19684" spans="14:14" x14ac:dyDescent="0.35">
      <c r="N19684" s="676"/>
    </row>
    <row r="19685" spans="14:14" x14ac:dyDescent="0.35">
      <c r="N19685" s="676"/>
    </row>
    <row r="19686" spans="14:14" x14ac:dyDescent="0.35">
      <c r="N19686" s="676"/>
    </row>
    <row r="19687" spans="14:14" x14ac:dyDescent="0.35">
      <c r="N19687" s="676"/>
    </row>
    <row r="19688" spans="14:14" x14ac:dyDescent="0.35">
      <c r="N19688" s="676"/>
    </row>
    <row r="19689" spans="14:14" x14ac:dyDescent="0.35">
      <c r="N19689" s="676"/>
    </row>
    <row r="19690" spans="14:14" x14ac:dyDescent="0.35">
      <c r="N19690" s="676"/>
    </row>
    <row r="19691" spans="14:14" x14ac:dyDescent="0.35">
      <c r="N19691" s="676"/>
    </row>
    <row r="19692" spans="14:14" x14ac:dyDescent="0.35">
      <c r="N19692" s="676"/>
    </row>
    <row r="19693" spans="14:14" x14ac:dyDescent="0.35">
      <c r="N19693" s="676"/>
    </row>
    <row r="19694" spans="14:14" x14ac:dyDescent="0.35">
      <c r="N19694" s="676"/>
    </row>
    <row r="19695" spans="14:14" x14ac:dyDescent="0.35">
      <c r="N19695" s="676"/>
    </row>
    <row r="19696" spans="14:14" x14ac:dyDescent="0.35">
      <c r="N19696" s="676"/>
    </row>
    <row r="19697" spans="14:14" x14ac:dyDescent="0.35">
      <c r="N19697" s="676"/>
    </row>
    <row r="19698" spans="14:14" x14ac:dyDescent="0.35">
      <c r="N19698" s="676"/>
    </row>
    <row r="19699" spans="14:14" x14ac:dyDescent="0.35">
      <c r="N19699" s="676"/>
    </row>
    <row r="19700" spans="14:14" x14ac:dyDescent="0.35">
      <c r="N19700" s="676"/>
    </row>
    <row r="19701" spans="14:14" x14ac:dyDescent="0.35">
      <c r="N19701" s="676"/>
    </row>
    <row r="19702" spans="14:14" x14ac:dyDescent="0.35">
      <c r="N19702" s="676"/>
    </row>
    <row r="19703" spans="14:14" x14ac:dyDescent="0.35">
      <c r="N19703" s="676"/>
    </row>
    <row r="19704" spans="14:14" x14ac:dyDescent="0.35">
      <c r="N19704" s="676"/>
    </row>
    <row r="19705" spans="14:14" x14ac:dyDescent="0.35">
      <c r="N19705" s="676"/>
    </row>
    <row r="19706" spans="14:14" x14ac:dyDescent="0.35">
      <c r="N19706" s="676"/>
    </row>
    <row r="19707" spans="14:14" x14ac:dyDescent="0.35">
      <c r="N19707" s="676"/>
    </row>
    <row r="19708" spans="14:14" x14ac:dyDescent="0.35">
      <c r="N19708" s="676"/>
    </row>
    <row r="19709" spans="14:14" x14ac:dyDescent="0.35">
      <c r="N19709" s="676"/>
    </row>
    <row r="19710" spans="14:14" x14ac:dyDescent="0.35">
      <c r="N19710" s="676"/>
    </row>
    <row r="19711" spans="14:14" x14ac:dyDescent="0.35">
      <c r="N19711" s="676"/>
    </row>
    <row r="19712" spans="14:14" x14ac:dyDescent="0.35">
      <c r="N19712" s="676"/>
    </row>
    <row r="19713" spans="14:14" x14ac:dyDescent="0.35">
      <c r="N19713" s="676"/>
    </row>
    <row r="19714" spans="14:14" x14ac:dyDescent="0.35">
      <c r="N19714" s="676"/>
    </row>
    <row r="19715" spans="14:14" x14ac:dyDescent="0.35">
      <c r="N19715" s="676"/>
    </row>
    <row r="19716" spans="14:14" x14ac:dyDescent="0.35">
      <c r="N19716" s="676"/>
    </row>
    <row r="19717" spans="14:14" x14ac:dyDescent="0.35">
      <c r="N19717" s="676"/>
    </row>
    <row r="19718" spans="14:14" x14ac:dyDescent="0.35">
      <c r="N19718" s="676"/>
    </row>
    <row r="19719" spans="14:14" x14ac:dyDescent="0.35">
      <c r="N19719" s="676"/>
    </row>
    <row r="19720" spans="14:14" x14ac:dyDescent="0.35">
      <c r="N19720" s="676"/>
    </row>
    <row r="19721" spans="14:14" x14ac:dyDescent="0.35">
      <c r="N19721" s="676"/>
    </row>
    <row r="19722" spans="14:14" x14ac:dyDescent="0.35">
      <c r="N19722" s="676"/>
    </row>
    <row r="19723" spans="14:14" x14ac:dyDescent="0.35">
      <c r="N19723" s="676"/>
    </row>
    <row r="19724" spans="14:14" x14ac:dyDescent="0.35">
      <c r="N19724" s="676"/>
    </row>
    <row r="19725" spans="14:14" x14ac:dyDescent="0.35">
      <c r="N19725" s="676"/>
    </row>
    <row r="19726" spans="14:14" x14ac:dyDescent="0.35">
      <c r="N19726" s="676"/>
    </row>
    <row r="19727" spans="14:14" x14ac:dyDescent="0.35">
      <c r="N19727" s="676"/>
    </row>
    <row r="19728" spans="14:14" x14ac:dyDescent="0.35">
      <c r="N19728" s="676"/>
    </row>
    <row r="19729" spans="14:14" x14ac:dyDescent="0.35">
      <c r="N19729" s="676"/>
    </row>
    <row r="19730" spans="14:14" x14ac:dyDescent="0.35">
      <c r="N19730" s="676"/>
    </row>
    <row r="19731" spans="14:14" x14ac:dyDescent="0.35">
      <c r="N19731" s="676"/>
    </row>
    <row r="19732" spans="14:14" x14ac:dyDescent="0.35">
      <c r="N19732" s="676"/>
    </row>
    <row r="19733" spans="14:14" x14ac:dyDescent="0.35">
      <c r="N19733" s="676"/>
    </row>
    <row r="19734" spans="14:14" x14ac:dyDescent="0.35">
      <c r="N19734" s="676"/>
    </row>
    <row r="19735" spans="14:14" x14ac:dyDescent="0.35">
      <c r="N19735" s="676"/>
    </row>
    <row r="19736" spans="14:14" x14ac:dyDescent="0.35">
      <c r="N19736" s="676"/>
    </row>
    <row r="19737" spans="14:14" x14ac:dyDescent="0.35">
      <c r="N19737" s="676"/>
    </row>
    <row r="19738" spans="14:14" x14ac:dyDescent="0.35">
      <c r="N19738" s="676"/>
    </row>
    <row r="19739" spans="14:14" x14ac:dyDescent="0.35">
      <c r="N19739" s="676"/>
    </row>
    <row r="19740" spans="14:14" x14ac:dyDescent="0.35">
      <c r="N19740" s="676"/>
    </row>
    <row r="19741" spans="14:14" x14ac:dyDescent="0.35">
      <c r="N19741" s="676"/>
    </row>
    <row r="19742" spans="14:14" x14ac:dyDescent="0.35">
      <c r="N19742" s="676"/>
    </row>
    <row r="19743" spans="14:14" x14ac:dyDescent="0.35">
      <c r="N19743" s="676"/>
    </row>
    <row r="19744" spans="14:14" x14ac:dyDescent="0.35">
      <c r="N19744" s="676"/>
    </row>
    <row r="19745" spans="14:14" x14ac:dyDescent="0.35">
      <c r="N19745" s="676"/>
    </row>
    <row r="19746" spans="14:14" x14ac:dyDescent="0.35">
      <c r="N19746" s="676"/>
    </row>
    <row r="19747" spans="14:14" x14ac:dyDescent="0.35">
      <c r="N19747" s="676"/>
    </row>
    <row r="19748" spans="14:14" x14ac:dyDescent="0.35">
      <c r="N19748" s="676"/>
    </row>
    <row r="19749" spans="14:14" x14ac:dyDescent="0.35">
      <c r="N19749" s="676"/>
    </row>
    <row r="19750" spans="14:14" x14ac:dyDescent="0.35">
      <c r="N19750" s="676"/>
    </row>
    <row r="19751" spans="14:14" x14ac:dyDescent="0.35">
      <c r="N19751" s="676"/>
    </row>
    <row r="19752" spans="14:14" x14ac:dyDescent="0.35">
      <c r="N19752" s="676"/>
    </row>
    <row r="19753" spans="14:14" x14ac:dyDescent="0.35">
      <c r="N19753" s="676"/>
    </row>
    <row r="19754" spans="14:14" x14ac:dyDescent="0.35">
      <c r="N19754" s="676"/>
    </row>
    <row r="19755" spans="14:14" x14ac:dyDescent="0.35">
      <c r="N19755" s="676"/>
    </row>
    <row r="19756" spans="14:14" x14ac:dyDescent="0.35">
      <c r="N19756" s="676"/>
    </row>
    <row r="19757" spans="14:14" x14ac:dyDescent="0.35">
      <c r="N19757" s="676"/>
    </row>
    <row r="19758" spans="14:14" x14ac:dyDescent="0.35">
      <c r="N19758" s="676"/>
    </row>
    <row r="19759" spans="14:14" x14ac:dyDescent="0.35">
      <c r="N19759" s="676"/>
    </row>
    <row r="19760" spans="14:14" x14ac:dyDescent="0.35">
      <c r="N19760" s="676"/>
    </row>
    <row r="19761" spans="14:14" x14ac:dyDescent="0.35">
      <c r="N19761" s="676"/>
    </row>
    <row r="19762" spans="14:14" x14ac:dyDescent="0.35">
      <c r="N19762" s="676"/>
    </row>
    <row r="19763" spans="14:14" x14ac:dyDescent="0.35">
      <c r="N19763" s="676"/>
    </row>
    <row r="19764" spans="14:14" x14ac:dyDescent="0.35">
      <c r="N19764" s="676"/>
    </row>
    <row r="19765" spans="14:14" x14ac:dyDescent="0.35">
      <c r="N19765" s="676"/>
    </row>
    <row r="19766" spans="14:14" x14ac:dyDescent="0.35">
      <c r="N19766" s="676"/>
    </row>
    <row r="19767" spans="14:14" x14ac:dyDescent="0.35">
      <c r="N19767" s="676"/>
    </row>
    <row r="19768" spans="14:14" x14ac:dyDescent="0.35">
      <c r="N19768" s="676"/>
    </row>
    <row r="19769" spans="14:14" x14ac:dyDescent="0.35">
      <c r="N19769" s="676"/>
    </row>
    <row r="19770" spans="14:14" x14ac:dyDescent="0.35">
      <c r="N19770" s="676"/>
    </row>
    <row r="19771" spans="14:14" x14ac:dyDescent="0.35">
      <c r="N19771" s="676"/>
    </row>
    <row r="19772" spans="14:14" x14ac:dyDescent="0.35">
      <c r="N19772" s="676"/>
    </row>
    <row r="19773" spans="14:14" x14ac:dyDescent="0.35">
      <c r="N19773" s="676"/>
    </row>
    <row r="19774" spans="14:14" x14ac:dyDescent="0.35">
      <c r="N19774" s="676"/>
    </row>
    <row r="19775" spans="14:14" x14ac:dyDescent="0.35">
      <c r="N19775" s="676"/>
    </row>
    <row r="19776" spans="14:14" x14ac:dyDescent="0.35">
      <c r="N19776" s="676"/>
    </row>
    <row r="19777" spans="14:14" x14ac:dyDescent="0.35">
      <c r="N19777" s="676"/>
    </row>
    <row r="19778" spans="14:14" x14ac:dyDescent="0.35">
      <c r="N19778" s="676"/>
    </row>
    <row r="19779" spans="14:14" x14ac:dyDescent="0.35">
      <c r="N19779" s="676"/>
    </row>
    <row r="19780" spans="14:14" x14ac:dyDescent="0.35">
      <c r="N19780" s="676"/>
    </row>
    <row r="19781" spans="14:14" x14ac:dyDescent="0.35">
      <c r="N19781" s="676"/>
    </row>
    <row r="19782" spans="14:14" x14ac:dyDescent="0.35">
      <c r="N19782" s="676"/>
    </row>
    <row r="19783" spans="14:14" x14ac:dyDescent="0.35">
      <c r="N19783" s="676"/>
    </row>
    <row r="19784" spans="14:14" x14ac:dyDescent="0.35">
      <c r="N19784" s="676"/>
    </row>
    <row r="19785" spans="14:14" x14ac:dyDescent="0.35">
      <c r="N19785" s="676"/>
    </row>
    <row r="19786" spans="14:14" x14ac:dyDescent="0.35">
      <c r="N19786" s="676"/>
    </row>
    <row r="19787" spans="14:14" x14ac:dyDescent="0.35">
      <c r="N19787" s="676"/>
    </row>
    <row r="19788" spans="14:14" x14ac:dyDescent="0.35">
      <c r="N19788" s="676"/>
    </row>
    <row r="19789" spans="14:14" x14ac:dyDescent="0.35">
      <c r="N19789" s="676"/>
    </row>
    <row r="19790" spans="14:14" x14ac:dyDescent="0.35">
      <c r="N19790" s="676"/>
    </row>
    <row r="19791" spans="14:14" x14ac:dyDescent="0.35">
      <c r="N19791" s="676"/>
    </row>
    <row r="19792" spans="14:14" x14ac:dyDescent="0.35">
      <c r="N19792" s="676"/>
    </row>
    <row r="19793" spans="14:14" x14ac:dyDescent="0.35">
      <c r="N19793" s="676"/>
    </row>
    <row r="19794" spans="14:14" x14ac:dyDescent="0.35">
      <c r="N19794" s="676"/>
    </row>
    <row r="19795" spans="14:14" x14ac:dyDescent="0.35">
      <c r="N19795" s="676"/>
    </row>
    <row r="19796" spans="14:14" x14ac:dyDescent="0.35">
      <c r="N19796" s="676"/>
    </row>
    <row r="19797" spans="14:14" x14ac:dyDescent="0.35">
      <c r="N19797" s="676"/>
    </row>
    <row r="19798" spans="14:14" x14ac:dyDescent="0.35">
      <c r="N19798" s="676"/>
    </row>
    <row r="19799" spans="14:14" x14ac:dyDescent="0.35">
      <c r="N19799" s="676"/>
    </row>
    <row r="19800" spans="14:14" x14ac:dyDescent="0.35">
      <c r="N19800" s="676"/>
    </row>
    <row r="19801" spans="14:14" x14ac:dyDescent="0.35">
      <c r="N19801" s="676"/>
    </row>
    <row r="19802" spans="14:14" x14ac:dyDescent="0.35">
      <c r="N19802" s="676"/>
    </row>
    <row r="19803" spans="14:14" x14ac:dyDescent="0.35">
      <c r="N19803" s="676"/>
    </row>
    <row r="19804" spans="14:14" x14ac:dyDescent="0.35">
      <c r="N19804" s="676"/>
    </row>
    <row r="19805" spans="14:14" x14ac:dyDescent="0.35">
      <c r="N19805" s="676"/>
    </row>
    <row r="19806" spans="14:14" x14ac:dyDescent="0.35">
      <c r="N19806" s="676"/>
    </row>
    <row r="19807" spans="14:14" x14ac:dyDescent="0.35">
      <c r="N19807" s="676"/>
    </row>
    <row r="19808" spans="14:14" x14ac:dyDescent="0.35">
      <c r="N19808" s="676"/>
    </row>
    <row r="19809" spans="14:14" x14ac:dyDescent="0.35">
      <c r="N19809" s="676"/>
    </row>
    <row r="19810" spans="14:14" x14ac:dyDescent="0.35">
      <c r="N19810" s="676"/>
    </row>
    <row r="19811" spans="14:14" x14ac:dyDescent="0.35">
      <c r="N19811" s="676"/>
    </row>
    <row r="19812" spans="14:14" x14ac:dyDescent="0.35">
      <c r="N19812" s="676"/>
    </row>
    <row r="19813" spans="14:14" x14ac:dyDescent="0.35">
      <c r="N19813" s="676"/>
    </row>
    <row r="19814" spans="14:14" x14ac:dyDescent="0.35">
      <c r="N19814" s="676"/>
    </row>
    <row r="19815" spans="14:14" x14ac:dyDescent="0.35">
      <c r="N19815" s="676"/>
    </row>
    <row r="19816" spans="14:14" x14ac:dyDescent="0.35">
      <c r="N19816" s="676"/>
    </row>
    <row r="19817" spans="14:14" x14ac:dyDescent="0.35">
      <c r="N19817" s="676"/>
    </row>
    <row r="19818" spans="14:14" x14ac:dyDescent="0.35">
      <c r="N19818" s="676"/>
    </row>
    <row r="19819" spans="14:14" x14ac:dyDescent="0.35">
      <c r="N19819" s="676"/>
    </row>
    <row r="19820" spans="14:14" x14ac:dyDescent="0.35">
      <c r="N19820" s="676"/>
    </row>
    <row r="19821" spans="14:14" x14ac:dyDescent="0.35">
      <c r="N19821" s="676"/>
    </row>
    <row r="19822" spans="14:14" x14ac:dyDescent="0.35">
      <c r="N19822" s="676"/>
    </row>
    <row r="19823" spans="14:14" x14ac:dyDescent="0.35">
      <c r="N19823" s="676"/>
    </row>
    <row r="19824" spans="14:14" x14ac:dyDescent="0.35">
      <c r="N19824" s="676"/>
    </row>
    <row r="19825" spans="14:14" x14ac:dyDescent="0.35">
      <c r="N19825" s="676"/>
    </row>
    <row r="19826" spans="14:14" x14ac:dyDescent="0.35">
      <c r="N19826" s="676"/>
    </row>
    <row r="19827" spans="14:14" x14ac:dyDescent="0.35">
      <c r="N19827" s="676"/>
    </row>
    <row r="19828" spans="14:14" x14ac:dyDescent="0.35">
      <c r="N19828" s="676"/>
    </row>
    <row r="19829" spans="14:14" x14ac:dyDescent="0.35">
      <c r="N19829" s="676"/>
    </row>
    <row r="19830" spans="14:14" x14ac:dyDescent="0.35">
      <c r="N19830" s="676"/>
    </row>
    <row r="19831" spans="14:14" x14ac:dyDescent="0.35">
      <c r="N19831" s="676"/>
    </row>
    <row r="19832" spans="14:14" x14ac:dyDescent="0.35">
      <c r="N19832" s="676"/>
    </row>
    <row r="19833" spans="14:14" x14ac:dyDescent="0.35">
      <c r="N19833" s="676"/>
    </row>
    <row r="19834" spans="14:14" x14ac:dyDescent="0.35">
      <c r="N19834" s="676"/>
    </row>
    <row r="19835" spans="14:14" x14ac:dyDescent="0.35">
      <c r="N19835" s="676"/>
    </row>
    <row r="19836" spans="14:14" x14ac:dyDescent="0.35">
      <c r="N19836" s="676"/>
    </row>
    <row r="19837" spans="14:14" x14ac:dyDescent="0.35">
      <c r="N19837" s="676"/>
    </row>
    <row r="19838" spans="14:14" x14ac:dyDescent="0.35">
      <c r="N19838" s="676"/>
    </row>
    <row r="19839" spans="14:14" x14ac:dyDescent="0.35">
      <c r="N19839" s="676"/>
    </row>
    <row r="19840" spans="14:14" x14ac:dyDescent="0.35">
      <c r="N19840" s="676"/>
    </row>
    <row r="19841" spans="14:14" x14ac:dyDescent="0.35">
      <c r="N19841" s="676"/>
    </row>
    <row r="19842" spans="14:14" x14ac:dyDescent="0.35">
      <c r="N19842" s="676"/>
    </row>
    <row r="19843" spans="14:14" x14ac:dyDescent="0.35">
      <c r="N19843" s="676"/>
    </row>
    <row r="19844" spans="14:14" x14ac:dyDescent="0.35">
      <c r="N19844" s="676"/>
    </row>
    <row r="19845" spans="14:14" x14ac:dyDescent="0.35">
      <c r="N19845" s="676"/>
    </row>
    <row r="19846" spans="14:14" x14ac:dyDescent="0.35">
      <c r="N19846" s="676"/>
    </row>
    <row r="19847" spans="14:14" x14ac:dyDescent="0.35">
      <c r="N19847" s="676"/>
    </row>
    <row r="19848" spans="14:14" x14ac:dyDescent="0.35">
      <c r="N19848" s="676"/>
    </row>
    <row r="19849" spans="14:14" x14ac:dyDescent="0.35">
      <c r="N19849" s="676"/>
    </row>
    <row r="19850" spans="14:14" x14ac:dyDescent="0.35">
      <c r="N19850" s="676"/>
    </row>
    <row r="19851" spans="14:14" x14ac:dyDescent="0.35">
      <c r="N19851" s="676"/>
    </row>
    <row r="19852" spans="14:14" x14ac:dyDescent="0.35">
      <c r="N19852" s="676"/>
    </row>
    <row r="19853" spans="14:14" x14ac:dyDescent="0.35">
      <c r="N19853" s="676"/>
    </row>
    <row r="19854" spans="14:14" x14ac:dyDescent="0.35">
      <c r="N19854" s="676"/>
    </row>
    <row r="19855" spans="14:14" x14ac:dyDescent="0.35">
      <c r="N19855" s="676"/>
    </row>
    <row r="19856" spans="14:14" x14ac:dyDescent="0.35">
      <c r="N19856" s="676"/>
    </row>
    <row r="19857" spans="14:14" x14ac:dyDescent="0.35">
      <c r="N19857" s="676"/>
    </row>
    <row r="19858" spans="14:14" x14ac:dyDescent="0.35">
      <c r="N19858" s="676"/>
    </row>
    <row r="19859" spans="14:14" x14ac:dyDescent="0.35">
      <c r="N19859" s="676"/>
    </row>
    <row r="19860" spans="14:14" x14ac:dyDescent="0.35">
      <c r="N19860" s="676"/>
    </row>
    <row r="19861" spans="14:14" x14ac:dyDescent="0.35">
      <c r="N19861" s="676"/>
    </row>
    <row r="19862" spans="14:14" x14ac:dyDescent="0.35">
      <c r="N19862" s="676"/>
    </row>
    <row r="19863" spans="14:14" x14ac:dyDescent="0.35">
      <c r="N19863" s="676"/>
    </row>
    <row r="19864" spans="14:14" x14ac:dyDescent="0.35">
      <c r="N19864" s="676"/>
    </row>
    <row r="19865" spans="14:14" x14ac:dyDescent="0.35">
      <c r="N19865" s="676"/>
    </row>
    <row r="19866" spans="14:14" x14ac:dyDescent="0.35">
      <c r="N19866" s="676"/>
    </row>
    <row r="19867" spans="14:14" x14ac:dyDescent="0.35">
      <c r="N19867" s="676"/>
    </row>
    <row r="19868" spans="14:14" x14ac:dyDescent="0.35">
      <c r="N19868" s="676"/>
    </row>
    <row r="19869" spans="14:14" x14ac:dyDescent="0.35">
      <c r="N19869" s="676"/>
    </row>
    <row r="19870" spans="14:14" x14ac:dyDescent="0.35">
      <c r="N19870" s="676"/>
    </row>
    <row r="19871" spans="14:14" x14ac:dyDescent="0.35">
      <c r="N19871" s="676"/>
    </row>
    <row r="19872" spans="14:14" x14ac:dyDescent="0.35">
      <c r="N19872" s="676"/>
    </row>
    <row r="19873" spans="14:14" x14ac:dyDescent="0.35">
      <c r="N19873" s="676"/>
    </row>
    <row r="19874" spans="14:14" x14ac:dyDescent="0.35">
      <c r="N19874" s="676"/>
    </row>
    <row r="19875" spans="14:14" x14ac:dyDescent="0.35">
      <c r="N19875" s="676"/>
    </row>
    <row r="19876" spans="14:14" x14ac:dyDescent="0.35">
      <c r="N19876" s="676"/>
    </row>
    <row r="19877" spans="14:14" x14ac:dyDescent="0.35">
      <c r="N19877" s="676"/>
    </row>
    <row r="19878" spans="14:14" x14ac:dyDescent="0.35">
      <c r="N19878" s="676"/>
    </row>
    <row r="19879" spans="14:14" x14ac:dyDescent="0.35">
      <c r="N19879" s="676"/>
    </row>
    <row r="19880" spans="14:14" x14ac:dyDescent="0.35">
      <c r="N19880" s="676"/>
    </row>
    <row r="19881" spans="14:14" x14ac:dyDescent="0.35">
      <c r="N19881" s="676"/>
    </row>
    <row r="19882" spans="14:14" x14ac:dyDescent="0.35">
      <c r="N19882" s="676"/>
    </row>
    <row r="19883" spans="14:14" x14ac:dyDescent="0.35">
      <c r="N19883" s="676"/>
    </row>
    <row r="19884" spans="14:14" x14ac:dyDescent="0.35">
      <c r="N19884" s="676"/>
    </row>
    <row r="19885" spans="14:14" x14ac:dyDescent="0.35">
      <c r="N19885" s="676"/>
    </row>
    <row r="19886" spans="14:14" x14ac:dyDescent="0.35">
      <c r="N19886" s="676"/>
    </row>
    <row r="19887" spans="14:14" x14ac:dyDescent="0.35">
      <c r="N19887" s="676"/>
    </row>
    <row r="19888" spans="14:14" x14ac:dyDescent="0.35">
      <c r="N19888" s="676"/>
    </row>
    <row r="19889" spans="14:14" x14ac:dyDescent="0.35">
      <c r="N19889" s="676"/>
    </row>
    <row r="19890" spans="14:14" x14ac:dyDescent="0.35">
      <c r="N19890" s="676"/>
    </row>
    <row r="19891" spans="14:14" x14ac:dyDescent="0.35">
      <c r="N19891" s="676"/>
    </row>
    <row r="19892" spans="14:14" x14ac:dyDescent="0.35">
      <c r="N19892" s="676"/>
    </row>
    <row r="19893" spans="14:14" x14ac:dyDescent="0.35">
      <c r="N19893" s="676"/>
    </row>
    <row r="19894" spans="14:14" x14ac:dyDescent="0.35">
      <c r="N19894" s="676"/>
    </row>
    <row r="19895" spans="14:14" x14ac:dyDescent="0.35">
      <c r="N19895" s="676"/>
    </row>
    <row r="19896" spans="14:14" x14ac:dyDescent="0.35">
      <c r="N19896" s="676"/>
    </row>
    <row r="19897" spans="14:14" x14ac:dyDescent="0.35">
      <c r="N19897" s="676"/>
    </row>
    <row r="19898" spans="14:14" x14ac:dyDescent="0.35">
      <c r="N19898" s="676"/>
    </row>
    <row r="19899" spans="14:14" x14ac:dyDescent="0.35">
      <c r="N19899" s="676"/>
    </row>
    <row r="19900" spans="14:14" x14ac:dyDescent="0.35">
      <c r="N19900" s="676"/>
    </row>
    <row r="19901" spans="14:14" x14ac:dyDescent="0.35">
      <c r="N19901" s="676"/>
    </row>
    <row r="19902" spans="14:14" x14ac:dyDescent="0.35">
      <c r="N19902" s="676"/>
    </row>
    <row r="19903" spans="14:14" x14ac:dyDescent="0.35">
      <c r="N19903" s="676"/>
    </row>
    <row r="19904" spans="14:14" x14ac:dyDescent="0.35">
      <c r="N19904" s="676"/>
    </row>
    <row r="19905" spans="14:14" x14ac:dyDescent="0.35">
      <c r="N19905" s="676"/>
    </row>
    <row r="19906" spans="14:14" x14ac:dyDescent="0.35">
      <c r="N19906" s="676"/>
    </row>
    <row r="19907" spans="14:14" x14ac:dyDescent="0.35">
      <c r="N19907" s="676"/>
    </row>
    <row r="19908" spans="14:14" x14ac:dyDescent="0.35">
      <c r="N19908" s="676"/>
    </row>
    <row r="19909" spans="14:14" x14ac:dyDescent="0.35">
      <c r="N19909" s="676"/>
    </row>
    <row r="19910" spans="14:14" x14ac:dyDescent="0.35">
      <c r="N19910" s="676"/>
    </row>
    <row r="19911" spans="14:14" x14ac:dyDescent="0.35">
      <c r="N19911" s="676"/>
    </row>
    <row r="19912" spans="14:14" x14ac:dyDescent="0.35">
      <c r="N19912" s="676"/>
    </row>
    <row r="19913" spans="14:14" x14ac:dyDescent="0.35">
      <c r="N19913" s="676"/>
    </row>
    <row r="19914" spans="14:14" x14ac:dyDescent="0.35">
      <c r="N19914" s="676"/>
    </row>
    <row r="19915" spans="14:14" x14ac:dyDescent="0.35">
      <c r="N19915" s="676"/>
    </row>
    <row r="19916" spans="14:14" x14ac:dyDescent="0.35">
      <c r="N19916" s="676"/>
    </row>
    <row r="19917" spans="14:14" x14ac:dyDescent="0.35">
      <c r="N19917" s="676"/>
    </row>
    <row r="19918" spans="14:14" x14ac:dyDescent="0.35">
      <c r="N19918" s="676"/>
    </row>
    <row r="19919" spans="14:14" x14ac:dyDescent="0.35">
      <c r="N19919" s="676"/>
    </row>
    <row r="19920" spans="14:14" x14ac:dyDescent="0.35">
      <c r="N19920" s="676"/>
    </row>
    <row r="19921" spans="14:14" x14ac:dyDescent="0.35">
      <c r="N19921" s="676"/>
    </row>
    <row r="19922" spans="14:14" x14ac:dyDescent="0.35">
      <c r="N19922" s="676"/>
    </row>
    <row r="19923" spans="14:14" x14ac:dyDescent="0.35">
      <c r="N19923" s="676"/>
    </row>
    <row r="19924" spans="14:14" x14ac:dyDescent="0.35">
      <c r="N19924" s="676"/>
    </row>
    <row r="19925" spans="14:14" x14ac:dyDescent="0.35">
      <c r="N19925" s="676"/>
    </row>
    <row r="19926" spans="14:14" x14ac:dyDescent="0.35">
      <c r="N19926" s="676"/>
    </row>
    <row r="19927" spans="14:14" x14ac:dyDescent="0.35">
      <c r="N19927" s="676"/>
    </row>
    <row r="19928" spans="14:14" x14ac:dyDescent="0.35">
      <c r="N19928" s="676"/>
    </row>
    <row r="19929" spans="14:14" x14ac:dyDescent="0.35">
      <c r="N19929" s="676"/>
    </row>
    <row r="19930" spans="14:14" x14ac:dyDescent="0.35">
      <c r="N19930" s="676"/>
    </row>
    <row r="19931" spans="14:14" x14ac:dyDescent="0.35">
      <c r="N19931" s="676"/>
    </row>
    <row r="19932" spans="14:14" x14ac:dyDescent="0.35">
      <c r="N19932" s="676"/>
    </row>
    <row r="19933" spans="14:14" x14ac:dyDescent="0.35">
      <c r="N19933" s="676"/>
    </row>
    <row r="19934" spans="14:14" x14ac:dyDescent="0.35">
      <c r="N19934" s="676"/>
    </row>
    <row r="19935" spans="14:14" x14ac:dyDescent="0.35">
      <c r="N19935" s="676"/>
    </row>
    <row r="19936" spans="14:14" x14ac:dyDescent="0.35">
      <c r="N19936" s="676"/>
    </row>
    <row r="19937" spans="14:14" x14ac:dyDescent="0.35">
      <c r="N19937" s="676"/>
    </row>
    <row r="19938" spans="14:14" x14ac:dyDescent="0.35">
      <c r="N19938" s="676"/>
    </row>
    <row r="19939" spans="14:14" x14ac:dyDescent="0.35">
      <c r="N19939" s="676"/>
    </row>
    <row r="19940" spans="14:14" x14ac:dyDescent="0.35">
      <c r="N19940" s="676"/>
    </row>
    <row r="19941" spans="14:14" x14ac:dyDescent="0.35">
      <c r="N19941" s="676"/>
    </row>
    <row r="19942" spans="14:14" x14ac:dyDescent="0.35">
      <c r="N19942" s="676"/>
    </row>
    <row r="19943" spans="14:14" x14ac:dyDescent="0.35">
      <c r="N19943" s="676"/>
    </row>
    <row r="19944" spans="14:14" x14ac:dyDescent="0.35">
      <c r="N19944" s="676"/>
    </row>
    <row r="19945" spans="14:14" x14ac:dyDescent="0.35">
      <c r="N19945" s="676"/>
    </row>
    <row r="19946" spans="14:14" x14ac:dyDescent="0.35">
      <c r="N19946" s="676"/>
    </row>
    <row r="19947" spans="14:14" x14ac:dyDescent="0.35">
      <c r="N19947" s="676"/>
    </row>
    <row r="19948" spans="14:14" x14ac:dyDescent="0.35">
      <c r="N19948" s="676"/>
    </row>
    <row r="19949" spans="14:14" x14ac:dyDescent="0.35">
      <c r="N19949" s="676"/>
    </row>
    <row r="19950" spans="14:14" x14ac:dyDescent="0.35">
      <c r="N19950" s="676"/>
    </row>
    <row r="19951" spans="14:14" x14ac:dyDescent="0.35">
      <c r="N19951" s="676"/>
    </row>
    <row r="19952" spans="14:14" x14ac:dyDescent="0.35">
      <c r="N19952" s="676"/>
    </row>
    <row r="19953" spans="14:14" x14ac:dyDescent="0.35">
      <c r="N19953" s="676"/>
    </row>
    <row r="19954" spans="14:14" x14ac:dyDescent="0.35">
      <c r="N19954" s="676"/>
    </row>
    <row r="19955" spans="14:14" x14ac:dyDescent="0.35">
      <c r="N19955" s="676"/>
    </row>
    <row r="19956" spans="14:14" x14ac:dyDescent="0.35">
      <c r="N19956" s="676"/>
    </row>
    <row r="19957" spans="14:14" x14ac:dyDescent="0.35">
      <c r="N19957" s="676"/>
    </row>
    <row r="19958" spans="14:14" x14ac:dyDescent="0.35">
      <c r="N19958" s="676"/>
    </row>
    <row r="19959" spans="14:14" x14ac:dyDescent="0.35">
      <c r="N19959" s="676"/>
    </row>
    <row r="19960" spans="14:14" x14ac:dyDescent="0.35">
      <c r="N19960" s="676"/>
    </row>
    <row r="19961" spans="14:14" x14ac:dyDescent="0.35">
      <c r="N19961" s="676"/>
    </row>
    <row r="19962" spans="14:14" x14ac:dyDescent="0.35">
      <c r="N19962" s="676"/>
    </row>
    <row r="19963" spans="14:14" x14ac:dyDescent="0.35">
      <c r="N19963" s="676"/>
    </row>
    <row r="19964" spans="14:14" x14ac:dyDescent="0.35">
      <c r="N19964" s="676"/>
    </row>
    <row r="19965" spans="14:14" x14ac:dyDescent="0.35">
      <c r="N19965" s="676"/>
    </row>
    <row r="19966" spans="14:14" x14ac:dyDescent="0.35">
      <c r="N19966" s="676"/>
    </row>
    <row r="19967" spans="14:14" x14ac:dyDescent="0.35">
      <c r="N19967" s="676"/>
    </row>
    <row r="19968" spans="14:14" x14ac:dyDescent="0.35">
      <c r="N19968" s="676"/>
    </row>
    <row r="19969" spans="14:14" x14ac:dyDescent="0.35">
      <c r="N19969" s="676"/>
    </row>
    <row r="19970" spans="14:14" x14ac:dyDescent="0.35">
      <c r="N19970" s="676"/>
    </row>
    <row r="19971" spans="14:14" x14ac:dyDescent="0.35">
      <c r="N19971" s="676"/>
    </row>
    <row r="19972" spans="14:14" x14ac:dyDescent="0.35">
      <c r="N19972" s="676"/>
    </row>
    <row r="19973" spans="14:14" x14ac:dyDescent="0.35">
      <c r="N19973" s="676"/>
    </row>
    <row r="19974" spans="14:14" x14ac:dyDescent="0.35">
      <c r="N19974" s="676"/>
    </row>
    <row r="19975" spans="14:14" x14ac:dyDescent="0.35">
      <c r="N19975" s="676"/>
    </row>
    <row r="19976" spans="14:14" x14ac:dyDescent="0.35">
      <c r="N19976" s="676"/>
    </row>
    <row r="19977" spans="14:14" x14ac:dyDescent="0.35">
      <c r="N19977" s="676"/>
    </row>
    <row r="19978" spans="14:14" x14ac:dyDescent="0.35">
      <c r="N19978" s="676"/>
    </row>
    <row r="19979" spans="14:14" x14ac:dyDescent="0.35">
      <c r="N19979" s="676"/>
    </row>
    <row r="19980" spans="14:14" x14ac:dyDescent="0.35">
      <c r="N19980" s="676"/>
    </row>
    <row r="19981" spans="14:14" x14ac:dyDescent="0.35">
      <c r="N19981" s="676"/>
    </row>
    <row r="19982" spans="14:14" x14ac:dyDescent="0.35">
      <c r="N19982" s="676"/>
    </row>
    <row r="19983" spans="14:14" x14ac:dyDescent="0.35">
      <c r="N19983" s="676"/>
    </row>
    <row r="19984" spans="14:14" x14ac:dyDescent="0.35">
      <c r="N19984" s="676"/>
    </row>
    <row r="19985" spans="14:14" x14ac:dyDescent="0.35">
      <c r="N19985" s="676"/>
    </row>
    <row r="19986" spans="14:14" x14ac:dyDescent="0.35">
      <c r="N19986" s="676"/>
    </row>
    <row r="19987" spans="14:14" x14ac:dyDescent="0.35">
      <c r="N19987" s="676"/>
    </row>
    <row r="19988" spans="14:14" x14ac:dyDescent="0.35">
      <c r="N19988" s="676"/>
    </row>
    <row r="19989" spans="14:14" x14ac:dyDescent="0.35">
      <c r="N19989" s="676"/>
    </row>
    <row r="19990" spans="14:14" x14ac:dyDescent="0.35">
      <c r="N19990" s="676"/>
    </row>
    <row r="19991" spans="14:14" x14ac:dyDescent="0.35">
      <c r="N19991" s="676"/>
    </row>
    <row r="19992" spans="14:14" x14ac:dyDescent="0.35">
      <c r="N19992" s="676"/>
    </row>
    <row r="19993" spans="14:14" x14ac:dyDescent="0.35">
      <c r="N19993" s="676"/>
    </row>
    <row r="19994" spans="14:14" x14ac:dyDescent="0.35">
      <c r="N19994" s="676"/>
    </row>
    <row r="19995" spans="14:14" x14ac:dyDescent="0.35">
      <c r="N19995" s="676"/>
    </row>
    <row r="19996" spans="14:14" x14ac:dyDescent="0.35">
      <c r="N19996" s="676"/>
    </row>
    <row r="19997" spans="14:14" x14ac:dyDescent="0.35">
      <c r="N19997" s="676"/>
    </row>
    <row r="19998" spans="14:14" x14ac:dyDescent="0.35">
      <c r="N19998" s="676"/>
    </row>
    <row r="19999" spans="14:14" x14ac:dyDescent="0.35">
      <c r="N19999" s="676"/>
    </row>
    <row r="20000" spans="14:14" x14ac:dyDescent="0.35">
      <c r="N20000" s="676"/>
    </row>
    <row r="20001" spans="14:14" x14ac:dyDescent="0.35">
      <c r="N20001" s="676"/>
    </row>
    <row r="20002" spans="14:14" x14ac:dyDescent="0.35">
      <c r="N20002" s="676"/>
    </row>
    <row r="20003" spans="14:14" x14ac:dyDescent="0.35">
      <c r="N20003" s="676"/>
    </row>
    <row r="20004" spans="14:14" x14ac:dyDescent="0.35">
      <c r="N20004" s="676"/>
    </row>
    <row r="20005" spans="14:14" x14ac:dyDescent="0.35">
      <c r="N20005" s="676"/>
    </row>
    <row r="20006" spans="14:14" x14ac:dyDescent="0.35">
      <c r="N20006" s="676"/>
    </row>
    <row r="20007" spans="14:14" x14ac:dyDescent="0.35">
      <c r="N20007" s="676"/>
    </row>
    <row r="20008" spans="14:14" x14ac:dyDescent="0.35">
      <c r="N20008" s="676"/>
    </row>
    <row r="20009" spans="14:14" x14ac:dyDescent="0.35">
      <c r="N20009" s="676"/>
    </row>
    <row r="20010" spans="14:14" x14ac:dyDescent="0.35">
      <c r="N20010" s="676"/>
    </row>
    <row r="20011" spans="14:14" x14ac:dyDescent="0.35">
      <c r="N20011" s="676"/>
    </row>
    <row r="20012" spans="14:14" x14ac:dyDescent="0.35">
      <c r="N20012" s="676"/>
    </row>
    <row r="20013" spans="14:14" x14ac:dyDescent="0.35">
      <c r="N20013" s="676"/>
    </row>
    <row r="20014" spans="14:14" x14ac:dyDescent="0.35">
      <c r="N20014" s="676"/>
    </row>
    <row r="20015" spans="14:14" x14ac:dyDescent="0.35">
      <c r="N20015" s="676"/>
    </row>
    <row r="20016" spans="14:14" x14ac:dyDescent="0.35">
      <c r="N20016" s="676"/>
    </row>
    <row r="20017" spans="14:14" x14ac:dyDescent="0.35">
      <c r="N20017" s="676"/>
    </row>
    <row r="20018" spans="14:14" x14ac:dyDescent="0.35">
      <c r="N20018" s="676"/>
    </row>
    <row r="20019" spans="14:14" x14ac:dyDescent="0.35">
      <c r="N20019" s="676"/>
    </row>
    <row r="20020" spans="14:14" x14ac:dyDescent="0.35">
      <c r="N20020" s="676"/>
    </row>
    <row r="20021" spans="14:14" x14ac:dyDescent="0.35">
      <c r="N20021" s="676"/>
    </row>
    <row r="20022" spans="14:14" x14ac:dyDescent="0.35">
      <c r="N20022" s="676"/>
    </row>
    <row r="20023" spans="14:14" x14ac:dyDescent="0.35">
      <c r="N20023" s="676"/>
    </row>
    <row r="20024" spans="14:14" x14ac:dyDescent="0.35">
      <c r="N20024" s="676"/>
    </row>
    <row r="20025" spans="14:14" x14ac:dyDescent="0.35">
      <c r="N20025" s="676"/>
    </row>
    <row r="20026" spans="14:14" x14ac:dyDescent="0.35">
      <c r="N20026" s="676"/>
    </row>
    <row r="20027" spans="14:14" x14ac:dyDescent="0.35">
      <c r="N20027" s="676"/>
    </row>
    <row r="20028" spans="14:14" x14ac:dyDescent="0.35">
      <c r="N20028" s="676"/>
    </row>
    <row r="20029" spans="14:14" x14ac:dyDescent="0.35">
      <c r="N20029" s="676"/>
    </row>
    <row r="20030" spans="14:14" x14ac:dyDescent="0.35">
      <c r="N20030" s="676"/>
    </row>
    <row r="20031" spans="14:14" x14ac:dyDescent="0.35">
      <c r="N20031" s="676"/>
    </row>
    <row r="20032" spans="14:14" x14ac:dyDescent="0.35">
      <c r="N20032" s="676"/>
    </row>
    <row r="20033" spans="14:14" x14ac:dyDescent="0.35">
      <c r="N20033" s="676"/>
    </row>
    <row r="20034" spans="14:14" x14ac:dyDescent="0.35">
      <c r="N20034" s="676"/>
    </row>
    <row r="20035" spans="14:14" x14ac:dyDescent="0.35">
      <c r="N20035" s="676"/>
    </row>
    <row r="20036" spans="14:14" x14ac:dyDescent="0.35">
      <c r="N20036" s="676"/>
    </row>
    <row r="20037" spans="14:14" x14ac:dyDescent="0.35">
      <c r="N20037" s="676"/>
    </row>
    <row r="20038" spans="14:14" x14ac:dyDescent="0.35">
      <c r="N20038" s="676"/>
    </row>
    <row r="20039" spans="14:14" x14ac:dyDescent="0.35">
      <c r="N20039" s="676"/>
    </row>
    <row r="20040" spans="14:14" x14ac:dyDescent="0.35">
      <c r="N20040" s="676"/>
    </row>
    <row r="20041" spans="14:14" x14ac:dyDescent="0.35">
      <c r="N20041" s="676"/>
    </row>
    <row r="20042" spans="14:14" x14ac:dyDescent="0.35">
      <c r="N20042" s="676"/>
    </row>
    <row r="20043" spans="14:14" x14ac:dyDescent="0.35">
      <c r="N20043" s="676"/>
    </row>
    <row r="20044" spans="14:14" x14ac:dyDescent="0.35">
      <c r="N20044" s="676"/>
    </row>
    <row r="20045" spans="14:14" x14ac:dyDescent="0.35">
      <c r="N20045" s="676"/>
    </row>
    <row r="20046" spans="14:14" x14ac:dyDescent="0.35">
      <c r="N20046" s="676"/>
    </row>
    <row r="20047" spans="14:14" x14ac:dyDescent="0.35">
      <c r="N20047" s="676"/>
    </row>
    <row r="20048" spans="14:14" x14ac:dyDescent="0.35">
      <c r="N20048" s="676"/>
    </row>
    <row r="20049" spans="14:14" x14ac:dyDescent="0.35">
      <c r="N20049" s="676"/>
    </row>
    <row r="20050" spans="14:14" x14ac:dyDescent="0.35">
      <c r="N20050" s="676"/>
    </row>
    <row r="20051" spans="14:14" x14ac:dyDescent="0.35">
      <c r="N20051" s="676"/>
    </row>
    <row r="20052" spans="14:14" x14ac:dyDescent="0.35">
      <c r="N20052" s="676"/>
    </row>
    <row r="20053" spans="14:14" x14ac:dyDescent="0.35">
      <c r="N20053" s="676"/>
    </row>
    <row r="20054" spans="14:14" x14ac:dyDescent="0.35">
      <c r="N20054" s="676"/>
    </row>
    <row r="20055" spans="14:14" x14ac:dyDescent="0.35">
      <c r="N20055" s="676"/>
    </row>
    <row r="20056" spans="14:14" x14ac:dyDescent="0.35">
      <c r="N20056" s="676"/>
    </row>
    <row r="20057" spans="14:14" x14ac:dyDescent="0.35">
      <c r="N20057" s="676"/>
    </row>
    <row r="20058" spans="14:14" x14ac:dyDescent="0.35">
      <c r="N20058" s="676"/>
    </row>
    <row r="20059" spans="14:14" x14ac:dyDescent="0.35">
      <c r="N20059" s="676"/>
    </row>
    <row r="20060" spans="14:14" x14ac:dyDescent="0.35">
      <c r="N20060" s="676"/>
    </row>
    <row r="20061" spans="14:14" x14ac:dyDescent="0.35">
      <c r="N20061" s="676"/>
    </row>
    <row r="20062" spans="14:14" x14ac:dyDescent="0.35">
      <c r="N20062" s="676"/>
    </row>
    <row r="20063" spans="14:14" x14ac:dyDescent="0.35">
      <c r="N20063" s="676"/>
    </row>
    <row r="20064" spans="14:14" x14ac:dyDescent="0.35">
      <c r="N20064" s="676"/>
    </row>
    <row r="20065" spans="14:14" x14ac:dyDescent="0.35">
      <c r="N20065" s="676"/>
    </row>
    <row r="20066" spans="14:14" x14ac:dyDescent="0.35">
      <c r="N20066" s="676"/>
    </row>
    <row r="20067" spans="14:14" x14ac:dyDescent="0.35">
      <c r="N20067" s="676"/>
    </row>
    <row r="20068" spans="14:14" x14ac:dyDescent="0.35">
      <c r="N20068" s="676"/>
    </row>
    <row r="20069" spans="14:14" x14ac:dyDescent="0.35">
      <c r="N20069" s="676"/>
    </row>
    <row r="20070" spans="14:14" x14ac:dyDescent="0.35">
      <c r="N20070" s="676"/>
    </row>
    <row r="20071" spans="14:14" x14ac:dyDescent="0.35">
      <c r="N20071" s="676"/>
    </row>
    <row r="20072" spans="14:14" x14ac:dyDescent="0.35">
      <c r="N20072" s="676"/>
    </row>
    <row r="20073" spans="14:14" x14ac:dyDescent="0.35">
      <c r="N20073" s="676"/>
    </row>
    <row r="20074" spans="14:14" x14ac:dyDescent="0.35">
      <c r="N20074" s="676"/>
    </row>
    <row r="20075" spans="14:14" x14ac:dyDescent="0.35">
      <c r="N20075" s="676"/>
    </row>
    <row r="20076" spans="14:14" x14ac:dyDescent="0.35">
      <c r="N20076" s="676"/>
    </row>
    <row r="20077" spans="14:14" x14ac:dyDescent="0.35">
      <c r="N20077" s="676"/>
    </row>
    <row r="20078" spans="14:14" x14ac:dyDescent="0.35">
      <c r="N20078" s="676"/>
    </row>
    <row r="20079" spans="14:14" x14ac:dyDescent="0.35">
      <c r="N20079" s="676"/>
    </row>
    <row r="20080" spans="14:14" x14ac:dyDescent="0.35">
      <c r="N20080" s="676"/>
    </row>
    <row r="20081" spans="14:14" x14ac:dyDescent="0.35">
      <c r="N20081" s="676"/>
    </row>
    <row r="20082" spans="14:14" x14ac:dyDescent="0.35">
      <c r="N20082" s="676"/>
    </row>
    <row r="20083" spans="14:14" x14ac:dyDescent="0.35">
      <c r="N20083" s="676"/>
    </row>
    <row r="20084" spans="14:14" x14ac:dyDescent="0.35">
      <c r="N20084" s="676"/>
    </row>
    <row r="20085" spans="14:14" x14ac:dyDescent="0.35">
      <c r="N20085" s="676"/>
    </row>
    <row r="20086" spans="14:14" x14ac:dyDescent="0.35">
      <c r="N20086" s="676"/>
    </row>
    <row r="20087" spans="14:14" x14ac:dyDescent="0.35">
      <c r="N20087" s="676"/>
    </row>
    <row r="20088" spans="14:14" x14ac:dyDescent="0.35">
      <c r="N20088" s="676"/>
    </row>
    <row r="20089" spans="14:14" x14ac:dyDescent="0.35">
      <c r="N20089" s="676"/>
    </row>
    <row r="20090" spans="14:14" x14ac:dyDescent="0.35">
      <c r="N20090" s="676"/>
    </row>
    <row r="20091" spans="14:14" x14ac:dyDescent="0.35">
      <c r="N20091" s="676"/>
    </row>
    <row r="20092" spans="14:14" x14ac:dyDescent="0.35">
      <c r="N20092" s="676"/>
    </row>
    <row r="20093" spans="14:14" x14ac:dyDescent="0.35">
      <c r="N20093" s="676"/>
    </row>
    <row r="20094" spans="14:14" x14ac:dyDescent="0.35">
      <c r="N20094" s="676"/>
    </row>
    <row r="20095" spans="14:14" x14ac:dyDescent="0.35">
      <c r="N20095" s="676"/>
    </row>
    <row r="20096" spans="14:14" x14ac:dyDescent="0.35">
      <c r="N20096" s="676"/>
    </row>
    <row r="20097" spans="14:14" x14ac:dyDescent="0.35">
      <c r="N20097" s="676"/>
    </row>
    <row r="20098" spans="14:14" x14ac:dyDescent="0.35">
      <c r="N20098" s="676"/>
    </row>
    <row r="20099" spans="14:14" x14ac:dyDescent="0.35">
      <c r="N20099" s="676"/>
    </row>
    <row r="20100" spans="14:14" x14ac:dyDescent="0.35">
      <c r="N20100" s="676"/>
    </row>
    <row r="20101" spans="14:14" x14ac:dyDescent="0.35">
      <c r="N20101" s="676"/>
    </row>
    <row r="20102" spans="14:14" x14ac:dyDescent="0.35">
      <c r="N20102" s="676"/>
    </row>
    <row r="20103" spans="14:14" x14ac:dyDescent="0.35">
      <c r="N20103" s="676"/>
    </row>
    <row r="20104" spans="14:14" x14ac:dyDescent="0.35">
      <c r="N20104" s="676"/>
    </row>
    <row r="20105" spans="14:14" x14ac:dyDescent="0.35">
      <c r="N20105" s="676"/>
    </row>
    <row r="20106" spans="14:14" x14ac:dyDescent="0.35">
      <c r="N20106" s="676"/>
    </row>
    <row r="20107" spans="14:14" x14ac:dyDescent="0.35">
      <c r="N20107" s="676"/>
    </row>
    <row r="20108" spans="14:14" x14ac:dyDescent="0.35">
      <c r="N20108" s="676"/>
    </row>
    <row r="20109" spans="14:14" x14ac:dyDescent="0.35">
      <c r="N20109" s="676"/>
    </row>
    <row r="20110" spans="14:14" x14ac:dyDescent="0.35">
      <c r="N20110" s="676"/>
    </row>
    <row r="20111" spans="14:14" x14ac:dyDescent="0.35">
      <c r="N20111" s="676"/>
    </row>
    <row r="20112" spans="14:14" x14ac:dyDescent="0.35">
      <c r="N20112" s="676"/>
    </row>
    <row r="20113" spans="14:14" x14ac:dyDescent="0.35">
      <c r="N20113" s="676"/>
    </row>
    <row r="20114" spans="14:14" x14ac:dyDescent="0.35">
      <c r="N20114" s="676"/>
    </row>
    <row r="20115" spans="14:14" x14ac:dyDescent="0.35">
      <c r="N20115" s="676"/>
    </row>
    <row r="20116" spans="14:14" x14ac:dyDescent="0.35">
      <c r="N20116" s="676"/>
    </row>
    <row r="20117" spans="14:14" x14ac:dyDescent="0.35">
      <c r="N20117" s="676"/>
    </row>
    <row r="20118" spans="14:14" x14ac:dyDescent="0.35">
      <c r="N20118" s="676"/>
    </row>
    <row r="20119" spans="14:14" x14ac:dyDescent="0.35">
      <c r="N20119" s="676"/>
    </row>
    <row r="20120" spans="14:14" x14ac:dyDescent="0.35">
      <c r="N20120" s="676"/>
    </row>
    <row r="20121" spans="14:14" x14ac:dyDescent="0.35">
      <c r="N20121" s="676"/>
    </row>
    <row r="20122" spans="14:14" x14ac:dyDescent="0.35">
      <c r="N20122" s="676"/>
    </row>
    <row r="20123" spans="14:14" x14ac:dyDescent="0.35">
      <c r="N20123" s="676"/>
    </row>
    <row r="20124" spans="14:14" x14ac:dyDescent="0.35">
      <c r="N20124" s="676"/>
    </row>
    <row r="20125" spans="14:14" x14ac:dyDescent="0.35">
      <c r="N20125" s="676"/>
    </row>
    <row r="20126" spans="14:14" x14ac:dyDescent="0.35">
      <c r="N20126" s="676"/>
    </row>
    <row r="20127" spans="14:14" x14ac:dyDescent="0.35">
      <c r="N20127" s="676"/>
    </row>
    <row r="20128" spans="14:14" x14ac:dyDescent="0.35">
      <c r="N20128" s="676"/>
    </row>
    <row r="20129" spans="14:14" x14ac:dyDescent="0.35">
      <c r="N20129" s="676"/>
    </row>
    <row r="20130" spans="14:14" x14ac:dyDescent="0.35">
      <c r="N20130" s="676"/>
    </row>
    <row r="20131" spans="14:14" x14ac:dyDescent="0.35">
      <c r="N20131" s="676"/>
    </row>
    <row r="20132" spans="14:14" x14ac:dyDescent="0.35">
      <c r="N20132" s="676"/>
    </row>
    <row r="20133" spans="14:14" x14ac:dyDescent="0.35">
      <c r="N20133" s="676"/>
    </row>
    <row r="20134" spans="14:14" x14ac:dyDescent="0.35">
      <c r="N20134" s="676"/>
    </row>
    <row r="20135" spans="14:14" x14ac:dyDescent="0.35">
      <c r="N20135" s="676"/>
    </row>
    <row r="20136" spans="14:14" x14ac:dyDescent="0.35">
      <c r="N20136" s="676"/>
    </row>
    <row r="20137" spans="14:14" x14ac:dyDescent="0.35">
      <c r="N20137" s="676"/>
    </row>
    <row r="20138" spans="14:14" x14ac:dyDescent="0.35">
      <c r="N20138" s="676"/>
    </row>
    <row r="20139" spans="14:14" x14ac:dyDescent="0.35">
      <c r="N20139" s="676"/>
    </row>
    <row r="20140" spans="14:14" x14ac:dyDescent="0.35">
      <c r="N20140" s="676"/>
    </row>
    <row r="20141" spans="14:14" x14ac:dyDescent="0.35">
      <c r="N20141" s="676"/>
    </row>
    <row r="20142" spans="14:14" x14ac:dyDescent="0.35">
      <c r="N20142" s="676"/>
    </row>
    <row r="20143" spans="14:14" x14ac:dyDescent="0.35">
      <c r="N20143" s="676"/>
    </row>
    <row r="20144" spans="14:14" x14ac:dyDescent="0.35">
      <c r="N20144" s="676"/>
    </row>
    <row r="20145" spans="14:14" x14ac:dyDescent="0.35">
      <c r="N20145" s="676"/>
    </row>
    <row r="20146" spans="14:14" x14ac:dyDescent="0.35">
      <c r="N20146" s="676"/>
    </row>
    <row r="20147" spans="14:14" x14ac:dyDescent="0.35">
      <c r="N20147" s="676"/>
    </row>
    <row r="20148" spans="14:14" x14ac:dyDescent="0.35">
      <c r="N20148" s="676"/>
    </row>
    <row r="20149" spans="14:14" x14ac:dyDescent="0.35">
      <c r="N20149" s="676"/>
    </row>
    <row r="20150" spans="14:14" x14ac:dyDescent="0.35">
      <c r="N20150" s="676"/>
    </row>
    <row r="20151" spans="14:14" x14ac:dyDescent="0.35">
      <c r="N20151" s="676"/>
    </row>
    <row r="20152" spans="14:14" x14ac:dyDescent="0.35">
      <c r="N20152" s="676"/>
    </row>
    <row r="20153" spans="14:14" x14ac:dyDescent="0.35">
      <c r="N20153" s="676"/>
    </row>
    <row r="20154" spans="14:14" x14ac:dyDescent="0.35">
      <c r="N20154" s="676"/>
    </row>
    <row r="20155" spans="14:14" x14ac:dyDescent="0.35">
      <c r="N20155" s="676"/>
    </row>
    <row r="20156" spans="14:14" x14ac:dyDescent="0.35">
      <c r="N20156" s="676"/>
    </row>
    <row r="20157" spans="14:14" x14ac:dyDescent="0.35">
      <c r="N20157" s="676"/>
    </row>
    <row r="20158" spans="14:14" x14ac:dyDescent="0.35">
      <c r="N20158" s="676"/>
    </row>
    <row r="20159" spans="14:14" x14ac:dyDescent="0.35">
      <c r="N20159" s="676"/>
    </row>
    <row r="20160" spans="14:14" x14ac:dyDescent="0.35">
      <c r="N20160" s="676"/>
    </row>
    <row r="20161" spans="14:14" x14ac:dyDescent="0.35">
      <c r="N20161" s="676"/>
    </row>
    <row r="20162" spans="14:14" x14ac:dyDescent="0.35">
      <c r="N20162" s="676"/>
    </row>
    <row r="20163" spans="14:14" x14ac:dyDescent="0.35">
      <c r="N20163" s="676"/>
    </row>
    <row r="20164" spans="14:14" x14ac:dyDescent="0.35">
      <c r="N20164" s="676"/>
    </row>
    <row r="20165" spans="14:14" x14ac:dyDescent="0.35">
      <c r="N20165" s="676"/>
    </row>
    <row r="20166" spans="14:14" x14ac:dyDescent="0.35">
      <c r="N20166" s="676"/>
    </row>
    <row r="20167" spans="14:14" x14ac:dyDescent="0.35">
      <c r="N20167" s="676"/>
    </row>
    <row r="20168" spans="14:14" x14ac:dyDescent="0.35">
      <c r="N20168" s="676"/>
    </row>
    <row r="20169" spans="14:14" x14ac:dyDescent="0.35">
      <c r="N20169" s="676"/>
    </row>
    <row r="20170" spans="14:14" x14ac:dyDescent="0.35">
      <c r="N20170" s="676"/>
    </row>
    <row r="20171" spans="14:14" x14ac:dyDescent="0.35">
      <c r="N20171" s="676"/>
    </row>
    <row r="20172" spans="14:14" x14ac:dyDescent="0.35">
      <c r="N20172" s="676"/>
    </row>
    <row r="20173" spans="14:14" x14ac:dyDescent="0.35">
      <c r="N20173" s="676"/>
    </row>
    <row r="20174" spans="14:14" x14ac:dyDescent="0.35">
      <c r="N20174" s="676"/>
    </row>
    <row r="20175" spans="14:14" x14ac:dyDescent="0.35">
      <c r="N20175" s="676"/>
    </row>
    <row r="20176" spans="14:14" x14ac:dyDescent="0.35">
      <c r="N20176" s="676"/>
    </row>
    <row r="20177" spans="14:14" x14ac:dyDescent="0.35">
      <c r="N20177" s="676"/>
    </row>
    <row r="20178" spans="14:14" x14ac:dyDescent="0.35">
      <c r="N20178" s="676"/>
    </row>
    <row r="20179" spans="14:14" x14ac:dyDescent="0.35">
      <c r="N20179" s="676"/>
    </row>
    <row r="20180" spans="14:14" x14ac:dyDescent="0.35">
      <c r="N20180" s="676"/>
    </row>
    <row r="20181" spans="14:14" x14ac:dyDescent="0.35">
      <c r="N20181" s="676"/>
    </row>
    <row r="20182" spans="14:14" x14ac:dyDescent="0.35">
      <c r="N20182" s="676"/>
    </row>
    <row r="20183" spans="14:14" x14ac:dyDescent="0.35">
      <c r="N20183" s="676"/>
    </row>
    <row r="20184" spans="14:14" x14ac:dyDescent="0.35">
      <c r="N20184" s="676"/>
    </row>
    <row r="20185" spans="14:14" x14ac:dyDescent="0.35">
      <c r="N20185" s="676"/>
    </row>
    <row r="20186" spans="14:14" x14ac:dyDescent="0.35">
      <c r="N20186" s="676"/>
    </row>
    <row r="20187" spans="14:14" x14ac:dyDescent="0.35">
      <c r="N20187" s="676"/>
    </row>
    <row r="20188" spans="14:14" x14ac:dyDescent="0.35">
      <c r="N20188" s="676"/>
    </row>
    <row r="20189" spans="14:14" x14ac:dyDescent="0.35">
      <c r="N20189" s="676"/>
    </row>
    <row r="20190" spans="14:14" x14ac:dyDescent="0.35">
      <c r="N20190" s="676"/>
    </row>
    <row r="20191" spans="14:14" x14ac:dyDescent="0.35">
      <c r="N20191" s="676"/>
    </row>
    <row r="20192" spans="14:14" x14ac:dyDescent="0.35">
      <c r="N20192" s="676"/>
    </row>
    <row r="20193" spans="14:14" x14ac:dyDescent="0.35">
      <c r="N20193" s="676"/>
    </row>
    <row r="20194" spans="14:14" x14ac:dyDescent="0.35">
      <c r="N20194" s="676"/>
    </row>
    <row r="20195" spans="14:14" x14ac:dyDescent="0.35">
      <c r="N20195" s="676"/>
    </row>
    <row r="20196" spans="14:14" x14ac:dyDescent="0.35">
      <c r="N20196" s="676"/>
    </row>
    <row r="20197" spans="14:14" x14ac:dyDescent="0.35">
      <c r="N20197" s="676"/>
    </row>
    <row r="20198" spans="14:14" x14ac:dyDescent="0.35">
      <c r="N20198" s="676"/>
    </row>
    <row r="20199" spans="14:14" x14ac:dyDescent="0.35">
      <c r="N20199" s="676"/>
    </row>
    <row r="20200" spans="14:14" x14ac:dyDescent="0.35">
      <c r="N20200" s="676"/>
    </row>
    <row r="20201" spans="14:14" x14ac:dyDescent="0.35">
      <c r="N20201" s="676"/>
    </row>
    <row r="20202" spans="14:14" x14ac:dyDescent="0.35">
      <c r="N20202" s="676"/>
    </row>
    <row r="20203" spans="14:14" x14ac:dyDescent="0.35">
      <c r="N20203" s="676"/>
    </row>
    <row r="20204" spans="14:14" x14ac:dyDescent="0.35">
      <c r="N20204" s="676"/>
    </row>
    <row r="20205" spans="14:14" x14ac:dyDescent="0.35">
      <c r="N20205" s="676"/>
    </row>
    <row r="20206" spans="14:14" x14ac:dyDescent="0.35">
      <c r="N20206" s="676"/>
    </row>
    <row r="20207" spans="14:14" x14ac:dyDescent="0.35">
      <c r="N20207" s="676"/>
    </row>
    <row r="20208" spans="14:14" x14ac:dyDescent="0.35">
      <c r="N20208" s="676"/>
    </row>
    <row r="20209" spans="14:14" x14ac:dyDescent="0.35">
      <c r="N20209" s="676"/>
    </row>
    <row r="20210" spans="14:14" x14ac:dyDescent="0.35">
      <c r="N20210" s="676"/>
    </row>
    <row r="20211" spans="14:14" x14ac:dyDescent="0.35">
      <c r="N20211" s="676"/>
    </row>
    <row r="20212" spans="14:14" x14ac:dyDescent="0.35">
      <c r="N20212" s="676"/>
    </row>
    <row r="20213" spans="14:14" x14ac:dyDescent="0.35">
      <c r="N20213" s="676"/>
    </row>
    <row r="20214" spans="14:14" x14ac:dyDescent="0.35">
      <c r="N20214" s="676"/>
    </row>
    <row r="20215" spans="14:14" x14ac:dyDescent="0.35">
      <c r="N20215" s="676"/>
    </row>
    <row r="20216" spans="14:14" x14ac:dyDescent="0.35">
      <c r="N20216" s="676"/>
    </row>
    <row r="20217" spans="14:14" x14ac:dyDescent="0.35">
      <c r="N20217" s="676"/>
    </row>
    <row r="20218" spans="14:14" x14ac:dyDescent="0.35">
      <c r="N20218" s="676"/>
    </row>
    <row r="20219" spans="14:14" x14ac:dyDescent="0.35">
      <c r="N20219" s="676"/>
    </row>
    <row r="20220" spans="14:14" x14ac:dyDescent="0.35">
      <c r="N20220" s="676"/>
    </row>
    <row r="20221" spans="14:14" x14ac:dyDescent="0.35">
      <c r="N20221" s="676"/>
    </row>
    <row r="20222" spans="14:14" x14ac:dyDescent="0.35">
      <c r="N20222" s="676"/>
    </row>
    <row r="20223" spans="14:14" x14ac:dyDescent="0.35">
      <c r="N20223" s="676"/>
    </row>
    <row r="20224" spans="14:14" x14ac:dyDescent="0.35">
      <c r="N20224" s="676"/>
    </row>
    <row r="20225" spans="14:14" x14ac:dyDescent="0.35">
      <c r="N20225" s="676"/>
    </row>
    <row r="20226" spans="14:14" x14ac:dyDescent="0.35">
      <c r="N20226" s="676"/>
    </row>
    <row r="20227" spans="14:14" x14ac:dyDescent="0.35">
      <c r="N20227" s="676"/>
    </row>
    <row r="20228" spans="14:14" x14ac:dyDescent="0.35">
      <c r="N20228" s="676"/>
    </row>
    <row r="20229" spans="14:14" x14ac:dyDescent="0.35">
      <c r="N20229" s="676"/>
    </row>
    <row r="20230" spans="14:14" x14ac:dyDescent="0.35">
      <c r="N20230" s="676"/>
    </row>
    <row r="20231" spans="14:14" x14ac:dyDescent="0.35">
      <c r="N20231" s="676"/>
    </row>
    <row r="20232" spans="14:14" x14ac:dyDescent="0.35">
      <c r="N20232" s="676"/>
    </row>
    <row r="20233" spans="14:14" x14ac:dyDescent="0.35">
      <c r="N20233" s="676"/>
    </row>
    <row r="20234" spans="14:14" x14ac:dyDescent="0.35">
      <c r="N20234" s="676"/>
    </row>
    <row r="20235" spans="14:14" x14ac:dyDescent="0.35">
      <c r="N20235" s="676"/>
    </row>
    <row r="20236" spans="14:14" x14ac:dyDescent="0.35">
      <c r="N20236" s="676"/>
    </row>
    <row r="20237" spans="14:14" x14ac:dyDescent="0.35">
      <c r="N20237" s="676"/>
    </row>
    <row r="20238" spans="14:14" x14ac:dyDescent="0.35">
      <c r="N20238" s="676"/>
    </row>
    <row r="20239" spans="14:14" x14ac:dyDescent="0.35">
      <c r="N20239" s="676"/>
    </row>
    <row r="20240" spans="14:14" x14ac:dyDescent="0.35">
      <c r="N20240" s="676"/>
    </row>
    <row r="20241" spans="14:14" x14ac:dyDescent="0.35">
      <c r="N20241" s="676"/>
    </row>
    <row r="20242" spans="14:14" x14ac:dyDescent="0.35">
      <c r="N20242" s="676"/>
    </row>
    <row r="20243" spans="14:14" x14ac:dyDescent="0.35">
      <c r="N20243" s="676"/>
    </row>
    <row r="20244" spans="14:14" x14ac:dyDescent="0.35">
      <c r="N20244" s="676"/>
    </row>
    <row r="20245" spans="14:14" x14ac:dyDescent="0.35">
      <c r="N20245" s="676"/>
    </row>
    <row r="20246" spans="14:14" x14ac:dyDescent="0.35">
      <c r="N20246" s="676"/>
    </row>
    <row r="20247" spans="14:14" x14ac:dyDescent="0.35">
      <c r="N20247" s="676"/>
    </row>
    <row r="20248" spans="14:14" x14ac:dyDescent="0.35">
      <c r="N20248" s="676"/>
    </row>
    <row r="20249" spans="14:14" x14ac:dyDescent="0.35">
      <c r="N20249" s="676"/>
    </row>
    <row r="20250" spans="14:14" x14ac:dyDescent="0.35">
      <c r="N20250" s="676"/>
    </row>
    <row r="20251" spans="14:14" x14ac:dyDescent="0.35">
      <c r="N20251" s="676"/>
    </row>
    <row r="20252" spans="14:14" x14ac:dyDescent="0.35">
      <c r="N20252" s="676"/>
    </row>
    <row r="20253" spans="14:14" x14ac:dyDescent="0.35">
      <c r="N20253" s="676"/>
    </row>
    <row r="20254" spans="14:14" x14ac:dyDescent="0.35">
      <c r="N20254" s="676"/>
    </row>
    <row r="20255" spans="14:14" x14ac:dyDescent="0.35">
      <c r="N20255" s="676"/>
    </row>
    <row r="20256" spans="14:14" x14ac:dyDescent="0.35">
      <c r="N20256" s="676"/>
    </row>
    <row r="20257" spans="14:14" x14ac:dyDescent="0.35">
      <c r="N20257" s="676"/>
    </row>
    <row r="20258" spans="14:14" x14ac:dyDescent="0.35">
      <c r="N20258" s="676"/>
    </row>
    <row r="20259" spans="14:14" x14ac:dyDescent="0.35">
      <c r="N20259" s="676"/>
    </row>
    <row r="20260" spans="14:14" x14ac:dyDescent="0.35">
      <c r="N20260" s="676"/>
    </row>
    <row r="20261" spans="14:14" x14ac:dyDescent="0.35">
      <c r="N20261" s="676"/>
    </row>
    <row r="20262" spans="14:14" x14ac:dyDescent="0.35">
      <c r="N20262" s="676"/>
    </row>
    <row r="20263" spans="14:14" x14ac:dyDescent="0.35">
      <c r="N20263" s="676"/>
    </row>
    <row r="20264" spans="14:14" x14ac:dyDescent="0.35">
      <c r="N20264" s="676"/>
    </row>
    <row r="20265" spans="14:14" x14ac:dyDescent="0.35">
      <c r="N20265" s="676"/>
    </row>
    <row r="20266" spans="14:14" x14ac:dyDescent="0.35">
      <c r="N20266" s="676"/>
    </row>
    <row r="20267" spans="14:14" x14ac:dyDescent="0.35">
      <c r="N20267" s="676"/>
    </row>
    <row r="20268" spans="14:14" x14ac:dyDescent="0.35">
      <c r="N20268" s="676"/>
    </row>
    <row r="20269" spans="14:14" x14ac:dyDescent="0.35">
      <c r="N20269" s="676"/>
    </row>
    <row r="20270" spans="14:14" x14ac:dyDescent="0.35">
      <c r="N20270" s="676"/>
    </row>
    <row r="20271" spans="14:14" x14ac:dyDescent="0.35">
      <c r="N20271" s="676"/>
    </row>
    <row r="20272" spans="14:14" x14ac:dyDescent="0.35">
      <c r="N20272" s="676"/>
    </row>
    <row r="20273" spans="14:14" x14ac:dyDescent="0.35">
      <c r="N20273" s="676"/>
    </row>
    <row r="20274" spans="14:14" x14ac:dyDescent="0.35">
      <c r="N20274" s="676"/>
    </row>
    <row r="20275" spans="14:14" x14ac:dyDescent="0.35">
      <c r="N20275" s="676"/>
    </row>
    <row r="20276" spans="14:14" x14ac:dyDescent="0.35">
      <c r="N20276" s="676"/>
    </row>
    <row r="20277" spans="14:14" x14ac:dyDescent="0.35">
      <c r="N20277" s="676"/>
    </row>
    <row r="20278" spans="14:14" x14ac:dyDescent="0.35">
      <c r="N20278" s="676"/>
    </row>
    <row r="20279" spans="14:14" x14ac:dyDescent="0.35">
      <c r="N20279" s="676"/>
    </row>
    <row r="20280" spans="14:14" x14ac:dyDescent="0.35">
      <c r="N20280" s="676"/>
    </row>
    <row r="20281" spans="14:14" x14ac:dyDescent="0.35">
      <c r="N20281" s="676"/>
    </row>
    <row r="20282" spans="14:14" x14ac:dyDescent="0.35">
      <c r="N20282" s="676"/>
    </row>
    <row r="20283" spans="14:14" x14ac:dyDescent="0.35">
      <c r="N20283" s="676"/>
    </row>
    <row r="20284" spans="14:14" x14ac:dyDescent="0.35">
      <c r="N20284" s="676"/>
    </row>
    <row r="20285" spans="14:14" x14ac:dyDescent="0.35">
      <c r="N20285" s="676"/>
    </row>
    <row r="20286" spans="14:14" x14ac:dyDescent="0.35">
      <c r="N20286" s="676"/>
    </row>
    <row r="20287" spans="14:14" x14ac:dyDescent="0.35">
      <c r="N20287" s="676"/>
    </row>
    <row r="20288" spans="14:14" x14ac:dyDescent="0.35">
      <c r="N20288" s="676"/>
    </row>
    <row r="20289" spans="14:14" x14ac:dyDescent="0.35">
      <c r="N20289" s="676"/>
    </row>
    <row r="20290" spans="14:14" x14ac:dyDescent="0.35">
      <c r="N20290" s="676"/>
    </row>
    <row r="20291" spans="14:14" x14ac:dyDescent="0.35">
      <c r="N20291" s="676"/>
    </row>
    <row r="20292" spans="14:14" x14ac:dyDescent="0.35">
      <c r="N20292" s="676"/>
    </row>
    <row r="20293" spans="14:14" x14ac:dyDescent="0.35">
      <c r="N20293" s="676"/>
    </row>
    <row r="20294" spans="14:14" x14ac:dyDescent="0.35">
      <c r="N20294" s="676"/>
    </row>
    <row r="20295" spans="14:14" x14ac:dyDescent="0.35">
      <c r="N20295" s="676"/>
    </row>
    <row r="20296" spans="14:14" x14ac:dyDescent="0.35">
      <c r="N20296" s="676"/>
    </row>
    <row r="20297" spans="14:14" x14ac:dyDescent="0.35">
      <c r="N20297" s="676"/>
    </row>
    <row r="20298" spans="14:14" x14ac:dyDescent="0.35">
      <c r="N20298" s="676"/>
    </row>
    <row r="20299" spans="14:14" x14ac:dyDescent="0.35">
      <c r="N20299" s="676"/>
    </row>
    <row r="20300" spans="14:14" x14ac:dyDescent="0.35">
      <c r="N20300" s="676"/>
    </row>
    <row r="20301" spans="14:14" x14ac:dyDescent="0.35">
      <c r="N20301" s="676"/>
    </row>
    <row r="20302" spans="14:14" x14ac:dyDescent="0.35">
      <c r="N20302" s="676"/>
    </row>
    <row r="20303" spans="14:14" x14ac:dyDescent="0.35">
      <c r="N20303" s="676"/>
    </row>
    <row r="20304" spans="14:14" x14ac:dyDescent="0.35">
      <c r="N20304" s="676"/>
    </row>
    <row r="20305" spans="14:14" x14ac:dyDescent="0.35">
      <c r="N20305" s="676"/>
    </row>
    <row r="20306" spans="14:14" x14ac:dyDescent="0.35">
      <c r="N20306" s="676"/>
    </row>
    <row r="20307" spans="14:14" x14ac:dyDescent="0.35">
      <c r="N20307" s="676"/>
    </row>
    <row r="20308" spans="14:14" x14ac:dyDescent="0.35">
      <c r="N20308" s="676"/>
    </row>
    <row r="20309" spans="14:14" x14ac:dyDescent="0.35">
      <c r="N20309" s="676"/>
    </row>
    <row r="20310" spans="14:14" x14ac:dyDescent="0.35">
      <c r="N20310" s="676"/>
    </row>
    <row r="20311" spans="14:14" x14ac:dyDescent="0.35">
      <c r="N20311" s="676"/>
    </row>
    <row r="20312" spans="14:14" x14ac:dyDescent="0.35">
      <c r="N20312" s="676"/>
    </row>
    <row r="20313" spans="14:14" x14ac:dyDescent="0.35">
      <c r="N20313" s="676"/>
    </row>
    <row r="20314" spans="14:14" x14ac:dyDescent="0.35">
      <c r="N20314" s="676"/>
    </row>
    <row r="20315" spans="14:14" x14ac:dyDescent="0.35">
      <c r="N20315" s="676"/>
    </row>
    <row r="20316" spans="14:14" x14ac:dyDescent="0.35">
      <c r="N20316" s="676"/>
    </row>
    <row r="20317" spans="14:14" x14ac:dyDescent="0.35">
      <c r="N20317" s="676"/>
    </row>
    <row r="20318" spans="14:14" x14ac:dyDescent="0.35">
      <c r="N20318" s="676"/>
    </row>
    <row r="20319" spans="14:14" x14ac:dyDescent="0.35">
      <c r="N20319" s="676"/>
    </row>
    <row r="20320" spans="14:14" x14ac:dyDescent="0.35">
      <c r="N20320" s="676"/>
    </row>
    <row r="20321" spans="14:14" x14ac:dyDescent="0.35">
      <c r="N20321" s="676"/>
    </row>
    <row r="20322" spans="14:14" x14ac:dyDescent="0.35">
      <c r="N20322" s="676"/>
    </row>
    <row r="20323" spans="14:14" x14ac:dyDescent="0.35">
      <c r="N20323" s="676"/>
    </row>
    <row r="20324" spans="14:14" x14ac:dyDescent="0.35">
      <c r="N20324" s="676"/>
    </row>
    <row r="20325" spans="14:14" x14ac:dyDescent="0.35">
      <c r="N20325" s="676"/>
    </row>
    <row r="20326" spans="14:14" x14ac:dyDescent="0.35">
      <c r="N20326" s="676"/>
    </row>
    <row r="20327" spans="14:14" x14ac:dyDescent="0.35">
      <c r="N20327" s="676"/>
    </row>
    <row r="20328" spans="14:14" x14ac:dyDescent="0.35">
      <c r="N20328" s="676"/>
    </row>
    <row r="20329" spans="14:14" x14ac:dyDescent="0.35">
      <c r="N20329" s="676"/>
    </row>
    <row r="20330" spans="14:14" x14ac:dyDescent="0.35">
      <c r="N20330" s="676"/>
    </row>
    <row r="20331" spans="14:14" x14ac:dyDescent="0.35">
      <c r="N20331" s="676"/>
    </row>
    <row r="20332" spans="14:14" x14ac:dyDescent="0.35">
      <c r="N20332" s="676"/>
    </row>
    <row r="20333" spans="14:14" x14ac:dyDescent="0.35">
      <c r="N20333" s="676"/>
    </row>
    <row r="20334" spans="14:14" x14ac:dyDescent="0.35">
      <c r="N20334" s="676"/>
    </row>
    <row r="20335" spans="14:14" x14ac:dyDescent="0.35">
      <c r="N20335" s="676"/>
    </row>
    <row r="20336" spans="14:14" x14ac:dyDescent="0.35">
      <c r="N20336" s="676"/>
    </row>
    <row r="20337" spans="14:14" x14ac:dyDescent="0.35">
      <c r="N20337" s="676"/>
    </row>
    <row r="20338" spans="14:14" x14ac:dyDescent="0.35">
      <c r="N20338" s="676"/>
    </row>
    <row r="20339" spans="14:14" x14ac:dyDescent="0.35">
      <c r="N20339" s="676"/>
    </row>
    <row r="20340" spans="14:14" x14ac:dyDescent="0.35">
      <c r="N20340" s="676"/>
    </row>
    <row r="20341" spans="14:14" x14ac:dyDescent="0.35">
      <c r="N20341" s="676"/>
    </row>
    <row r="20342" spans="14:14" x14ac:dyDescent="0.35">
      <c r="N20342" s="676"/>
    </row>
    <row r="20343" spans="14:14" x14ac:dyDescent="0.35">
      <c r="N20343" s="676"/>
    </row>
    <row r="20344" spans="14:14" x14ac:dyDescent="0.35">
      <c r="N20344" s="676"/>
    </row>
    <row r="20345" spans="14:14" x14ac:dyDescent="0.35">
      <c r="N20345" s="676"/>
    </row>
    <row r="20346" spans="14:14" x14ac:dyDescent="0.35">
      <c r="N20346" s="676"/>
    </row>
    <row r="20347" spans="14:14" x14ac:dyDescent="0.35">
      <c r="N20347" s="676"/>
    </row>
    <row r="20348" spans="14:14" x14ac:dyDescent="0.35">
      <c r="N20348" s="676"/>
    </row>
    <row r="20349" spans="14:14" x14ac:dyDescent="0.35">
      <c r="N20349" s="676"/>
    </row>
    <row r="20350" spans="14:14" x14ac:dyDescent="0.35">
      <c r="N20350" s="676"/>
    </row>
    <row r="20351" spans="14:14" x14ac:dyDescent="0.35">
      <c r="N20351" s="676"/>
    </row>
    <row r="20352" spans="14:14" x14ac:dyDescent="0.35">
      <c r="N20352" s="676"/>
    </row>
    <row r="20353" spans="14:14" x14ac:dyDescent="0.35">
      <c r="N20353" s="676"/>
    </row>
    <row r="20354" spans="14:14" x14ac:dyDescent="0.35">
      <c r="N20354" s="676"/>
    </row>
    <row r="20355" spans="14:14" x14ac:dyDescent="0.35">
      <c r="N20355" s="676"/>
    </row>
    <row r="20356" spans="14:14" x14ac:dyDescent="0.35">
      <c r="N20356" s="676"/>
    </row>
    <row r="20357" spans="14:14" x14ac:dyDescent="0.35">
      <c r="N20357" s="676"/>
    </row>
    <row r="20358" spans="14:14" x14ac:dyDescent="0.35">
      <c r="N20358" s="676"/>
    </row>
    <row r="20359" spans="14:14" x14ac:dyDescent="0.35">
      <c r="N20359" s="676"/>
    </row>
    <row r="20360" spans="14:14" x14ac:dyDescent="0.35">
      <c r="N20360" s="676"/>
    </row>
    <row r="20361" spans="14:14" x14ac:dyDescent="0.35">
      <c r="N20361" s="676"/>
    </row>
    <row r="20362" spans="14:14" x14ac:dyDescent="0.35">
      <c r="N20362" s="676"/>
    </row>
    <row r="20363" spans="14:14" x14ac:dyDescent="0.35">
      <c r="N20363" s="676"/>
    </row>
    <row r="20364" spans="14:14" x14ac:dyDescent="0.35">
      <c r="N20364" s="676"/>
    </row>
    <row r="20365" spans="14:14" x14ac:dyDescent="0.35">
      <c r="N20365" s="676"/>
    </row>
    <row r="20366" spans="14:14" x14ac:dyDescent="0.35">
      <c r="N20366" s="676"/>
    </row>
    <row r="20367" spans="14:14" x14ac:dyDescent="0.35">
      <c r="N20367" s="676"/>
    </row>
    <row r="20368" spans="14:14" x14ac:dyDescent="0.35">
      <c r="N20368" s="676"/>
    </row>
    <row r="20369" spans="14:14" x14ac:dyDescent="0.35">
      <c r="N20369" s="676"/>
    </row>
    <row r="20370" spans="14:14" x14ac:dyDescent="0.35">
      <c r="N20370" s="676"/>
    </row>
    <row r="20371" spans="14:14" x14ac:dyDescent="0.35">
      <c r="N20371" s="676"/>
    </row>
    <row r="20372" spans="14:14" x14ac:dyDescent="0.35">
      <c r="N20372" s="676"/>
    </row>
    <row r="20373" spans="14:14" x14ac:dyDescent="0.35">
      <c r="N20373" s="676"/>
    </row>
    <row r="20374" spans="14:14" x14ac:dyDescent="0.35">
      <c r="N20374" s="676"/>
    </row>
    <row r="20375" spans="14:14" x14ac:dyDescent="0.35">
      <c r="N20375" s="676"/>
    </row>
    <row r="20376" spans="14:14" x14ac:dyDescent="0.35">
      <c r="N20376" s="676"/>
    </row>
    <row r="20377" spans="14:14" x14ac:dyDescent="0.35">
      <c r="N20377" s="676"/>
    </row>
    <row r="20378" spans="14:14" x14ac:dyDescent="0.35">
      <c r="N20378" s="676"/>
    </row>
    <row r="20379" spans="14:14" x14ac:dyDescent="0.35">
      <c r="N20379" s="676"/>
    </row>
    <row r="20380" spans="14:14" x14ac:dyDescent="0.35">
      <c r="N20380" s="676"/>
    </row>
    <row r="20381" spans="14:14" x14ac:dyDescent="0.35">
      <c r="N20381" s="676"/>
    </row>
    <row r="20382" spans="14:14" x14ac:dyDescent="0.35">
      <c r="N20382" s="676"/>
    </row>
    <row r="20383" spans="14:14" x14ac:dyDescent="0.35">
      <c r="N20383" s="676"/>
    </row>
    <row r="20384" spans="14:14" x14ac:dyDescent="0.35">
      <c r="N20384" s="676"/>
    </row>
    <row r="20385" spans="14:14" x14ac:dyDescent="0.35">
      <c r="N20385" s="676"/>
    </row>
    <row r="20386" spans="14:14" x14ac:dyDescent="0.35">
      <c r="N20386" s="676"/>
    </row>
    <row r="20387" spans="14:14" x14ac:dyDescent="0.35">
      <c r="N20387" s="676"/>
    </row>
    <row r="20388" spans="14:14" x14ac:dyDescent="0.35">
      <c r="N20388" s="676"/>
    </row>
    <row r="20389" spans="14:14" x14ac:dyDescent="0.35">
      <c r="N20389" s="676"/>
    </row>
    <row r="20390" spans="14:14" x14ac:dyDescent="0.35">
      <c r="N20390" s="676"/>
    </row>
    <row r="20391" spans="14:14" x14ac:dyDescent="0.35">
      <c r="N20391" s="676"/>
    </row>
    <row r="20392" spans="14:14" x14ac:dyDescent="0.35">
      <c r="N20392" s="676"/>
    </row>
    <row r="20393" spans="14:14" x14ac:dyDescent="0.35">
      <c r="N20393" s="676"/>
    </row>
    <row r="20394" spans="14:14" x14ac:dyDescent="0.35">
      <c r="N20394" s="676"/>
    </row>
    <row r="20395" spans="14:14" x14ac:dyDescent="0.35">
      <c r="N20395" s="676"/>
    </row>
    <row r="20396" spans="14:14" x14ac:dyDescent="0.35">
      <c r="N20396" s="676"/>
    </row>
    <row r="20397" spans="14:14" x14ac:dyDescent="0.35">
      <c r="N20397" s="676"/>
    </row>
    <row r="20398" spans="14:14" x14ac:dyDescent="0.35">
      <c r="N20398" s="676"/>
    </row>
    <row r="20399" spans="14:14" x14ac:dyDescent="0.35">
      <c r="N20399" s="676"/>
    </row>
    <row r="20400" spans="14:14" x14ac:dyDescent="0.35">
      <c r="N20400" s="676"/>
    </row>
    <row r="20401" spans="14:14" x14ac:dyDescent="0.35">
      <c r="N20401" s="676"/>
    </row>
    <row r="20402" spans="14:14" x14ac:dyDescent="0.35">
      <c r="N20402" s="676"/>
    </row>
    <row r="20403" spans="14:14" x14ac:dyDescent="0.35">
      <c r="N20403" s="676"/>
    </row>
    <row r="20404" spans="14:14" x14ac:dyDescent="0.35">
      <c r="N20404" s="676"/>
    </row>
    <row r="20405" spans="14:14" x14ac:dyDescent="0.35">
      <c r="N20405" s="676"/>
    </row>
    <row r="20406" spans="14:14" x14ac:dyDescent="0.35">
      <c r="N20406" s="676"/>
    </row>
    <row r="20407" spans="14:14" x14ac:dyDescent="0.35">
      <c r="N20407" s="676"/>
    </row>
    <row r="20408" spans="14:14" x14ac:dyDescent="0.35">
      <c r="N20408" s="676"/>
    </row>
    <row r="20409" spans="14:14" x14ac:dyDescent="0.35">
      <c r="N20409" s="676"/>
    </row>
    <row r="20410" spans="14:14" x14ac:dyDescent="0.35">
      <c r="N20410" s="676"/>
    </row>
    <row r="20411" spans="14:14" x14ac:dyDescent="0.35">
      <c r="N20411" s="676"/>
    </row>
    <row r="20412" spans="14:14" x14ac:dyDescent="0.35">
      <c r="N20412" s="676"/>
    </row>
    <row r="20413" spans="14:14" x14ac:dyDescent="0.35">
      <c r="N20413" s="676"/>
    </row>
    <row r="20414" spans="14:14" x14ac:dyDescent="0.35">
      <c r="N20414" s="676"/>
    </row>
    <row r="20415" spans="14:14" x14ac:dyDescent="0.35">
      <c r="N20415" s="676"/>
    </row>
    <row r="20416" spans="14:14" x14ac:dyDescent="0.35">
      <c r="N20416" s="676"/>
    </row>
    <row r="20417" spans="14:14" x14ac:dyDescent="0.35">
      <c r="N20417" s="676"/>
    </row>
    <row r="20418" spans="14:14" x14ac:dyDescent="0.35">
      <c r="N20418" s="676"/>
    </row>
    <row r="20419" spans="14:14" x14ac:dyDescent="0.35">
      <c r="N20419" s="676"/>
    </row>
    <row r="20420" spans="14:14" x14ac:dyDescent="0.35">
      <c r="N20420" s="676"/>
    </row>
    <row r="20421" spans="14:14" x14ac:dyDescent="0.35">
      <c r="N20421" s="676"/>
    </row>
    <row r="20422" spans="14:14" x14ac:dyDescent="0.35">
      <c r="N20422" s="676"/>
    </row>
    <row r="20423" spans="14:14" x14ac:dyDescent="0.35">
      <c r="N20423" s="676"/>
    </row>
    <row r="20424" spans="14:14" x14ac:dyDescent="0.35">
      <c r="N20424" s="676"/>
    </row>
    <row r="20425" spans="14:14" x14ac:dyDescent="0.35">
      <c r="N20425" s="676"/>
    </row>
    <row r="20426" spans="14:14" x14ac:dyDescent="0.35">
      <c r="N20426" s="676"/>
    </row>
    <row r="20427" spans="14:14" x14ac:dyDescent="0.35">
      <c r="N20427" s="676"/>
    </row>
    <row r="20428" spans="14:14" x14ac:dyDescent="0.35">
      <c r="N20428" s="676"/>
    </row>
    <row r="20429" spans="14:14" x14ac:dyDescent="0.35">
      <c r="N20429" s="676"/>
    </row>
    <row r="20430" spans="14:14" x14ac:dyDescent="0.35">
      <c r="N20430" s="676"/>
    </row>
    <row r="20431" spans="14:14" x14ac:dyDescent="0.35">
      <c r="N20431" s="676"/>
    </row>
    <row r="20432" spans="14:14" x14ac:dyDescent="0.35">
      <c r="N20432" s="676"/>
    </row>
    <row r="20433" spans="14:14" x14ac:dyDescent="0.35">
      <c r="N20433" s="676"/>
    </row>
    <row r="20434" spans="14:14" x14ac:dyDescent="0.35">
      <c r="N20434" s="676"/>
    </row>
    <row r="20435" spans="14:14" x14ac:dyDescent="0.35">
      <c r="N20435" s="676"/>
    </row>
    <row r="20436" spans="14:14" x14ac:dyDescent="0.35">
      <c r="N20436" s="676"/>
    </row>
    <row r="20437" spans="14:14" x14ac:dyDescent="0.35">
      <c r="N20437" s="676"/>
    </row>
    <row r="20438" spans="14:14" x14ac:dyDescent="0.35">
      <c r="N20438" s="676"/>
    </row>
    <row r="20439" spans="14:14" x14ac:dyDescent="0.35">
      <c r="N20439" s="676"/>
    </row>
    <row r="20440" spans="14:14" x14ac:dyDescent="0.35">
      <c r="N20440" s="676"/>
    </row>
    <row r="20441" spans="14:14" x14ac:dyDescent="0.35">
      <c r="N20441" s="676"/>
    </row>
    <row r="20442" spans="14:14" x14ac:dyDescent="0.35">
      <c r="N20442" s="676"/>
    </row>
    <row r="20443" spans="14:14" x14ac:dyDescent="0.35">
      <c r="N20443" s="676"/>
    </row>
    <row r="20444" spans="14:14" x14ac:dyDescent="0.35">
      <c r="N20444" s="676"/>
    </row>
    <row r="20445" spans="14:14" x14ac:dyDescent="0.35">
      <c r="N20445" s="676"/>
    </row>
    <row r="20446" spans="14:14" x14ac:dyDescent="0.35">
      <c r="N20446" s="676"/>
    </row>
    <row r="20447" spans="14:14" x14ac:dyDescent="0.35">
      <c r="N20447" s="676"/>
    </row>
    <row r="20448" spans="14:14" x14ac:dyDescent="0.35">
      <c r="N20448" s="676"/>
    </row>
    <row r="20449" spans="14:14" x14ac:dyDescent="0.35">
      <c r="N20449" s="676"/>
    </row>
    <row r="20450" spans="14:14" x14ac:dyDescent="0.35">
      <c r="N20450" s="676"/>
    </row>
    <row r="20451" spans="14:14" x14ac:dyDescent="0.35">
      <c r="N20451" s="676"/>
    </row>
    <row r="20452" spans="14:14" x14ac:dyDescent="0.35">
      <c r="N20452" s="676"/>
    </row>
    <row r="20453" spans="14:14" x14ac:dyDescent="0.35">
      <c r="N20453" s="676"/>
    </row>
    <row r="20454" spans="14:14" x14ac:dyDescent="0.35">
      <c r="N20454" s="676"/>
    </row>
    <row r="20455" spans="14:14" x14ac:dyDescent="0.35">
      <c r="N20455" s="676"/>
    </row>
    <row r="20456" spans="14:14" x14ac:dyDescent="0.35">
      <c r="N20456" s="676"/>
    </row>
    <row r="20457" spans="14:14" x14ac:dyDescent="0.35">
      <c r="N20457" s="676"/>
    </row>
    <row r="20458" spans="14:14" x14ac:dyDescent="0.35">
      <c r="N20458" s="676"/>
    </row>
    <row r="20459" spans="14:14" x14ac:dyDescent="0.35">
      <c r="N20459" s="676"/>
    </row>
    <row r="20460" spans="14:14" x14ac:dyDescent="0.35">
      <c r="N20460" s="676"/>
    </row>
    <row r="20461" spans="14:14" x14ac:dyDescent="0.35">
      <c r="N20461" s="676"/>
    </row>
    <row r="20462" spans="14:14" x14ac:dyDescent="0.35">
      <c r="N20462" s="676"/>
    </row>
    <row r="20463" spans="14:14" x14ac:dyDescent="0.35">
      <c r="N20463" s="676"/>
    </row>
    <row r="20464" spans="14:14" x14ac:dyDescent="0.35">
      <c r="N20464" s="676"/>
    </row>
    <row r="20465" spans="14:14" x14ac:dyDescent="0.35">
      <c r="N20465" s="676"/>
    </row>
    <row r="20466" spans="14:14" x14ac:dyDescent="0.35">
      <c r="N20466" s="676"/>
    </row>
    <row r="20467" spans="14:14" x14ac:dyDescent="0.35">
      <c r="N20467" s="676"/>
    </row>
    <row r="20468" spans="14:14" x14ac:dyDescent="0.35">
      <c r="N20468" s="676"/>
    </row>
    <row r="20469" spans="14:14" x14ac:dyDescent="0.35">
      <c r="N20469" s="676"/>
    </row>
    <row r="20470" spans="14:14" x14ac:dyDescent="0.35">
      <c r="N20470" s="676"/>
    </row>
    <row r="20471" spans="14:14" x14ac:dyDescent="0.35">
      <c r="N20471" s="676"/>
    </row>
    <row r="20472" spans="14:14" x14ac:dyDescent="0.35">
      <c r="N20472" s="676"/>
    </row>
    <row r="20473" spans="14:14" x14ac:dyDescent="0.35">
      <c r="N20473" s="676"/>
    </row>
    <row r="20474" spans="14:14" x14ac:dyDescent="0.35">
      <c r="N20474" s="676"/>
    </row>
    <row r="20475" spans="14:14" x14ac:dyDescent="0.35">
      <c r="N20475" s="676"/>
    </row>
    <row r="20476" spans="14:14" x14ac:dyDescent="0.35">
      <c r="N20476" s="676"/>
    </row>
    <row r="20477" spans="14:14" x14ac:dyDescent="0.35">
      <c r="N20477" s="676"/>
    </row>
    <row r="20478" spans="14:14" x14ac:dyDescent="0.35">
      <c r="N20478" s="676"/>
    </row>
    <row r="20479" spans="14:14" x14ac:dyDescent="0.35">
      <c r="N20479" s="676"/>
    </row>
    <row r="20480" spans="14:14" x14ac:dyDescent="0.35">
      <c r="N20480" s="676"/>
    </row>
    <row r="20481" spans="14:14" x14ac:dyDescent="0.35">
      <c r="N20481" s="676"/>
    </row>
    <row r="20482" spans="14:14" x14ac:dyDescent="0.35">
      <c r="N20482" s="676"/>
    </row>
    <row r="20483" spans="14:14" x14ac:dyDescent="0.35">
      <c r="N20483" s="676"/>
    </row>
    <row r="20484" spans="14:14" x14ac:dyDescent="0.35">
      <c r="N20484" s="676"/>
    </row>
    <row r="20485" spans="14:14" x14ac:dyDescent="0.35">
      <c r="N20485" s="676"/>
    </row>
    <row r="20486" spans="14:14" x14ac:dyDescent="0.35">
      <c r="N20486" s="676"/>
    </row>
    <row r="20487" spans="14:14" x14ac:dyDescent="0.35">
      <c r="N20487" s="676"/>
    </row>
    <row r="20488" spans="14:14" x14ac:dyDescent="0.35">
      <c r="N20488" s="676"/>
    </row>
    <row r="20489" spans="14:14" x14ac:dyDescent="0.35">
      <c r="N20489" s="676"/>
    </row>
    <row r="20490" spans="14:14" x14ac:dyDescent="0.35">
      <c r="N20490" s="676"/>
    </row>
    <row r="20491" spans="14:14" x14ac:dyDescent="0.35">
      <c r="N20491" s="676"/>
    </row>
    <row r="20492" spans="14:14" x14ac:dyDescent="0.35">
      <c r="N20492" s="676"/>
    </row>
    <row r="20493" spans="14:14" x14ac:dyDescent="0.35">
      <c r="N20493" s="676"/>
    </row>
    <row r="20494" spans="14:14" x14ac:dyDescent="0.35">
      <c r="N20494" s="676"/>
    </row>
    <row r="20495" spans="14:14" x14ac:dyDescent="0.35">
      <c r="N20495" s="676"/>
    </row>
    <row r="20496" spans="14:14" x14ac:dyDescent="0.35">
      <c r="N20496" s="676"/>
    </row>
    <row r="20497" spans="14:14" x14ac:dyDescent="0.35">
      <c r="N20497" s="676"/>
    </row>
    <row r="20498" spans="14:14" x14ac:dyDescent="0.35">
      <c r="N20498" s="676"/>
    </row>
    <row r="20499" spans="14:14" x14ac:dyDescent="0.35">
      <c r="N20499" s="676"/>
    </row>
    <row r="20500" spans="14:14" x14ac:dyDescent="0.35">
      <c r="N20500" s="676"/>
    </row>
    <row r="20501" spans="14:14" x14ac:dyDescent="0.35">
      <c r="N20501" s="676"/>
    </row>
    <row r="20502" spans="14:14" x14ac:dyDescent="0.35">
      <c r="N20502" s="676"/>
    </row>
    <row r="20503" spans="14:14" x14ac:dyDescent="0.35">
      <c r="N20503" s="676"/>
    </row>
    <row r="20504" spans="14:14" x14ac:dyDescent="0.35">
      <c r="N20504" s="676"/>
    </row>
    <row r="20505" spans="14:14" x14ac:dyDescent="0.35">
      <c r="N20505" s="676"/>
    </row>
    <row r="20506" spans="14:14" x14ac:dyDescent="0.35">
      <c r="N20506" s="676"/>
    </row>
    <row r="20507" spans="14:14" x14ac:dyDescent="0.35">
      <c r="N20507" s="676"/>
    </row>
    <row r="20508" spans="14:14" x14ac:dyDescent="0.35">
      <c r="N20508" s="676"/>
    </row>
    <row r="20509" spans="14:14" x14ac:dyDescent="0.35">
      <c r="N20509" s="676"/>
    </row>
    <row r="20510" spans="14:14" x14ac:dyDescent="0.35">
      <c r="N20510" s="676"/>
    </row>
    <row r="20511" spans="14:14" x14ac:dyDescent="0.35">
      <c r="N20511" s="676"/>
    </row>
    <row r="20512" spans="14:14" x14ac:dyDescent="0.35">
      <c r="N20512" s="676"/>
    </row>
    <row r="20513" spans="14:14" x14ac:dyDescent="0.35">
      <c r="N20513" s="676"/>
    </row>
    <row r="20514" spans="14:14" x14ac:dyDescent="0.35">
      <c r="N20514" s="676"/>
    </row>
    <row r="20515" spans="14:14" x14ac:dyDescent="0.35">
      <c r="N20515" s="676"/>
    </row>
    <row r="20516" spans="14:14" x14ac:dyDescent="0.35">
      <c r="N20516" s="676"/>
    </row>
    <row r="20517" spans="14:14" x14ac:dyDescent="0.35">
      <c r="N20517" s="676"/>
    </row>
    <row r="20518" spans="14:14" x14ac:dyDescent="0.35">
      <c r="N20518" s="676"/>
    </row>
    <row r="20519" spans="14:14" x14ac:dyDescent="0.35">
      <c r="N20519" s="676"/>
    </row>
    <row r="20520" spans="14:14" x14ac:dyDescent="0.35">
      <c r="N20520" s="676"/>
    </row>
    <row r="20521" spans="14:14" x14ac:dyDescent="0.35">
      <c r="N20521" s="676"/>
    </row>
    <row r="20522" spans="14:14" x14ac:dyDescent="0.35">
      <c r="N20522" s="676"/>
    </row>
    <row r="20523" spans="14:14" x14ac:dyDescent="0.35">
      <c r="N20523" s="676"/>
    </row>
    <row r="20524" spans="14:14" x14ac:dyDescent="0.35">
      <c r="N20524" s="676"/>
    </row>
    <row r="20525" spans="14:14" x14ac:dyDescent="0.35">
      <c r="N20525" s="676"/>
    </row>
    <row r="20526" spans="14:14" x14ac:dyDescent="0.35">
      <c r="N20526" s="676"/>
    </row>
    <row r="20527" spans="14:14" x14ac:dyDescent="0.35">
      <c r="N20527" s="676"/>
    </row>
    <row r="20528" spans="14:14" x14ac:dyDescent="0.35">
      <c r="N20528" s="676"/>
    </row>
    <row r="20529" spans="14:14" x14ac:dyDescent="0.35">
      <c r="N20529" s="676"/>
    </row>
    <row r="20530" spans="14:14" x14ac:dyDescent="0.35">
      <c r="N20530" s="676"/>
    </row>
    <row r="20531" spans="14:14" x14ac:dyDescent="0.35">
      <c r="N20531" s="676"/>
    </row>
    <row r="20532" spans="14:14" x14ac:dyDescent="0.35">
      <c r="N20532" s="676"/>
    </row>
    <row r="20533" spans="14:14" x14ac:dyDescent="0.35">
      <c r="N20533" s="676"/>
    </row>
    <row r="20534" spans="14:14" x14ac:dyDescent="0.35">
      <c r="N20534" s="676"/>
    </row>
    <row r="20535" spans="14:14" x14ac:dyDescent="0.35">
      <c r="N20535" s="676"/>
    </row>
    <row r="20536" spans="14:14" x14ac:dyDescent="0.35">
      <c r="N20536" s="676"/>
    </row>
    <row r="20537" spans="14:14" x14ac:dyDescent="0.35">
      <c r="N20537" s="676"/>
    </row>
    <row r="20538" spans="14:14" x14ac:dyDescent="0.35">
      <c r="N20538" s="676"/>
    </row>
    <row r="20539" spans="14:14" x14ac:dyDescent="0.35">
      <c r="N20539" s="676"/>
    </row>
    <row r="20540" spans="14:14" x14ac:dyDescent="0.35">
      <c r="N20540" s="676"/>
    </row>
    <row r="20541" spans="14:14" x14ac:dyDescent="0.35">
      <c r="N20541" s="676"/>
    </row>
    <row r="20542" spans="14:14" x14ac:dyDescent="0.35">
      <c r="N20542" s="676"/>
    </row>
    <row r="20543" spans="14:14" x14ac:dyDescent="0.35">
      <c r="N20543" s="676"/>
    </row>
    <row r="20544" spans="14:14" x14ac:dyDescent="0.35">
      <c r="N20544" s="676"/>
    </row>
    <row r="20545" spans="14:14" x14ac:dyDescent="0.35">
      <c r="N20545" s="676"/>
    </row>
    <row r="20546" spans="14:14" x14ac:dyDescent="0.35">
      <c r="N20546" s="676"/>
    </row>
    <row r="20547" spans="14:14" x14ac:dyDescent="0.35">
      <c r="N20547" s="676"/>
    </row>
    <row r="20548" spans="14:14" x14ac:dyDescent="0.35">
      <c r="N20548" s="676"/>
    </row>
    <row r="20549" spans="14:14" x14ac:dyDescent="0.35">
      <c r="N20549" s="676"/>
    </row>
    <row r="20550" spans="14:14" x14ac:dyDescent="0.35">
      <c r="N20550" s="676"/>
    </row>
    <row r="20551" spans="14:14" x14ac:dyDescent="0.35">
      <c r="N20551" s="676"/>
    </row>
    <row r="20552" spans="14:14" x14ac:dyDescent="0.35">
      <c r="N20552" s="676"/>
    </row>
    <row r="20553" spans="14:14" x14ac:dyDescent="0.35">
      <c r="N20553" s="676"/>
    </row>
    <row r="20554" spans="14:14" x14ac:dyDescent="0.35">
      <c r="N20554" s="676"/>
    </row>
    <row r="20555" spans="14:14" x14ac:dyDescent="0.35">
      <c r="N20555" s="676"/>
    </row>
    <row r="20556" spans="14:14" x14ac:dyDescent="0.35">
      <c r="N20556" s="676"/>
    </row>
    <row r="20557" spans="14:14" x14ac:dyDescent="0.35">
      <c r="N20557" s="676"/>
    </row>
    <row r="20558" spans="14:14" x14ac:dyDescent="0.35">
      <c r="N20558" s="676"/>
    </row>
    <row r="20559" spans="14:14" x14ac:dyDescent="0.35">
      <c r="N20559" s="676"/>
    </row>
    <row r="20560" spans="14:14" x14ac:dyDescent="0.35">
      <c r="N20560" s="676"/>
    </row>
    <row r="20561" spans="14:14" x14ac:dyDescent="0.35">
      <c r="N20561" s="676"/>
    </row>
    <row r="20562" spans="14:14" x14ac:dyDescent="0.35">
      <c r="N20562" s="676"/>
    </row>
    <row r="20563" spans="14:14" x14ac:dyDescent="0.35">
      <c r="N20563" s="676"/>
    </row>
    <row r="20564" spans="14:14" x14ac:dyDescent="0.35">
      <c r="N20564" s="676"/>
    </row>
    <row r="20565" spans="14:14" x14ac:dyDescent="0.35">
      <c r="N20565" s="676"/>
    </row>
    <row r="20566" spans="14:14" x14ac:dyDescent="0.35">
      <c r="N20566" s="676"/>
    </row>
    <row r="20567" spans="14:14" x14ac:dyDescent="0.35">
      <c r="N20567" s="676"/>
    </row>
    <row r="20568" spans="14:14" x14ac:dyDescent="0.35">
      <c r="N20568" s="676"/>
    </row>
    <row r="20569" spans="14:14" x14ac:dyDescent="0.35">
      <c r="N20569" s="676"/>
    </row>
    <row r="20570" spans="14:14" x14ac:dyDescent="0.35">
      <c r="N20570" s="676"/>
    </row>
    <row r="20571" spans="14:14" x14ac:dyDescent="0.35">
      <c r="N20571" s="676"/>
    </row>
    <row r="20572" spans="14:14" x14ac:dyDescent="0.35">
      <c r="N20572" s="676"/>
    </row>
    <row r="20573" spans="14:14" x14ac:dyDescent="0.35">
      <c r="N20573" s="676"/>
    </row>
    <row r="20574" spans="14:14" x14ac:dyDescent="0.35">
      <c r="N20574" s="676"/>
    </row>
    <row r="20575" spans="14:14" x14ac:dyDescent="0.35">
      <c r="N20575" s="676"/>
    </row>
    <row r="20576" spans="14:14" x14ac:dyDescent="0.35">
      <c r="N20576" s="676"/>
    </row>
    <row r="20577" spans="14:14" x14ac:dyDescent="0.35">
      <c r="N20577" s="676"/>
    </row>
    <row r="20578" spans="14:14" x14ac:dyDescent="0.35">
      <c r="N20578" s="676"/>
    </row>
    <row r="20579" spans="14:14" x14ac:dyDescent="0.35">
      <c r="N20579" s="676"/>
    </row>
    <row r="20580" spans="14:14" x14ac:dyDescent="0.35">
      <c r="N20580" s="676"/>
    </row>
    <row r="20581" spans="14:14" x14ac:dyDescent="0.35">
      <c r="N20581" s="676"/>
    </row>
    <row r="20582" spans="14:14" x14ac:dyDescent="0.35">
      <c r="N20582" s="676"/>
    </row>
    <row r="20583" spans="14:14" x14ac:dyDescent="0.35">
      <c r="N20583" s="676"/>
    </row>
    <row r="20584" spans="14:14" x14ac:dyDescent="0.35">
      <c r="N20584" s="676"/>
    </row>
    <row r="20585" spans="14:14" x14ac:dyDescent="0.35">
      <c r="N20585" s="676"/>
    </row>
    <row r="20586" spans="14:14" x14ac:dyDescent="0.35">
      <c r="N20586" s="676"/>
    </row>
    <row r="20587" spans="14:14" x14ac:dyDescent="0.35">
      <c r="N20587" s="676"/>
    </row>
    <row r="20588" spans="14:14" x14ac:dyDescent="0.35">
      <c r="N20588" s="676"/>
    </row>
    <row r="20589" spans="14:14" x14ac:dyDescent="0.35">
      <c r="N20589" s="676"/>
    </row>
    <row r="20590" spans="14:14" x14ac:dyDescent="0.35">
      <c r="N20590" s="676"/>
    </row>
    <row r="20591" spans="14:14" x14ac:dyDescent="0.35">
      <c r="N20591" s="676"/>
    </row>
    <row r="20592" spans="14:14" x14ac:dyDescent="0.35">
      <c r="N20592" s="676"/>
    </row>
    <row r="20593" spans="14:14" x14ac:dyDescent="0.35">
      <c r="N20593" s="676"/>
    </row>
    <row r="20594" spans="14:14" x14ac:dyDescent="0.35">
      <c r="N20594" s="676"/>
    </row>
    <row r="20595" spans="14:14" x14ac:dyDescent="0.35">
      <c r="N20595" s="676"/>
    </row>
    <row r="20596" spans="14:14" x14ac:dyDescent="0.35">
      <c r="N20596" s="676"/>
    </row>
    <row r="20597" spans="14:14" x14ac:dyDescent="0.35">
      <c r="N20597" s="676"/>
    </row>
    <row r="20598" spans="14:14" x14ac:dyDescent="0.35">
      <c r="N20598" s="676"/>
    </row>
    <row r="20599" spans="14:14" x14ac:dyDescent="0.35">
      <c r="N20599" s="676"/>
    </row>
    <row r="20600" spans="14:14" x14ac:dyDescent="0.35">
      <c r="N20600" s="676"/>
    </row>
    <row r="20601" spans="14:14" x14ac:dyDescent="0.35">
      <c r="N20601" s="676"/>
    </row>
    <row r="20602" spans="14:14" x14ac:dyDescent="0.35">
      <c r="N20602" s="676"/>
    </row>
    <row r="20603" spans="14:14" x14ac:dyDescent="0.35">
      <c r="N20603" s="676"/>
    </row>
    <row r="20604" spans="14:14" x14ac:dyDescent="0.35">
      <c r="N20604" s="676"/>
    </row>
    <row r="20605" spans="14:14" x14ac:dyDescent="0.35">
      <c r="N20605" s="676"/>
    </row>
    <row r="20606" spans="14:14" x14ac:dyDescent="0.35">
      <c r="N20606" s="676"/>
    </row>
    <row r="20607" spans="14:14" x14ac:dyDescent="0.35">
      <c r="N20607" s="676"/>
    </row>
    <row r="20608" spans="14:14" x14ac:dyDescent="0.35">
      <c r="N20608" s="676"/>
    </row>
    <row r="20609" spans="14:14" x14ac:dyDescent="0.35">
      <c r="N20609" s="676"/>
    </row>
    <row r="20610" spans="14:14" x14ac:dyDescent="0.35">
      <c r="N20610" s="676"/>
    </row>
    <row r="20611" spans="14:14" x14ac:dyDescent="0.35">
      <c r="N20611" s="676"/>
    </row>
    <row r="20612" spans="14:14" x14ac:dyDescent="0.35">
      <c r="N20612" s="676"/>
    </row>
    <row r="20613" spans="14:14" x14ac:dyDescent="0.35">
      <c r="N20613" s="676"/>
    </row>
    <row r="20614" spans="14:14" x14ac:dyDescent="0.35">
      <c r="N20614" s="676"/>
    </row>
    <row r="20615" spans="14:14" x14ac:dyDescent="0.35">
      <c r="N20615" s="676"/>
    </row>
    <row r="20616" spans="14:14" x14ac:dyDescent="0.35">
      <c r="N20616" s="676"/>
    </row>
    <row r="20617" spans="14:14" x14ac:dyDescent="0.35">
      <c r="N20617" s="676"/>
    </row>
    <row r="20618" spans="14:14" x14ac:dyDescent="0.35">
      <c r="N20618" s="676"/>
    </row>
    <row r="20619" spans="14:14" x14ac:dyDescent="0.35">
      <c r="N20619" s="676"/>
    </row>
    <row r="20620" spans="14:14" x14ac:dyDescent="0.35">
      <c r="N20620" s="676"/>
    </row>
    <row r="20621" spans="14:14" x14ac:dyDescent="0.35">
      <c r="N20621" s="676"/>
    </row>
    <row r="20622" spans="14:14" x14ac:dyDescent="0.35">
      <c r="N20622" s="676"/>
    </row>
    <row r="20623" spans="14:14" x14ac:dyDescent="0.35">
      <c r="N20623" s="676"/>
    </row>
    <row r="20624" spans="14:14" x14ac:dyDescent="0.35">
      <c r="N20624" s="676"/>
    </row>
    <row r="20625" spans="14:14" x14ac:dyDescent="0.35">
      <c r="N20625" s="676"/>
    </row>
    <row r="20626" spans="14:14" x14ac:dyDescent="0.35">
      <c r="N20626" s="676"/>
    </row>
    <row r="20627" spans="14:14" x14ac:dyDescent="0.35">
      <c r="N20627" s="676"/>
    </row>
    <row r="20628" spans="14:14" x14ac:dyDescent="0.35">
      <c r="N20628" s="676"/>
    </row>
    <row r="20629" spans="14:14" x14ac:dyDescent="0.35">
      <c r="N20629" s="676"/>
    </row>
    <row r="20630" spans="14:14" x14ac:dyDescent="0.35">
      <c r="N20630" s="676"/>
    </row>
    <row r="20631" spans="14:14" x14ac:dyDescent="0.35">
      <c r="N20631" s="676"/>
    </row>
    <row r="20632" spans="14:14" x14ac:dyDescent="0.35">
      <c r="N20632" s="676"/>
    </row>
    <row r="20633" spans="14:14" x14ac:dyDescent="0.35">
      <c r="N20633" s="676"/>
    </row>
    <row r="20634" spans="14:14" x14ac:dyDescent="0.35">
      <c r="N20634" s="676"/>
    </row>
    <row r="20635" spans="14:14" x14ac:dyDescent="0.35">
      <c r="N20635" s="676"/>
    </row>
    <row r="20636" spans="14:14" x14ac:dyDescent="0.35">
      <c r="N20636" s="676"/>
    </row>
    <row r="20637" spans="14:14" x14ac:dyDescent="0.35">
      <c r="N20637" s="676"/>
    </row>
    <row r="20638" spans="14:14" x14ac:dyDescent="0.35">
      <c r="N20638" s="676"/>
    </row>
    <row r="20639" spans="14:14" x14ac:dyDescent="0.35">
      <c r="N20639" s="676"/>
    </row>
    <row r="20640" spans="14:14" x14ac:dyDescent="0.35">
      <c r="N20640" s="676"/>
    </row>
    <row r="20641" spans="14:14" x14ac:dyDescent="0.35">
      <c r="N20641" s="676"/>
    </row>
    <row r="20642" spans="14:14" x14ac:dyDescent="0.35">
      <c r="N20642" s="676"/>
    </row>
    <row r="20643" spans="14:14" x14ac:dyDescent="0.35">
      <c r="N20643" s="676"/>
    </row>
    <row r="20644" spans="14:14" x14ac:dyDescent="0.35">
      <c r="N20644" s="676"/>
    </row>
    <row r="20645" spans="14:14" x14ac:dyDescent="0.35">
      <c r="N20645" s="676"/>
    </row>
    <row r="20646" spans="14:14" x14ac:dyDescent="0.35">
      <c r="N20646" s="676"/>
    </row>
    <row r="20647" spans="14:14" x14ac:dyDescent="0.35">
      <c r="N20647" s="676"/>
    </row>
    <row r="20648" spans="14:14" x14ac:dyDescent="0.35">
      <c r="N20648" s="676"/>
    </row>
    <row r="20649" spans="14:14" x14ac:dyDescent="0.35">
      <c r="N20649" s="676"/>
    </row>
    <row r="20650" spans="14:14" x14ac:dyDescent="0.35">
      <c r="N20650" s="676"/>
    </row>
    <row r="20651" spans="14:14" x14ac:dyDescent="0.35">
      <c r="N20651" s="676"/>
    </row>
    <row r="20652" spans="14:14" x14ac:dyDescent="0.35">
      <c r="N20652" s="676"/>
    </row>
    <row r="20653" spans="14:14" x14ac:dyDescent="0.35">
      <c r="N20653" s="676"/>
    </row>
    <row r="20654" spans="14:14" x14ac:dyDescent="0.35">
      <c r="N20654" s="676"/>
    </row>
    <row r="20655" spans="14:14" x14ac:dyDescent="0.35">
      <c r="N20655" s="676"/>
    </row>
    <row r="20656" spans="14:14" x14ac:dyDescent="0.35">
      <c r="N20656" s="676"/>
    </row>
    <row r="20657" spans="14:14" x14ac:dyDescent="0.35">
      <c r="N20657" s="676"/>
    </row>
    <row r="20658" spans="14:14" x14ac:dyDescent="0.35">
      <c r="N20658" s="676"/>
    </row>
    <row r="20659" spans="14:14" x14ac:dyDescent="0.35">
      <c r="N20659" s="676"/>
    </row>
    <row r="20660" spans="14:14" x14ac:dyDescent="0.35">
      <c r="N20660" s="676"/>
    </row>
    <row r="20661" spans="14:14" x14ac:dyDescent="0.35">
      <c r="N20661" s="676"/>
    </row>
    <row r="20662" spans="14:14" x14ac:dyDescent="0.35">
      <c r="N20662" s="676"/>
    </row>
    <row r="20663" spans="14:14" x14ac:dyDescent="0.35">
      <c r="N20663" s="676"/>
    </row>
    <row r="20664" spans="14:14" x14ac:dyDescent="0.35">
      <c r="N20664" s="676"/>
    </row>
    <row r="20665" spans="14:14" x14ac:dyDescent="0.35">
      <c r="N20665" s="676"/>
    </row>
    <row r="20666" spans="14:14" x14ac:dyDescent="0.35">
      <c r="N20666" s="676"/>
    </row>
    <row r="20667" spans="14:14" x14ac:dyDescent="0.35">
      <c r="N20667" s="676"/>
    </row>
    <row r="20668" spans="14:14" x14ac:dyDescent="0.35">
      <c r="N20668" s="676"/>
    </row>
    <row r="20669" spans="14:14" x14ac:dyDescent="0.35">
      <c r="N20669" s="676"/>
    </row>
    <row r="20670" spans="14:14" x14ac:dyDescent="0.35">
      <c r="N20670" s="676"/>
    </row>
    <row r="20671" spans="14:14" x14ac:dyDescent="0.35">
      <c r="N20671" s="676"/>
    </row>
    <row r="20672" spans="14:14" x14ac:dyDescent="0.35">
      <c r="N20672" s="676"/>
    </row>
    <row r="20673" spans="14:14" x14ac:dyDescent="0.35">
      <c r="N20673" s="676"/>
    </row>
    <row r="20674" spans="14:14" x14ac:dyDescent="0.35">
      <c r="N20674" s="676"/>
    </row>
    <row r="20675" spans="14:14" x14ac:dyDescent="0.35">
      <c r="N20675" s="676"/>
    </row>
    <row r="20676" spans="14:14" x14ac:dyDescent="0.35">
      <c r="N20676" s="676"/>
    </row>
    <row r="20677" spans="14:14" x14ac:dyDescent="0.35">
      <c r="N20677" s="676"/>
    </row>
    <row r="20678" spans="14:14" x14ac:dyDescent="0.35">
      <c r="N20678" s="676"/>
    </row>
    <row r="20679" spans="14:14" x14ac:dyDescent="0.35">
      <c r="N20679" s="676"/>
    </row>
    <row r="20680" spans="14:14" x14ac:dyDescent="0.35">
      <c r="N20680" s="676"/>
    </row>
    <row r="20681" spans="14:14" x14ac:dyDescent="0.35">
      <c r="N20681" s="676"/>
    </row>
    <row r="20682" spans="14:14" x14ac:dyDescent="0.35">
      <c r="N20682" s="676"/>
    </row>
    <row r="20683" spans="14:14" x14ac:dyDescent="0.35">
      <c r="N20683" s="676"/>
    </row>
    <row r="20684" spans="14:14" x14ac:dyDescent="0.35">
      <c r="N20684" s="676"/>
    </row>
    <row r="20685" spans="14:14" x14ac:dyDescent="0.35">
      <c r="N20685" s="676"/>
    </row>
    <row r="20686" spans="14:14" x14ac:dyDescent="0.35">
      <c r="N20686" s="676"/>
    </row>
    <row r="20687" spans="14:14" x14ac:dyDescent="0.35">
      <c r="N20687" s="676"/>
    </row>
    <row r="20688" spans="14:14" x14ac:dyDescent="0.35">
      <c r="N20688" s="676"/>
    </row>
    <row r="20689" spans="14:14" x14ac:dyDescent="0.35">
      <c r="N20689" s="676"/>
    </row>
    <row r="20690" spans="14:14" x14ac:dyDescent="0.35">
      <c r="N20690" s="676"/>
    </row>
    <row r="20691" spans="14:14" x14ac:dyDescent="0.35">
      <c r="N20691" s="676"/>
    </row>
    <row r="20692" spans="14:14" x14ac:dyDescent="0.35">
      <c r="N20692" s="676"/>
    </row>
    <row r="20693" spans="14:14" x14ac:dyDescent="0.35">
      <c r="N20693" s="676"/>
    </row>
    <row r="20694" spans="14:14" x14ac:dyDescent="0.35">
      <c r="N20694" s="676"/>
    </row>
    <row r="20695" spans="14:14" x14ac:dyDescent="0.35">
      <c r="N20695" s="676"/>
    </row>
    <row r="20696" spans="14:14" x14ac:dyDescent="0.35">
      <c r="N20696" s="676"/>
    </row>
    <row r="20697" spans="14:14" x14ac:dyDescent="0.35">
      <c r="N20697" s="676"/>
    </row>
    <row r="20698" spans="14:14" x14ac:dyDescent="0.35">
      <c r="N20698" s="676"/>
    </row>
    <row r="20699" spans="14:14" x14ac:dyDescent="0.35">
      <c r="N20699" s="676"/>
    </row>
    <row r="20700" spans="14:14" x14ac:dyDescent="0.35">
      <c r="N20700" s="676"/>
    </row>
    <row r="20701" spans="14:14" x14ac:dyDescent="0.35">
      <c r="N20701" s="676"/>
    </row>
    <row r="20702" spans="14:14" x14ac:dyDescent="0.35">
      <c r="N20702" s="676"/>
    </row>
    <row r="20703" spans="14:14" x14ac:dyDescent="0.35">
      <c r="N20703" s="676"/>
    </row>
    <row r="20704" spans="14:14" x14ac:dyDescent="0.35">
      <c r="N20704" s="676"/>
    </row>
    <row r="20705" spans="14:14" x14ac:dyDescent="0.35">
      <c r="N20705" s="676"/>
    </row>
    <row r="20706" spans="14:14" x14ac:dyDescent="0.35">
      <c r="N20706" s="676"/>
    </row>
    <row r="20707" spans="14:14" x14ac:dyDescent="0.35">
      <c r="N20707" s="676"/>
    </row>
    <row r="20708" spans="14:14" x14ac:dyDescent="0.35">
      <c r="N20708" s="676"/>
    </row>
    <row r="20709" spans="14:14" x14ac:dyDescent="0.35">
      <c r="N20709" s="676"/>
    </row>
    <row r="20710" spans="14:14" x14ac:dyDescent="0.35">
      <c r="N20710" s="676"/>
    </row>
    <row r="20711" spans="14:14" x14ac:dyDescent="0.35">
      <c r="N20711" s="676"/>
    </row>
    <row r="20712" spans="14:14" x14ac:dyDescent="0.35">
      <c r="N20712" s="676"/>
    </row>
    <row r="20713" spans="14:14" x14ac:dyDescent="0.35">
      <c r="N20713" s="676"/>
    </row>
    <row r="20714" spans="14:14" x14ac:dyDescent="0.35">
      <c r="N20714" s="676"/>
    </row>
    <row r="20715" spans="14:14" x14ac:dyDescent="0.35">
      <c r="N20715" s="676"/>
    </row>
    <row r="20716" spans="14:14" x14ac:dyDescent="0.35">
      <c r="N20716" s="676"/>
    </row>
    <row r="20717" spans="14:14" x14ac:dyDescent="0.35">
      <c r="N20717" s="676"/>
    </row>
    <row r="20718" spans="14:14" x14ac:dyDescent="0.35">
      <c r="N20718" s="676"/>
    </row>
    <row r="20719" spans="14:14" x14ac:dyDescent="0.35">
      <c r="N20719" s="676"/>
    </row>
    <row r="20720" spans="14:14" x14ac:dyDescent="0.35">
      <c r="N20720" s="676"/>
    </row>
    <row r="20721" spans="14:14" x14ac:dyDescent="0.35">
      <c r="N20721" s="676"/>
    </row>
    <row r="20722" spans="14:14" x14ac:dyDescent="0.35">
      <c r="N20722" s="676"/>
    </row>
    <row r="20723" spans="14:14" x14ac:dyDescent="0.35">
      <c r="N20723" s="676"/>
    </row>
    <row r="20724" spans="14:14" x14ac:dyDescent="0.35">
      <c r="N20724" s="676"/>
    </row>
    <row r="20725" spans="14:14" x14ac:dyDescent="0.35">
      <c r="N20725" s="676"/>
    </row>
    <row r="20726" spans="14:14" x14ac:dyDescent="0.35">
      <c r="N20726" s="676"/>
    </row>
    <row r="20727" spans="14:14" x14ac:dyDescent="0.35">
      <c r="N20727" s="676"/>
    </row>
    <row r="20728" spans="14:14" x14ac:dyDescent="0.35">
      <c r="N20728" s="676"/>
    </row>
    <row r="20729" spans="14:14" x14ac:dyDescent="0.35">
      <c r="N20729" s="676"/>
    </row>
    <row r="20730" spans="14:14" x14ac:dyDescent="0.35">
      <c r="N20730" s="676"/>
    </row>
    <row r="20731" spans="14:14" x14ac:dyDescent="0.35">
      <c r="N20731" s="676"/>
    </row>
    <row r="20732" spans="14:14" x14ac:dyDescent="0.35">
      <c r="N20732" s="676"/>
    </row>
    <row r="20733" spans="14:14" x14ac:dyDescent="0.35">
      <c r="N20733" s="676"/>
    </row>
    <row r="20734" spans="14:14" x14ac:dyDescent="0.35">
      <c r="N20734" s="676"/>
    </row>
    <row r="20735" spans="14:14" x14ac:dyDescent="0.35">
      <c r="N20735" s="676"/>
    </row>
    <row r="20736" spans="14:14" x14ac:dyDescent="0.35">
      <c r="N20736" s="676"/>
    </row>
    <row r="20737" spans="14:14" x14ac:dyDescent="0.35">
      <c r="N20737" s="676"/>
    </row>
    <row r="20738" spans="14:14" x14ac:dyDescent="0.35">
      <c r="N20738" s="676"/>
    </row>
    <row r="20739" spans="14:14" x14ac:dyDescent="0.35">
      <c r="N20739" s="676"/>
    </row>
    <row r="20740" spans="14:14" x14ac:dyDescent="0.35">
      <c r="N20740" s="676"/>
    </row>
    <row r="20741" spans="14:14" x14ac:dyDescent="0.35">
      <c r="N20741" s="676"/>
    </row>
    <row r="20742" spans="14:14" x14ac:dyDescent="0.35">
      <c r="N20742" s="676"/>
    </row>
    <row r="20743" spans="14:14" x14ac:dyDescent="0.35">
      <c r="N20743" s="676"/>
    </row>
    <row r="20744" spans="14:14" x14ac:dyDescent="0.35">
      <c r="N20744" s="676"/>
    </row>
    <row r="20745" spans="14:14" x14ac:dyDescent="0.35">
      <c r="N20745" s="676"/>
    </row>
    <row r="20746" spans="14:14" x14ac:dyDescent="0.35">
      <c r="N20746" s="676"/>
    </row>
    <row r="20747" spans="14:14" x14ac:dyDescent="0.35">
      <c r="N20747" s="676"/>
    </row>
    <row r="20748" spans="14:14" x14ac:dyDescent="0.35">
      <c r="N20748" s="676"/>
    </row>
    <row r="20749" spans="14:14" x14ac:dyDescent="0.35">
      <c r="N20749" s="676"/>
    </row>
    <row r="20750" spans="14:14" x14ac:dyDescent="0.35">
      <c r="N20750" s="676"/>
    </row>
    <row r="20751" spans="14:14" x14ac:dyDescent="0.35">
      <c r="N20751" s="676"/>
    </row>
    <row r="20752" spans="14:14" x14ac:dyDescent="0.35">
      <c r="N20752" s="676"/>
    </row>
    <row r="20753" spans="14:14" x14ac:dyDescent="0.35">
      <c r="N20753" s="676"/>
    </row>
    <row r="20754" spans="14:14" x14ac:dyDescent="0.35">
      <c r="N20754" s="676"/>
    </row>
    <row r="20755" spans="14:14" x14ac:dyDescent="0.35">
      <c r="N20755" s="676"/>
    </row>
    <row r="20756" spans="14:14" x14ac:dyDescent="0.35">
      <c r="N20756" s="676"/>
    </row>
    <row r="20757" spans="14:14" x14ac:dyDescent="0.35">
      <c r="N20757" s="676"/>
    </row>
    <row r="20758" spans="14:14" x14ac:dyDescent="0.35">
      <c r="N20758" s="676"/>
    </row>
    <row r="20759" spans="14:14" x14ac:dyDescent="0.35">
      <c r="N20759" s="676"/>
    </row>
    <row r="20760" spans="14:14" x14ac:dyDescent="0.35">
      <c r="N20760" s="676"/>
    </row>
    <row r="20761" spans="14:14" x14ac:dyDescent="0.35">
      <c r="N20761" s="676"/>
    </row>
    <row r="20762" spans="14:14" x14ac:dyDescent="0.35">
      <c r="N20762" s="676"/>
    </row>
    <row r="20763" spans="14:14" x14ac:dyDescent="0.35">
      <c r="N20763" s="676"/>
    </row>
    <row r="20764" spans="14:14" x14ac:dyDescent="0.35">
      <c r="N20764" s="676"/>
    </row>
    <row r="20765" spans="14:14" x14ac:dyDescent="0.35">
      <c r="N20765" s="676"/>
    </row>
    <row r="20766" spans="14:14" x14ac:dyDescent="0.35">
      <c r="N20766" s="676"/>
    </row>
    <row r="20767" spans="14:14" x14ac:dyDescent="0.35">
      <c r="N20767" s="676"/>
    </row>
    <row r="20768" spans="14:14" x14ac:dyDescent="0.35">
      <c r="N20768" s="676"/>
    </row>
    <row r="20769" spans="14:14" x14ac:dyDescent="0.35">
      <c r="N20769" s="676"/>
    </row>
    <row r="20770" spans="14:14" x14ac:dyDescent="0.35">
      <c r="N20770" s="676"/>
    </row>
    <row r="20771" spans="14:14" x14ac:dyDescent="0.35">
      <c r="N20771" s="676"/>
    </row>
    <row r="20772" spans="14:14" x14ac:dyDescent="0.35">
      <c r="N20772" s="676"/>
    </row>
    <row r="20773" spans="14:14" x14ac:dyDescent="0.35">
      <c r="N20773" s="676"/>
    </row>
    <row r="20774" spans="14:14" x14ac:dyDescent="0.35">
      <c r="N20774" s="676"/>
    </row>
    <row r="20775" spans="14:14" x14ac:dyDescent="0.35">
      <c r="N20775" s="676"/>
    </row>
    <row r="20776" spans="14:14" x14ac:dyDescent="0.35">
      <c r="N20776" s="676"/>
    </row>
    <row r="20777" spans="14:14" x14ac:dyDescent="0.35">
      <c r="N20777" s="676"/>
    </row>
    <row r="20778" spans="14:14" x14ac:dyDescent="0.35">
      <c r="N20778" s="676"/>
    </row>
    <row r="20779" spans="14:14" x14ac:dyDescent="0.35">
      <c r="N20779" s="676"/>
    </row>
    <row r="20780" spans="14:14" x14ac:dyDescent="0.35">
      <c r="N20780" s="676"/>
    </row>
    <row r="20781" spans="14:14" x14ac:dyDescent="0.35">
      <c r="N20781" s="676"/>
    </row>
    <row r="20782" spans="14:14" x14ac:dyDescent="0.35">
      <c r="N20782" s="676"/>
    </row>
    <row r="20783" spans="14:14" x14ac:dyDescent="0.35">
      <c r="N20783" s="676"/>
    </row>
    <row r="20784" spans="14:14" x14ac:dyDescent="0.35">
      <c r="N20784" s="676"/>
    </row>
    <row r="20785" spans="14:14" x14ac:dyDescent="0.35">
      <c r="N20785" s="676"/>
    </row>
    <row r="20786" spans="14:14" x14ac:dyDescent="0.35">
      <c r="N20786" s="676"/>
    </row>
    <row r="20787" spans="14:14" x14ac:dyDescent="0.35">
      <c r="N20787" s="676"/>
    </row>
    <row r="20788" spans="14:14" x14ac:dyDescent="0.35">
      <c r="N20788" s="676"/>
    </row>
    <row r="20789" spans="14:14" x14ac:dyDescent="0.35">
      <c r="N20789" s="676"/>
    </row>
    <row r="20790" spans="14:14" x14ac:dyDescent="0.35">
      <c r="N20790" s="676"/>
    </row>
    <row r="20791" spans="14:14" x14ac:dyDescent="0.35">
      <c r="N20791" s="676"/>
    </row>
    <row r="20792" spans="14:14" x14ac:dyDescent="0.35">
      <c r="N20792" s="676"/>
    </row>
    <row r="20793" spans="14:14" x14ac:dyDescent="0.35">
      <c r="N20793" s="676"/>
    </row>
    <row r="20794" spans="14:14" x14ac:dyDescent="0.35">
      <c r="N20794" s="676"/>
    </row>
    <row r="20795" spans="14:14" x14ac:dyDescent="0.35">
      <c r="N20795" s="676"/>
    </row>
    <row r="20796" spans="14:14" x14ac:dyDescent="0.35">
      <c r="N20796" s="676"/>
    </row>
    <row r="20797" spans="14:14" x14ac:dyDescent="0.35">
      <c r="N20797" s="676"/>
    </row>
    <row r="20798" spans="14:14" x14ac:dyDescent="0.35">
      <c r="N20798" s="676"/>
    </row>
    <row r="20799" spans="14:14" x14ac:dyDescent="0.35">
      <c r="N20799" s="676"/>
    </row>
    <row r="20800" spans="14:14" x14ac:dyDescent="0.35">
      <c r="N20800" s="676"/>
    </row>
    <row r="20801" spans="14:14" x14ac:dyDescent="0.35">
      <c r="N20801" s="676"/>
    </row>
    <row r="20802" spans="14:14" x14ac:dyDescent="0.35">
      <c r="N20802" s="676"/>
    </row>
    <row r="20803" spans="14:14" x14ac:dyDescent="0.35">
      <c r="N20803" s="676"/>
    </row>
    <row r="20804" spans="14:14" x14ac:dyDescent="0.35">
      <c r="N20804" s="676"/>
    </row>
    <row r="20805" spans="14:14" x14ac:dyDescent="0.35">
      <c r="N20805" s="676"/>
    </row>
    <row r="20806" spans="14:14" x14ac:dyDescent="0.35">
      <c r="N20806" s="676"/>
    </row>
    <row r="20807" spans="14:14" x14ac:dyDescent="0.35">
      <c r="N20807" s="676"/>
    </row>
    <row r="20808" spans="14:14" x14ac:dyDescent="0.35">
      <c r="N20808" s="676"/>
    </row>
    <row r="20809" spans="14:14" x14ac:dyDescent="0.35">
      <c r="N20809" s="676"/>
    </row>
    <row r="20810" spans="14:14" x14ac:dyDescent="0.35">
      <c r="N20810" s="676"/>
    </row>
    <row r="20811" spans="14:14" x14ac:dyDescent="0.35">
      <c r="N20811" s="676"/>
    </row>
    <row r="20812" spans="14:14" x14ac:dyDescent="0.35">
      <c r="N20812" s="676"/>
    </row>
    <row r="20813" spans="14:14" x14ac:dyDescent="0.35">
      <c r="N20813" s="676"/>
    </row>
    <row r="20814" spans="14:14" x14ac:dyDescent="0.35">
      <c r="N20814" s="676"/>
    </row>
    <row r="20815" spans="14:14" x14ac:dyDescent="0.35">
      <c r="N20815" s="676"/>
    </row>
    <row r="20816" spans="14:14" x14ac:dyDescent="0.35">
      <c r="N20816" s="676"/>
    </row>
    <row r="20817" spans="14:14" x14ac:dyDescent="0.35">
      <c r="N20817" s="676"/>
    </row>
    <row r="20818" spans="14:14" x14ac:dyDescent="0.35">
      <c r="N20818" s="676"/>
    </row>
    <row r="20819" spans="14:14" x14ac:dyDescent="0.35">
      <c r="N20819" s="676"/>
    </row>
    <row r="20820" spans="14:14" x14ac:dyDescent="0.35">
      <c r="N20820" s="676"/>
    </row>
    <row r="20821" spans="14:14" x14ac:dyDescent="0.35">
      <c r="N20821" s="676"/>
    </row>
    <row r="20822" spans="14:14" x14ac:dyDescent="0.35">
      <c r="N20822" s="676"/>
    </row>
    <row r="20823" spans="14:14" x14ac:dyDescent="0.35">
      <c r="N20823" s="676"/>
    </row>
    <row r="20824" spans="14:14" x14ac:dyDescent="0.35">
      <c r="N20824" s="676"/>
    </row>
    <row r="20825" spans="14:14" x14ac:dyDescent="0.35">
      <c r="N20825" s="676"/>
    </row>
    <row r="20826" spans="14:14" x14ac:dyDescent="0.35">
      <c r="N20826" s="676"/>
    </row>
    <row r="20827" spans="14:14" x14ac:dyDescent="0.35">
      <c r="N20827" s="676"/>
    </row>
    <row r="20828" spans="14:14" x14ac:dyDescent="0.35">
      <c r="N20828" s="676"/>
    </row>
    <row r="20829" spans="14:14" x14ac:dyDescent="0.35">
      <c r="N20829" s="676"/>
    </row>
    <row r="20830" spans="14:14" x14ac:dyDescent="0.35">
      <c r="N20830" s="676"/>
    </row>
    <row r="20831" spans="14:14" x14ac:dyDescent="0.35">
      <c r="N20831" s="676"/>
    </row>
    <row r="20832" spans="14:14" x14ac:dyDescent="0.35">
      <c r="N20832" s="676"/>
    </row>
    <row r="20833" spans="14:14" x14ac:dyDescent="0.35">
      <c r="N20833" s="676"/>
    </row>
    <row r="20834" spans="14:14" x14ac:dyDescent="0.35">
      <c r="N20834" s="676"/>
    </row>
    <row r="20835" spans="14:14" x14ac:dyDescent="0.35">
      <c r="N20835" s="676"/>
    </row>
    <row r="20836" spans="14:14" x14ac:dyDescent="0.35">
      <c r="N20836" s="676"/>
    </row>
    <row r="20837" spans="14:14" x14ac:dyDescent="0.35">
      <c r="N20837" s="676"/>
    </row>
    <row r="20838" spans="14:14" x14ac:dyDescent="0.35">
      <c r="N20838" s="676"/>
    </row>
    <row r="20839" spans="14:14" x14ac:dyDescent="0.35">
      <c r="N20839" s="676"/>
    </row>
    <row r="20840" spans="14:14" x14ac:dyDescent="0.35">
      <c r="N20840" s="676"/>
    </row>
    <row r="20841" spans="14:14" x14ac:dyDescent="0.35">
      <c r="N20841" s="676"/>
    </row>
    <row r="20842" spans="14:14" x14ac:dyDescent="0.35">
      <c r="N20842" s="676"/>
    </row>
    <row r="20843" spans="14:14" x14ac:dyDescent="0.35">
      <c r="N20843" s="676"/>
    </row>
    <row r="20844" spans="14:14" x14ac:dyDescent="0.35">
      <c r="N20844" s="676"/>
    </row>
    <row r="20845" spans="14:14" x14ac:dyDescent="0.35">
      <c r="N20845" s="676"/>
    </row>
    <row r="20846" spans="14:14" x14ac:dyDescent="0.35">
      <c r="N20846" s="676"/>
    </row>
    <row r="20847" spans="14:14" x14ac:dyDescent="0.35">
      <c r="N20847" s="676"/>
    </row>
    <row r="20848" spans="14:14" x14ac:dyDescent="0.35">
      <c r="N20848" s="676"/>
    </row>
    <row r="20849" spans="14:14" x14ac:dyDescent="0.35">
      <c r="N20849" s="676"/>
    </row>
    <row r="20850" spans="14:14" x14ac:dyDescent="0.35">
      <c r="N20850" s="676"/>
    </row>
    <row r="20851" spans="14:14" x14ac:dyDescent="0.35">
      <c r="N20851" s="676"/>
    </row>
    <row r="20852" spans="14:14" x14ac:dyDescent="0.35">
      <c r="N20852" s="676"/>
    </row>
    <row r="20853" spans="14:14" x14ac:dyDescent="0.35">
      <c r="N20853" s="676"/>
    </row>
    <row r="20854" spans="14:14" x14ac:dyDescent="0.35">
      <c r="N20854" s="676"/>
    </row>
    <row r="20855" spans="14:14" x14ac:dyDescent="0.35">
      <c r="N20855" s="676"/>
    </row>
    <row r="20856" spans="14:14" x14ac:dyDescent="0.35">
      <c r="N20856" s="676"/>
    </row>
    <row r="20857" spans="14:14" x14ac:dyDescent="0.35">
      <c r="N20857" s="676"/>
    </row>
    <row r="20858" spans="14:14" x14ac:dyDescent="0.35">
      <c r="N20858" s="676"/>
    </row>
    <row r="20859" spans="14:14" x14ac:dyDescent="0.35">
      <c r="N20859" s="676"/>
    </row>
    <row r="20860" spans="14:14" x14ac:dyDescent="0.35">
      <c r="N20860" s="676"/>
    </row>
    <row r="20861" spans="14:14" x14ac:dyDescent="0.35">
      <c r="N20861" s="676"/>
    </row>
    <row r="20862" spans="14:14" x14ac:dyDescent="0.35">
      <c r="N20862" s="676"/>
    </row>
    <row r="20863" spans="14:14" x14ac:dyDescent="0.35">
      <c r="N20863" s="676"/>
    </row>
    <row r="20864" spans="14:14" x14ac:dyDescent="0.35">
      <c r="N20864" s="676"/>
    </row>
    <row r="20865" spans="14:14" x14ac:dyDescent="0.35">
      <c r="N20865" s="676"/>
    </row>
    <row r="20866" spans="14:14" x14ac:dyDescent="0.35">
      <c r="N20866" s="676"/>
    </row>
    <row r="20867" spans="14:14" x14ac:dyDescent="0.35">
      <c r="N20867" s="676"/>
    </row>
    <row r="20868" spans="14:14" x14ac:dyDescent="0.35">
      <c r="N20868" s="676"/>
    </row>
    <row r="20869" spans="14:14" x14ac:dyDescent="0.35">
      <c r="N20869" s="676"/>
    </row>
    <row r="20870" spans="14:14" x14ac:dyDescent="0.35">
      <c r="N20870" s="676"/>
    </row>
    <row r="20871" spans="14:14" x14ac:dyDescent="0.35">
      <c r="N20871" s="676"/>
    </row>
    <row r="20872" spans="14:14" x14ac:dyDescent="0.35">
      <c r="N20872" s="676"/>
    </row>
    <row r="20873" spans="14:14" x14ac:dyDescent="0.35">
      <c r="N20873" s="676"/>
    </row>
    <row r="20874" spans="14:14" x14ac:dyDescent="0.35">
      <c r="N20874" s="676"/>
    </row>
    <row r="20875" spans="14:14" x14ac:dyDescent="0.35">
      <c r="N20875" s="676"/>
    </row>
    <row r="20876" spans="14:14" x14ac:dyDescent="0.35">
      <c r="N20876" s="676"/>
    </row>
    <row r="20877" spans="14:14" x14ac:dyDescent="0.35">
      <c r="N20877" s="676"/>
    </row>
    <row r="20878" spans="14:14" x14ac:dyDescent="0.35">
      <c r="N20878" s="676"/>
    </row>
    <row r="20879" spans="14:14" x14ac:dyDescent="0.35">
      <c r="N20879" s="676"/>
    </row>
    <row r="20880" spans="14:14" x14ac:dyDescent="0.35">
      <c r="N20880" s="676"/>
    </row>
    <row r="20881" spans="14:14" x14ac:dyDescent="0.35">
      <c r="N20881" s="676"/>
    </row>
    <row r="20882" spans="14:14" x14ac:dyDescent="0.35">
      <c r="N20882" s="676"/>
    </row>
    <row r="20883" spans="14:14" x14ac:dyDescent="0.35">
      <c r="N20883" s="676"/>
    </row>
    <row r="20884" spans="14:14" x14ac:dyDescent="0.35">
      <c r="N20884" s="676"/>
    </row>
    <row r="20885" spans="14:14" x14ac:dyDescent="0.35">
      <c r="N20885" s="676"/>
    </row>
    <row r="20886" spans="14:14" x14ac:dyDescent="0.35">
      <c r="N20886" s="676"/>
    </row>
    <row r="20887" spans="14:14" x14ac:dyDescent="0.35">
      <c r="N20887" s="676"/>
    </row>
    <row r="20888" spans="14:14" x14ac:dyDescent="0.35">
      <c r="N20888" s="676"/>
    </row>
    <row r="20889" spans="14:14" x14ac:dyDescent="0.35">
      <c r="N20889" s="676"/>
    </row>
    <row r="20890" spans="14:14" x14ac:dyDescent="0.35">
      <c r="N20890" s="676"/>
    </row>
    <row r="20891" spans="14:14" x14ac:dyDescent="0.35">
      <c r="N20891" s="676"/>
    </row>
    <row r="20892" spans="14:14" x14ac:dyDescent="0.35">
      <c r="N20892" s="676"/>
    </row>
    <row r="20893" spans="14:14" x14ac:dyDescent="0.35">
      <c r="N20893" s="676"/>
    </row>
    <row r="20894" spans="14:14" x14ac:dyDescent="0.35">
      <c r="N20894" s="676"/>
    </row>
    <row r="20895" spans="14:14" x14ac:dyDescent="0.35">
      <c r="N20895" s="676"/>
    </row>
    <row r="20896" spans="14:14" x14ac:dyDescent="0.35">
      <c r="N20896" s="676"/>
    </row>
    <row r="20897" spans="14:14" x14ac:dyDescent="0.35">
      <c r="N20897" s="676"/>
    </row>
    <row r="20898" spans="14:14" x14ac:dyDescent="0.35">
      <c r="N20898" s="676"/>
    </row>
    <row r="20899" spans="14:14" x14ac:dyDescent="0.35">
      <c r="N20899" s="676"/>
    </row>
    <row r="20900" spans="14:14" x14ac:dyDescent="0.35">
      <c r="N20900" s="676"/>
    </row>
    <row r="20901" spans="14:14" x14ac:dyDescent="0.35">
      <c r="N20901" s="676"/>
    </row>
    <row r="20902" spans="14:14" x14ac:dyDescent="0.35">
      <c r="N20902" s="676"/>
    </row>
    <row r="20903" spans="14:14" x14ac:dyDescent="0.35">
      <c r="N20903" s="676"/>
    </row>
    <row r="20904" spans="14:14" x14ac:dyDescent="0.35">
      <c r="N20904" s="676"/>
    </row>
    <row r="20905" spans="14:14" x14ac:dyDescent="0.35">
      <c r="N20905" s="676"/>
    </row>
    <row r="20906" spans="14:14" x14ac:dyDescent="0.35">
      <c r="N20906" s="676"/>
    </row>
    <row r="20907" spans="14:14" x14ac:dyDescent="0.35">
      <c r="N20907" s="676"/>
    </row>
    <row r="20908" spans="14:14" x14ac:dyDescent="0.35">
      <c r="N20908" s="676"/>
    </row>
    <row r="20909" spans="14:14" x14ac:dyDescent="0.35">
      <c r="N20909" s="676"/>
    </row>
    <row r="20910" spans="14:14" x14ac:dyDescent="0.35">
      <c r="N20910" s="676"/>
    </row>
    <row r="20911" spans="14:14" x14ac:dyDescent="0.35">
      <c r="N20911" s="676"/>
    </row>
    <row r="20912" spans="14:14" x14ac:dyDescent="0.35">
      <c r="N20912" s="676"/>
    </row>
    <row r="20913" spans="14:14" x14ac:dyDescent="0.35">
      <c r="N20913" s="676"/>
    </row>
    <row r="20914" spans="14:14" x14ac:dyDescent="0.35">
      <c r="N20914" s="676"/>
    </row>
    <row r="20915" spans="14:14" x14ac:dyDescent="0.35">
      <c r="N20915" s="676"/>
    </row>
    <row r="20916" spans="14:14" x14ac:dyDescent="0.35">
      <c r="N20916" s="676"/>
    </row>
    <row r="20917" spans="14:14" x14ac:dyDescent="0.35">
      <c r="N20917" s="676"/>
    </row>
    <row r="20918" spans="14:14" x14ac:dyDescent="0.35">
      <c r="N20918" s="676"/>
    </row>
    <row r="20919" spans="14:14" x14ac:dyDescent="0.35">
      <c r="N20919" s="676"/>
    </row>
    <row r="20920" spans="14:14" x14ac:dyDescent="0.35">
      <c r="N20920" s="676"/>
    </row>
    <row r="20921" spans="14:14" x14ac:dyDescent="0.35">
      <c r="N20921" s="676"/>
    </row>
    <row r="20922" spans="14:14" x14ac:dyDescent="0.35">
      <c r="N20922" s="676"/>
    </row>
    <row r="20923" spans="14:14" x14ac:dyDescent="0.35">
      <c r="N20923" s="676"/>
    </row>
    <row r="20924" spans="14:14" x14ac:dyDescent="0.35">
      <c r="N20924" s="676"/>
    </row>
    <row r="20925" spans="14:14" x14ac:dyDescent="0.35">
      <c r="N20925" s="676"/>
    </row>
    <row r="20926" spans="14:14" x14ac:dyDescent="0.35">
      <c r="N20926" s="676"/>
    </row>
    <row r="20927" spans="14:14" x14ac:dyDescent="0.35">
      <c r="N20927" s="676"/>
    </row>
    <row r="20928" spans="14:14" x14ac:dyDescent="0.35">
      <c r="N20928" s="676"/>
    </row>
    <row r="20929" spans="14:14" x14ac:dyDescent="0.35">
      <c r="N20929" s="676"/>
    </row>
    <row r="20930" spans="14:14" x14ac:dyDescent="0.35">
      <c r="N20930" s="676"/>
    </row>
    <row r="20931" spans="14:14" x14ac:dyDescent="0.35">
      <c r="N20931" s="676"/>
    </row>
    <row r="20932" spans="14:14" x14ac:dyDescent="0.35">
      <c r="N20932" s="676"/>
    </row>
    <row r="20933" spans="14:14" x14ac:dyDescent="0.35">
      <c r="N20933" s="676"/>
    </row>
    <row r="20934" spans="14:14" x14ac:dyDescent="0.35">
      <c r="N20934" s="676"/>
    </row>
    <row r="20935" spans="14:14" x14ac:dyDescent="0.35">
      <c r="N20935" s="676"/>
    </row>
    <row r="20936" spans="14:14" x14ac:dyDescent="0.35">
      <c r="N20936" s="676"/>
    </row>
    <row r="20937" spans="14:14" x14ac:dyDescent="0.35">
      <c r="N20937" s="676"/>
    </row>
    <row r="20938" spans="14:14" x14ac:dyDescent="0.35">
      <c r="N20938" s="676"/>
    </row>
    <row r="20939" spans="14:14" x14ac:dyDescent="0.35">
      <c r="N20939" s="676"/>
    </row>
    <row r="20940" spans="14:14" x14ac:dyDescent="0.35">
      <c r="N20940" s="676"/>
    </row>
    <row r="20941" spans="14:14" x14ac:dyDescent="0.35">
      <c r="N20941" s="676"/>
    </row>
    <row r="20942" spans="14:14" x14ac:dyDescent="0.35">
      <c r="N20942" s="676"/>
    </row>
    <row r="20943" spans="14:14" x14ac:dyDescent="0.35">
      <c r="N20943" s="676"/>
    </row>
    <row r="20944" spans="14:14" x14ac:dyDescent="0.35">
      <c r="N20944" s="676"/>
    </row>
    <row r="20945" spans="14:14" x14ac:dyDescent="0.35">
      <c r="N20945" s="676"/>
    </row>
    <row r="20946" spans="14:14" x14ac:dyDescent="0.35">
      <c r="N20946" s="676"/>
    </row>
    <row r="20947" spans="14:14" x14ac:dyDescent="0.35">
      <c r="N20947" s="676"/>
    </row>
    <row r="20948" spans="14:14" x14ac:dyDescent="0.35">
      <c r="N20948" s="676"/>
    </row>
    <row r="20949" spans="14:14" x14ac:dyDescent="0.35">
      <c r="N20949" s="676"/>
    </row>
    <row r="20950" spans="14:14" x14ac:dyDescent="0.35">
      <c r="N20950" s="676"/>
    </row>
    <row r="20951" spans="14:14" x14ac:dyDescent="0.35">
      <c r="N20951" s="676"/>
    </row>
    <row r="20952" spans="14:14" x14ac:dyDescent="0.35">
      <c r="N20952" s="676"/>
    </row>
    <row r="20953" spans="14:14" x14ac:dyDescent="0.35">
      <c r="N20953" s="676"/>
    </row>
    <row r="20954" spans="14:14" x14ac:dyDescent="0.35">
      <c r="N20954" s="676"/>
    </row>
    <row r="20955" spans="14:14" x14ac:dyDescent="0.35">
      <c r="N20955" s="676"/>
    </row>
    <row r="20956" spans="14:14" x14ac:dyDescent="0.35">
      <c r="N20956" s="676"/>
    </row>
    <row r="20957" spans="14:14" x14ac:dyDescent="0.35">
      <c r="N20957" s="676"/>
    </row>
    <row r="20958" spans="14:14" x14ac:dyDescent="0.35">
      <c r="N20958" s="676"/>
    </row>
    <row r="20959" spans="14:14" x14ac:dyDescent="0.35">
      <c r="N20959" s="676"/>
    </row>
    <row r="20960" spans="14:14" x14ac:dyDescent="0.35">
      <c r="N20960" s="676"/>
    </row>
    <row r="20961" spans="14:14" x14ac:dyDescent="0.35">
      <c r="N20961" s="676"/>
    </row>
    <row r="20962" spans="14:14" x14ac:dyDescent="0.35">
      <c r="N20962" s="676"/>
    </row>
    <row r="20963" spans="14:14" x14ac:dyDescent="0.35">
      <c r="N20963" s="676"/>
    </row>
    <row r="20964" spans="14:14" x14ac:dyDescent="0.35">
      <c r="N20964" s="676"/>
    </row>
    <row r="20965" spans="14:14" x14ac:dyDescent="0.35">
      <c r="N20965" s="676"/>
    </row>
    <row r="20966" spans="14:14" x14ac:dyDescent="0.35">
      <c r="N20966" s="676"/>
    </row>
    <row r="20967" spans="14:14" x14ac:dyDescent="0.35">
      <c r="N20967" s="676"/>
    </row>
    <row r="20968" spans="14:14" x14ac:dyDescent="0.35">
      <c r="N20968" s="676"/>
    </row>
    <row r="20969" spans="14:14" x14ac:dyDescent="0.35">
      <c r="N20969" s="676"/>
    </row>
    <row r="20970" spans="14:14" x14ac:dyDescent="0.35">
      <c r="N20970" s="676"/>
    </row>
    <row r="20971" spans="14:14" x14ac:dyDescent="0.35">
      <c r="N20971" s="676"/>
    </row>
    <row r="20972" spans="14:14" x14ac:dyDescent="0.35">
      <c r="N20972" s="676"/>
    </row>
    <row r="20973" spans="14:14" x14ac:dyDescent="0.35">
      <c r="N20973" s="676"/>
    </row>
    <row r="20974" spans="14:14" x14ac:dyDescent="0.35">
      <c r="N20974" s="676"/>
    </row>
    <row r="20975" spans="14:14" x14ac:dyDescent="0.35">
      <c r="N20975" s="676"/>
    </row>
    <row r="20976" spans="14:14" x14ac:dyDescent="0.35">
      <c r="N20976" s="676"/>
    </row>
    <row r="20977" spans="14:14" x14ac:dyDescent="0.35">
      <c r="N20977" s="676"/>
    </row>
    <row r="20978" spans="14:14" x14ac:dyDescent="0.35">
      <c r="N20978" s="676"/>
    </row>
    <row r="20979" spans="14:14" x14ac:dyDescent="0.35">
      <c r="N20979" s="676"/>
    </row>
    <row r="20980" spans="14:14" x14ac:dyDescent="0.35">
      <c r="N20980" s="676"/>
    </row>
    <row r="20981" spans="14:14" x14ac:dyDescent="0.35">
      <c r="N20981" s="676"/>
    </row>
    <row r="20982" spans="14:14" x14ac:dyDescent="0.35">
      <c r="N20982" s="676"/>
    </row>
    <row r="20983" spans="14:14" x14ac:dyDescent="0.35">
      <c r="N20983" s="676"/>
    </row>
    <row r="20984" spans="14:14" x14ac:dyDescent="0.35">
      <c r="N20984" s="676"/>
    </row>
    <row r="20985" spans="14:14" x14ac:dyDescent="0.35">
      <c r="N20985" s="676"/>
    </row>
    <row r="20986" spans="14:14" x14ac:dyDescent="0.35">
      <c r="N20986" s="676"/>
    </row>
    <row r="20987" spans="14:14" x14ac:dyDescent="0.35">
      <c r="N20987" s="676"/>
    </row>
    <row r="20988" spans="14:14" x14ac:dyDescent="0.35">
      <c r="N20988" s="676"/>
    </row>
    <row r="20989" spans="14:14" x14ac:dyDescent="0.35">
      <c r="N20989" s="676"/>
    </row>
    <row r="20990" spans="14:14" x14ac:dyDescent="0.35">
      <c r="N20990" s="676"/>
    </row>
    <row r="20991" spans="14:14" x14ac:dyDescent="0.35">
      <c r="N20991" s="676"/>
    </row>
    <row r="20992" spans="14:14" x14ac:dyDescent="0.35">
      <c r="N20992" s="676"/>
    </row>
    <row r="20993" spans="14:14" x14ac:dyDescent="0.35">
      <c r="N20993" s="676"/>
    </row>
    <row r="20994" spans="14:14" x14ac:dyDescent="0.35">
      <c r="N20994" s="676"/>
    </row>
    <row r="20995" spans="14:14" x14ac:dyDescent="0.35">
      <c r="N20995" s="676"/>
    </row>
    <row r="20996" spans="14:14" x14ac:dyDescent="0.35">
      <c r="N20996" s="676"/>
    </row>
    <row r="20997" spans="14:14" x14ac:dyDescent="0.35">
      <c r="N20997" s="676"/>
    </row>
    <row r="20998" spans="14:14" x14ac:dyDescent="0.35">
      <c r="N20998" s="676"/>
    </row>
    <row r="20999" spans="14:14" x14ac:dyDescent="0.35">
      <c r="N20999" s="676"/>
    </row>
    <row r="21000" spans="14:14" x14ac:dyDescent="0.35">
      <c r="N21000" s="676"/>
    </row>
    <row r="21001" spans="14:14" x14ac:dyDescent="0.35">
      <c r="N21001" s="676"/>
    </row>
    <row r="21002" spans="14:14" x14ac:dyDescent="0.35">
      <c r="N21002" s="676"/>
    </row>
    <row r="21003" spans="14:14" x14ac:dyDescent="0.35">
      <c r="N21003" s="676"/>
    </row>
    <row r="21004" spans="14:14" x14ac:dyDescent="0.35">
      <c r="N21004" s="676"/>
    </row>
    <row r="21005" spans="14:14" x14ac:dyDescent="0.35">
      <c r="N21005" s="676"/>
    </row>
    <row r="21006" spans="14:14" x14ac:dyDescent="0.35">
      <c r="N21006" s="676"/>
    </row>
    <row r="21007" spans="14:14" x14ac:dyDescent="0.35">
      <c r="N21007" s="676"/>
    </row>
    <row r="21008" spans="14:14" x14ac:dyDescent="0.35">
      <c r="N21008" s="676"/>
    </row>
    <row r="21009" spans="14:14" x14ac:dyDescent="0.35">
      <c r="N21009" s="676"/>
    </row>
    <row r="21010" spans="14:14" x14ac:dyDescent="0.35">
      <c r="N21010" s="676"/>
    </row>
    <row r="21011" spans="14:14" x14ac:dyDescent="0.35">
      <c r="N21011" s="676"/>
    </row>
    <row r="21012" spans="14:14" x14ac:dyDescent="0.35">
      <c r="N21012" s="676"/>
    </row>
    <row r="21013" spans="14:14" x14ac:dyDescent="0.35">
      <c r="N21013" s="676"/>
    </row>
    <row r="21014" spans="14:14" x14ac:dyDescent="0.35">
      <c r="N21014" s="676"/>
    </row>
    <row r="21015" spans="14:14" x14ac:dyDescent="0.35">
      <c r="N21015" s="676"/>
    </row>
    <row r="21016" spans="14:14" x14ac:dyDescent="0.35">
      <c r="N21016" s="676"/>
    </row>
    <row r="21017" spans="14:14" x14ac:dyDescent="0.35">
      <c r="N21017" s="676"/>
    </row>
    <row r="21018" spans="14:14" x14ac:dyDescent="0.35">
      <c r="N21018" s="676"/>
    </row>
    <row r="21019" spans="14:14" x14ac:dyDescent="0.35">
      <c r="N21019" s="676"/>
    </row>
    <row r="21020" spans="14:14" x14ac:dyDescent="0.35">
      <c r="N21020" s="676"/>
    </row>
    <row r="21021" spans="14:14" x14ac:dyDescent="0.35">
      <c r="N21021" s="676"/>
    </row>
    <row r="21022" spans="14:14" x14ac:dyDescent="0.35">
      <c r="N21022" s="676"/>
    </row>
    <row r="21023" spans="14:14" x14ac:dyDescent="0.35">
      <c r="N21023" s="676"/>
    </row>
    <row r="21024" spans="14:14" x14ac:dyDescent="0.35">
      <c r="N21024" s="676"/>
    </row>
    <row r="21025" spans="14:14" x14ac:dyDescent="0.35">
      <c r="N21025" s="676"/>
    </row>
    <row r="21026" spans="14:14" x14ac:dyDescent="0.35">
      <c r="N21026" s="676"/>
    </row>
    <row r="21027" spans="14:14" x14ac:dyDescent="0.35">
      <c r="N21027" s="676"/>
    </row>
    <row r="21028" spans="14:14" x14ac:dyDescent="0.35">
      <c r="N21028" s="676"/>
    </row>
    <row r="21029" spans="14:14" x14ac:dyDescent="0.35">
      <c r="N21029" s="676"/>
    </row>
    <row r="21030" spans="14:14" x14ac:dyDescent="0.35">
      <c r="N21030" s="676"/>
    </row>
    <row r="21031" spans="14:14" x14ac:dyDescent="0.35">
      <c r="N21031" s="676"/>
    </row>
    <row r="21032" spans="14:14" x14ac:dyDescent="0.35">
      <c r="N21032" s="676"/>
    </row>
    <row r="21033" spans="14:14" x14ac:dyDescent="0.35">
      <c r="N21033" s="676"/>
    </row>
    <row r="21034" spans="14:14" x14ac:dyDescent="0.35">
      <c r="N21034" s="676"/>
    </row>
    <row r="21035" spans="14:14" x14ac:dyDescent="0.35">
      <c r="N21035" s="676"/>
    </row>
    <row r="21036" spans="14:14" x14ac:dyDescent="0.35">
      <c r="N21036" s="676"/>
    </row>
    <row r="21037" spans="14:14" x14ac:dyDescent="0.35">
      <c r="N21037" s="676"/>
    </row>
    <row r="21038" spans="14:14" x14ac:dyDescent="0.35">
      <c r="N21038" s="676"/>
    </row>
    <row r="21039" spans="14:14" x14ac:dyDescent="0.35">
      <c r="N21039" s="676"/>
    </row>
    <row r="21040" spans="14:14" x14ac:dyDescent="0.35">
      <c r="N21040" s="676"/>
    </row>
    <row r="21041" spans="14:14" x14ac:dyDescent="0.35">
      <c r="N21041" s="676"/>
    </row>
    <row r="21042" spans="14:14" x14ac:dyDescent="0.35">
      <c r="N21042" s="676"/>
    </row>
    <row r="21043" spans="14:14" x14ac:dyDescent="0.35">
      <c r="N21043" s="676"/>
    </row>
    <row r="21044" spans="14:14" x14ac:dyDescent="0.35">
      <c r="N21044" s="676"/>
    </row>
    <row r="21045" spans="14:14" x14ac:dyDescent="0.35">
      <c r="N21045" s="676"/>
    </row>
    <row r="21046" spans="14:14" x14ac:dyDescent="0.35">
      <c r="N21046" s="676"/>
    </row>
    <row r="21047" spans="14:14" x14ac:dyDescent="0.35">
      <c r="N21047" s="676"/>
    </row>
    <row r="21048" spans="14:14" x14ac:dyDescent="0.35">
      <c r="N21048" s="676"/>
    </row>
    <row r="21049" spans="14:14" x14ac:dyDescent="0.35">
      <c r="N21049" s="676"/>
    </row>
    <row r="21050" spans="14:14" x14ac:dyDescent="0.35">
      <c r="N21050" s="676"/>
    </row>
    <row r="21051" spans="14:14" x14ac:dyDescent="0.35">
      <c r="N21051" s="676"/>
    </row>
    <row r="21052" spans="14:14" x14ac:dyDescent="0.35">
      <c r="N21052" s="676"/>
    </row>
    <row r="21053" spans="14:14" x14ac:dyDescent="0.35">
      <c r="N21053" s="676"/>
    </row>
    <row r="21054" spans="14:14" x14ac:dyDescent="0.35">
      <c r="N21054" s="676"/>
    </row>
    <row r="21055" spans="14:14" x14ac:dyDescent="0.35">
      <c r="N21055" s="676"/>
    </row>
    <row r="21056" spans="14:14" x14ac:dyDescent="0.35">
      <c r="N21056" s="676"/>
    </row>
    <row r="21057" spans="14:14" x14ac:dyDescent="0.35">
      <c r="N21057" s="676"/>
    </row>
    <row r="21058" spans="14:14" x14ac:dyDescent="0.35">
      <c r="N21058" s="676"/>
    </row>
    <row r="21059" spans="14:14" x14ac:dyDescent="0.35">
      <c r="N21059" s="676"/>
    </row>
    <row r="21060" spans="14:14" x14ac:dyDescent="0.35">
      <c r="N21060" s="676"/>
    </row>
    <row r="21061" spans="14:14" x14ac:dyDescent="0.35">
      <c r="N21061" s="676"/>
    </row>
    <row r="21062" spans="14:14" x14ac:dyDescent="0.35">
      <c r="N21062" s="676"/>
    </row>
    <row r="21063" spans="14:14" x14ac:dyDescent="0.35">
      <c r="N21063" s="676"/>
    </row>
    <row r="21064" spans="14:14" x14ac:dyDescent="0.35">
      <c r="N21064" s="676"/>
    </row>
    <row r="21065" spans="14:14" x14ac:dyDescent="0.35">
      <c r="N21065" s="676"/>
    </row>
    <row r="21066" spans="14:14" x14ac:dyDescent="0.35">
      <c r="N21066" s="676"/>
    </row>
    <row r="21067" spans="14:14" x14ac:dyDescent="0.35">
      <c r="N21067" s="676"/>
    </row>
    <row r="21068" spans="14:14" x14ac:dyDescent="0.35">
      <c r="N21068" s="676"/>
    </row>
    <row r="21069" spans="14:14" x14ac:dyDescent="0.35">
      <c r="N21069" s="676"/>
    </row>
    <row r="21070" spans="14:14" x14ac:dyDescent="0.35">
      <c r="N21070" s="676"/>
    </row>
    <row r="21071" spans="14:14" x14ac:dyDescent="0.35">
      <c r="N21071" s="676"/>
    </row>
    <row r="21072" spans="14:14" x14ac:dyDescent="0.35">
      <c r="N21072" s="676"/>
    </row>
    <row r="21073" spans="14:14" x14ac:dyDescent="0.35">
      <c r="N21073" s="676"/>
    </row>
    <row r="21074" spans="14:14" x14ac:dyDescent="0.35">
      <c r="N21074" s="676"/>
    </row>
    <row r="21075" spans="14:14" x14ac:dyDescent="0.35">
      <c r="N21075" s="676"/>
    </row>
    <row r="21076" spans="14:14" x14ac:dyDescent="0.35">
      <c r="N21076" s="676"/>
    </row>
    <row r="21077" spans="14:14" x14ac:dyDescent="0.35">
      <c r="N21077" s="676"/>
    </row>
    <row r="21078" spans="14:14" x14ac:dyDescent="0.35">
      <c r="N21078" s="676"/>
    </row>
    <row r="21079" spans="14:14" x14ac:dyDescent="0.35">
      <c r="N21079" s="676"/>
    </row>
    <row r="21080" spans="14:14" x14ac:dyDescent="0.35">
      <c r="N21080" s="676"/>
    </row>
    <row r="21081" spans="14:14" x14ac:dyDescent="0.35">
      <c r="N21081" s="676"/>
    </row>
    <row r="21082" spans="14:14" x14ac:dyDescent="0.35">
      <c r="N21082" s="676"/>
    </row>
    <row r="21083" spans="14:14" x14ac:dyDescent="0.35">
      <c r="N21083" s="676"/>
    </row>
    <row r="21084" spans="14:14" x14ac:dyDescent="0.35">
      <c r="N21084" s="676"/>
    </row>
    <row r="21085" spans="14:14" x14ac:dyDescent="0.35">
      <c r="N21085" s="676"/>
    </row>
    <row r="21086" spans="14:14" x14ac:dyDescent="0.35">
      <c r="N21086" s="676"/>
    </row>
    <row r="21087" spans="14:14" x14ac:dyDescent="0.35">
      <c r="N21087" s="676"/>
    </row>
    <row r="21088" spans="14:14" x14ac:dyDescent="0.35">
      <c r="N21088" s="676"/>
    </row>
    <row r="21089" spans="14:14" x14ac:dyDescent="0.35">
      <c r="N21089" s="676"/>
    </row>
    <row r="21090" spans="14:14" x14ac:dyDescent="0.35">
      <c r="N21090" s="676"/>
    </row>
    <row r="21091" spans="14:14" x14ac:dyDescent="0.35">
      <c r="N21091" s="676"/>
    </row>
    <row r="21092" spans="14:14" x14ac:dyDescent="0.35">
      <c r="N21092" s="676"/>
    </row>
    <row r="21093" spans="14:14" x14ac:dyDescent="0.35">
      <c r="N21093" s="676"/>
    </row>
    <row r="21094" spans="14:14" x14ac:dyDescent="0.35">
      <c r="N21094" s="676"/>
    </row>
    <row r="21095" spans="14:14" x14ac:dyDescent="0.35">
      <c r="N21095" s="676"/>
    </row>
    <row r="21096" spans="14:14" x14ac:dyDescent="0.35">
      <c r="N21096" s="676"/>
    </row>
    <row r="21097" spans="14:14" x14ac:dyDescent="0.35">
      <c r="N21097" s="676"/>
    </row>
    <row r="21098" spans="14:14" x14ac:dyDescent="0.35">
      <c r="N21098" s="676"/>
    </row>
    <row r="21099" spans="14:14" x14ac:dyDescent="0.35">
      <c r="N21099" s="676"/>
    </row>
    <row r="21100" spans="14:14" x14ac:dyDescent="0.35">
      <c r="N21100" s="676"/>
    </row>
    <row r="21101" spans="14:14" x14ac:dyDescent="0.35">
      <c r="N21101" s="676"/>
    </row>
    <row r="21102" spans="14:14" x14ac:dyDescent="0.35">
      <c r="N21102" s="676"/>
    </row>
    <row r="21103" spans="14:14" x14ac:dyDescent="0.35">
      <c r="N21103" s="676"/>
    </row>
    <row r="21104" spans="14:14" x14ac:dyDescent="0.35">
      <c r="N21104" s="676"/>
    </row>
    <row r="21105" spans="14:14" x14ac:dyDescent="0.35">
      <c r="N21105" s="676"/>
    </row>
    <row r="21106" spans="14:14" x14ac:dyDescent="0.35">
      <c r="N21106" s="676"/>
    </row>
    <row r="21107" spans="14:14" x14ac:dyDescent="0.35">
      <c r="N21107" s="676"/>
    </row>
    <row r="21108" spans="14:14" x14ac:dyDescent="0.35">
      <c r="N21108" s="676"/>
    </row>
    <row r="21109" spans="14:14" x14ac:dyDescent="0.35">
      <c r="N21109" s="676"/>
    </row>
    <row r="21110" spans="14:14" x14ac:dyDescent="0.35">
      <c r="N21110" s="676"/>
    </row>
    <row r="21111" spans="14:14" x14ac:dyDescent="0.35">
      <c r="N21111" s="676"/>
    </row>
    <row r="21112" spans="14:14" x14ac:dyDescent="0.35">
      <c r="N21112" s="676"/>
    </row>
    <row r="21113" spans="14:14" x14ac:dyDescent="0.35">
      <c r="N21113" s="676"/>
    </row>
    <row r="21114" spans="14:14" x14ac:dyDescent="0.35">
      <c r="N21114" s="676"/>
    </row>
    <row r="21115" spans="14:14" x14ac:dyDescent="0.35">
      <c r="N21115" s="676"/>
    </row>
    <row r="21116" spans="14:14" x14ac:dyDescent="0.35">
      <c r="N21116" s="676"/>
    </row>
    <row r="21117" spans="14:14" x14ac:dyDescent="0.35">
      <c r="N21117" s="676"/>
    </row>
    <row r="21118" spans="14:14" x14ac:dyDescent="0.35">
      <c r="N21118" s="676"/>
    </row>
    <row r="21119" spans="14:14" x14ac:dyDescent="0.35">
      <c r="N21119" s="676"/>
    </row>
    <row r="21120" spans="14:14" x14ac:dyDescent="0.35">
      <c r="N21120" s="676"/>
    </row>
    <row r="21121" spans="14:14" x14ac:dyDescent="0.35">
      <c r="N21121" s="676"/>
    </row>
    <row r="21122" spans="14:14" x14ac:dyDescent="0.35">
      <c r="N21122" s="676"/>
    </row>
    <row r="21123" spans="14:14" x14ac:dyDescent="0.35">
      <c r="N21123" s="676"/>
    </row>
    <row r="21124" spans="14:14" x14ac:dyDescent="0.35">
      <c r="N21124" s="676"/>
    </row>
    <row r="21125" spans="14:14" x14ac:dyDescent="0.35">
      <c r="N21125" s="676"/>
    </row>
    <row r="21126" spans="14:14" x14ac:dyDescent="0.35">
      <c r="N21126" s="676"/>
    </row>
    <row r="21127" spans="14:14" x14ac:dyDescent="0.35">
      <c r="N21127" s="676"/>
    </row>
    <row r="21128" spans="14:14" x14ac:dyDescent="0.35">
      <c r="N21128" s="676"/>
    </row>
    <row r="21129" spans="14:14" x14ac:dyDescent="0.35">
      <c r="N21129" s="676"/>
    </row>
    <row r="21130" spans="14:14" x14ac:dyDescent="0.35">
      <c r="N21130" s="676"/>
    </row>
    <row r="21131" spans="14:14" x14ac:dyDescent="0.35">
      <c r="N21131" s="676"/>
    </row>
    <row r="21132" spans="14:14" x14ac:dyDescent="0.35">
      <c r="N21132" s="676"/>
    </row>
    <row r="21133" spans="14:14" x14ac:dyDescent="0.35">
      <c r="N21133" s="676"/>
    </row>
    <row r="21134" spans="14:14" x14ac:dyDescent="0.35">
      <c r="N21134" s="676"/>
    </row>
    <row r="21135" spans="14:14" x14ac:dyDescent="0.35">
      <c r="N21135" s="676"/>
    </row>
    <row r="21136" spans="14:14" x14ac:dyDescent="0.35">
      <c r="N21136" s="676"/>
    </row>
    <row r="21137" spans="14:14" x14ac:dyDescent="0.35">
      <c r="N21137" s="676"/>
    </row>
    <row r="21138" spans="14:14" x14ac:dyDescent="0.35">
      <c r="N21138" s="676"/>
    </row>
    <row r="21139" spans="14:14" x14ac:dyDescent="0.35">
      <c r="N21139" s="676"/>
    </row>
    <row r="21140" spans="14:14" x14ac:dyDescent="0.35">
      <c r="N21140" s="676"/>
    </row>
    <row r="21141" spans="14:14" x14ac:dyDescent="0.35">
      <c r="N21141" s="676"/>
    </row>
    <row r="21142" spans="14:14" x14ac:dyDescent="0.35">
      <c r="N21142" s="676"/>
    </row>
    <row r="21143" spans="14:14" x14ac:dyDescent="0.35">
      <c r="N21143" s="676"/>
    </row>
    <row r="21144" spans="14:14" x14ac:dyDescent="0.35">
      <c r="N21144" s="676"/>
    </row>
    <row r="21145" spans="14:14" x14ac:dyDescent="0.35">
      <c r="N21145" s="676"/>
    </row>
    <row r="21146" spans="14:14" x14ac:dyDescent="0.35">
      <c r="N21146" s="676"/>
    </row>
    <row r="21147" spans="14:14" x14ac:dyDescent="0.35">
      <c r="N21147" s="676"/>
    </row>
    <row r="21148" spans="14:14" x14ac:dyDescent="0.35">
      <c r="N21148" s="676"/>
    </row>
    <row r="21149" spans="14:14" x14ac:dyDescent="0.35">
      <c r="N21149" s="676"/>
    </row>
    <row r="21150" spans="14:14" x14ac:dyDescent="0.35">
      <c r="N21150" s="676"/>
    </row>
    <row r="21151" spans="14:14" x14ac:dyDescent="0.35">
      <c r="N21151" s="676"/>
    </row>
    <row r="21152" spans="14:14" x14ac:dyDescent="0.35">
      <c r="N21152" s="676"/>
    </row>
    <row r="21153" spans="14:14" x14ac:dyDescent="0.35">
      <c r="N21153" s="676"/>
    </row>
    <row r="21154" spans="14:14" x14ac:dyDescent="0.35">
      <c r="N21154" s="676"/>
    </row>
    <row r="21155" spans="14:14" x14ac:dyDescent="0.35">
      <c r="N21155" s="676"/>
    </row>
    <row r="21156" spans="14:14" x14ac:dyDescent="0.35">
      <c r="N21156" s="676"/>
    </row>
    <row r="21157" spans="14:14" x14ac:dyDescent="0.35">
      <c r="N21157" s="676"/>
    </row>
    <row r="21158" spans="14:14" x14ac:dyDescent="0.35">
      <c r="N21158" s="676"/>
    </row>
    <row r="21159" spans="14:14" x14ac:dyDescent="0.35">
      <c r="N21159" s="676"/>
    </row>
    <row r="21160" spans="14:14" x14ac:dyDescent="0.35">
      <c r="N21160" s="676"/>
    </row>
    <row r="21161" spans="14:14" x14ac:dyDescent="0.35">
      <c r="N21161" s="676"/>
    </row>
    <row r="21162" spans="14:14" x14ac:dyDescent="0.35">
      <c r="N21162" s="676"/>
    </row>
    <row r="21163" spans="14:14" x14ac:dyDescent="0.35">
      <c r="N21163" s="676"/>
    </row>
    <row r="21164" spans="14:14" x14ac:dyDescent="0.35">
      <c r="N21164" s="676"/>
    </row>
    <row r="21165" spans="14:14" x14ac:dyDescent="0.35">
      <c r="N21165" s="676"/>
    </row>
    <row r="21166" spans="14:14" x14ac:dyDescent="0.35">
      <c r="N21166" s="676"/>
    </row>
    <row r="21167" spans="14:14" x14ac:dyDescent="0.35">
      <c r="N21167" s="676"/>
    </row>
    <row r="21168" spans="14:14" x14ac:dyDescent="0.35">
      <c r="N21168" s="676"/>
    </row>
    <row r="21169" spans="14:14" x14ac:dyDescent="0.35">
      <c r="N21169" s="676"/>
    </row>
    <row r="21170" spans="14:14" x14ac:dyDescent="0.35">
      <c r="N21170" s="676"/>
    </row>
    <row r="21171" spans="14:14" x14ac:dyDescent="0.35">
      <c r="N21171" s="676"/>
    </row>
    <row r="21172" spans="14:14" x14ac:dyDescent="0.35">
      <c r="N21172" s="676"/>
    </row>
    <row r="21173" spans="14:14" x14ac:dyDescent="0.35">
      <c r="N21173" s="676"/>
    </row>
    <row r="21174" spans="14:14" x14ac:dyDescent="0.35">
      <c r="N21174" s="676"/>
    </row>
    <row r="21175" spans="14:14" x14ac:dyDescent="0.35">
      <c r="N21175" s="676"/>
    </row>
    <row r="21176" spans="14:14" x14ac:dyDescent="0.35">
      <c r="N21176" s="676"/>
    </row>
    <row r="21177" spans="14:14" x14ac:dyDescent="0.35">
      <c r="N21177" s="676"/>
    </row>
    <row r="21178" spans="14:14" x14ac:dyDescent="0.35">
      <c r="N21178" s="676"/>
    </row>
    <row r="21179" spans="14:14" x14ac:dyDescent="0.35">
      <c r="N21179" s="676"/>
    </row>
    <row r="21180" spans="14:14" x14ac:dyDescent="0.35">
      <c r="N21180" s="676"/>
    </row>
    <row r="21181" spans="14:14" x14ac:dyDescent="0.35">
      <c r="N21181" s="676"/>
    </row>
    <row r="21182" spans="14:14" x14ac:dyDescent="0.35">
      <c r="N21182" s="676"/>
    </row>
    <row r="21183" spans="14:14" x14ac:dyDescent="0.35">
      <c r="N21183" s="676"/>
    </row>
    <row r="21184" spans="14:14" x14ac:dyDescent="0.35">
      <c r="N21184" s="676"/>
    </row>
    <row r="21185" spans="14:14" x14ac:dyDescent="0.35">
      <c r="N21185" s="676"/>
    </row>
    <row r="21186" spans="14:14" x14ac:dyDescent="0.35">
      <c r="N21186" s="676"/>
    </row>
    <row r="21187" spans="14:14" x14ac:dyDescent="0.35">
      <c r="N21187" s="676"/>
    </row>
    <row r="21188" spans="14:14" x14ac:dyDescent="0.35">
      <c r="N21188" s="676"/>
    </row>
    <row r="21189" spans="14:14" x14ac:dyDescent="0.35">
      <c r="N21189" s="676"/>
    </row>
    <row r="21190" spans="14:14" x14ac:dyDescent="0.35">
      <c r="N21190" s="676"/>
    </row>
    <row r="21191" spans="14:14" x14ac:dyDescent="0.35">
      <c r="N21191" s="676"/>
    </row>
    <row r="21192" spans="14:14" x14ac:dyDescent="0.35">
      <c r="N21192" s="676"/>
    </row>
    <row r="21193" spans="14:14" x14ac:dyDescent="0.35">
      <c r="N21193" s="676"/>
    </row>
    <row r="21194" spans="14:14" x14ac:dyDescent="0.35">
      <c r="N21194" s="676"/>
    </row>
    <row r="21195" spans="14:14" x14ac:dyDescent="0.35">
      <c r="N21195" s="676"/>
    </row>
    <row r="21196" spans="14:14" x14ac:dyDescent="0.35">
      <c r="N21196" s="676"/>
    </row>
    <row r="21197" spans="14:14" x14ac:dyDescent="0.35">
      <c r="N21197" s="676"/>
    </row>
    <row r="21198" spans="14:14" x14ac:dyDescent="0.35">
      <c r="N21198" s="676"/>
    </row>
    <row r="21199" spans="14:14" x14ac:dyDescent="0.35">
      <c r="N21199" s="676"/>
    </row>
    <row r="21200" spans="14:14" x14ac:dyDescent="0.35">
      <c r="N21200" s="676"/>
    </row>
    <row r="21201" spans="14:14" x14ac:dyDescent="0.35">
      <c r="N21201" s="676"/>
    </row>
    <row r="21202" spans="14:14" x14ac:dyDescent="0.35">
      <c r="N21202" s="676"/>
    </row>
    <row r="21203" spans="14:14" x14ac:dyDescent="0.35">
      <c r="N21203" s="676"/>
    </row>
    <row r="21204" spans="14:14" x14ac:dyDescent="0.35">
      <c r="N21204" s="676"/>
    </row>
    <row r="21205" spans="14:14" x14ac:dyDescent="0.35">
      <c r="N21205" s="676"/>
    </row>
    <row r="21206" spans="14:14" x14ac:dyDescent="0.35">
      <c r="N21206" s="676"/>
    </row>
    <row r="21207" spans="14:14" x14ac:dyDescent="0.35">
      <c r="N21207" s="676"/>
    </row>
    <row r="21208" spans="14:14" x14ac:dyDescent="0.35">
      <c r="N21208" s="676"/>
    </row>
    <row r="21209" spans="14:14" x14ac:dyDescent="0.35">
      <c r="N21209" s="676"/>
    </row>
    <row r="21210" spans="14:14" x14ac:dyDescent="0.35">
      <c r="N21210" s="676"/>
    </row>
    <row r="21211" spans="14:14" x14ac:dyDescent="0.35">
      <c r="N21211" s="676"/>
    </row>
    <row r="21212" spans="14:14" x14ac:dyDescent="0.35">
      <c r="N21212" s="676"/>
    </row>
    <row r="21213" spans="14:14" x14ac:dyDescent="0.35">
      <c r="N21213" s="676"/>
    </row>
    <row r="21214" spans="14:14" x14ac:dyDescent="0.35">
      <c r="N21214" s="676"/>
    </row>
    <row r="21215" spans="14:14" x14ac:dyDescent="0.35">
      <c r="N21215" s="676"/>
    </row>
    <row r="21216" spans="14:14" x14ac:dyDescent="0.35">
      <c r="N21216" s="676"/>
    </row>
    <row r="21217" spans="14:14" x14ac:dyDescent="0.35">
      <c r="N21217" s="676"/>
    </row>
    <row r="21218" spans="14:14" x14ac:dyDescent="0.35">
      <c r="N21218" s="676"/>
    </row>
    <row r="21219" spans="14:14" x14ac:dyDescent="0.35">
      <c r="N21219" s="676"/>
    </row>
    <row r="21220" spans="14:14" x14ac:dyDescent="0.35">
      <c r="N21220" s="676"/>
    </row>
    <row r="21221" spans="14:14" x14ac:dyDescent="0.35">
      <c r="N21221" s="676"/>
    </row>
    <row r="21222" spans="14:14" x14ac:dyDescent="0.35">
      <c r="N21222" s="676"/>
    </row>
    <row r="21223" spans="14:14" x14ac:dyDescent="0.35">
      <c r="N21223" s="676"/>
    </row>
    <row r="21224" spans="14:14" x14ac:dyDescent="0.35">
      <c r="N21224" s="676"/>
    </row>
    <row r="21225" spans="14:14" x14ac:dyDescent="0.35">
      <c r="N21225" s="676"/>
    </row>
    <row r="21226" spans="14:14" x14ac:dyDescent="0.35">
      <c r="N21226" s="676"/>
    </row>
    <row r="21227" spans="14:14" x14ac:dyDescent="0.35">
      <c r="N21227" s="676"/>
    </row>
    <row r="21228" spans="14:14" x14ac:dyDescent="0.35">
      <c r="N21228" s="676"/>
    </row>
    <row r="21229" spans="14:14" x14ac:dyDescent="0.35">
      <c r="N21229" s="676"/>
    </row>
    <row r="21230" spans="14:14" x14ac:dyDescent="0.35">
      <c r="N21230" s="676"/>
    </row>
    <row r="21231" spans="14:14" x14ac:dyDescent="0.35">
      <c r="N21231" s="676"/>
    </row>
    <row r="21232" spans="14:14" x14ac:dyDescent="0.35">
      <c r="N21232" s="676"/>
    </row>
    <row r="21233" spans="14:14" x14ac:dyDescent="0.35">
      <c r="N21233" s="676"/>
    </row>
    <row r="21234" spans="14:14" x14ac:dyDescent="0.35">
      <c r="N21234" s="676"/>
    </row>
    <row r="21235" spans="14:14" x14ac:dyDescent="0.35">
      <c r="N21235" s="676"/>
    </row>
    <row r="21236" spans="14:14" x14ac:dyDescent="0.35">
      <c r="N21236" s="676"/>
    </row>
    <row r="21237" spans="14:14" x14ac:dyDescent="0.35">
      <c r="N21237" s="676"/>
    </row>
    <row r="21238" spans="14:14" x14ac:dyDescent="0.35">
      <c r="N21238" s="676"/>
    </row>
    <row r="21239" spans="14:14" x14ac:dyDescent="0.35">
      <c r="N21239" s="676"/>
    </row>
    <row r="21240" spans="14:14" x14ac:dyDescent="0.35">
      <c r="N21240" s="676"/>
    </row>
    <row r="21241" spans="14:14" x14ac:dyDescent="0.35">
      <c r="N21241" s="676"/>
    </row>
    <row r="21242" spans="14:14" x14ac:dyDescent="0.35">
      <c r="N21242" s="676"/>
    </row>
    <row r="21243" spans="14:14" x14ac:dyDescent="0.35">
      <c r="N21243" s="676"/>
    </row>
    <row r="21244" spans="14:14" x14ac:dyDescent="0.35">
      <c r="N21244" s="676"/>
    </row>
    <row r="21245" spans="14:14" x14ac:dyDescent="0.35">
      <c r="N21245" s="676"/>
    </row>
    <row r="21246" spans="14:14" x14ac:dyDescent="0.35">
      <c r="N21246" s="676"/>
    </row>
    <row r="21247" spans="14:14" x14ac:dyDescent="0.35">
      <c r="N21247" s="676"/>
    </row>
    <row r="21248" spans="14:14" x14ac:dyDescent="0.35">
      <c r="N21248" s="676"/>
    </row>
    <row r="21249" spans="14:14" x14ac:dyDescent="0.35">
      <c r="N21249" s="676"/>
    </row>
    <row r="21250" spans="14:14" x14ac:dyDescent="0.35">
      <c r="N21250" s="676"/>
    </row>
    <row r="21251" spans="14:14" x14ac:dyDescent="0.35">
      <c r="N21251" s="676"/>
    </row>
    <row r="21252" spans="14:14" x14ac:dyDescent="0.35">
      <c r="N21252" s="676"/>
    </row>
    <row r="21253" spans="14:14" x14ac:dyDescent="0.35">
      <c r="N21253" s="676"/>
    </row>
    <row r="21254" spans="14:14" x14ac:dyDescent="0.35">
      <c r="N21254" s="676"/>
    </row>
    <row r="21255" spans="14:14" x14ac:dyDescent="0.35">
      <c r="N21255" s="676"/>
    </row>
    <row r="21256" spans="14:14" x14ac:dyDescent="0.35">
      <c r="N21256" s="676"/>
    </row>
    <row r="21257" spans="14:14" x14ac:dyDescent="0.35">
      <c r="N21257" s="676"/>
    </row>
    <row r="21258" spans="14:14" x14ac:dyDescent="0.35">
      <c r="N21258" s="676"/>
    </row>
    <row r="21259" spans="14:14" x14ac:dyDescent="0.35">
      <c r="N21259" s="676"/>
    </row>
    <row r="21260" spans="14:14" x14ac:dyDescent="0.35">
      <c r="N21260" s="676"/>
    </row>
    <row r="21261" spans="14:14" x14ac:dyDescent="0.35">
      <c r="N21261" s="676"/>
    </row>
    <row r="21262" spans="14:14" x14ac:dyDescent="0.35">
      <c r="N21262" s="676"/>
    </row>
    <row r="21263" spans="14:14" x14ac:dyDescent="0.35">
      <c r="N21263" s="676"/>
    </row>
    <row r="21264" spans="14:14" x14ac:dyDescent="0.35">
      <c r="N21264" s="676"/>
    </row>
    <row r="21265" spans="14:14" x14ac:dyDescent="0.35">
      <c r="N21265" s="676"/>
    </row>
    <row r="21266" spans="14:14" x14ac:dyDescent="0.35">
      <c r="N21266" s="676"/>
    </row>
    <row r="21267" spans="14:14" x14ac:dyDescent="0.35">
      <c r="N21267" s="676"/>
    </row>
    <row r="21268" spans="14:14" x14ac:dyDescent="0.35">
      <c r="N21268" s="676"/>
    </row>
    <row r="21269" spans="14:14" x14ac:dyDescent="0.35">
      <c r="N21269" s="676"/>
    </row>
    <row r="21270" spans="14:14" x14ac:dyDescent="0.35">
      <c r="N21270" s="676"/>
    </row>
    <row r="21271" spans="14:14" x14ac:dyDescent="0.35">
      <c r="N21271" s="676"/>
    </row>
    <row r="21272" spans="14:14" x14ac:dyDescent="0.35">
      <c r="N21272" s="676"/>
    </row>
    <row r="21273" spans="14:14" x14ac:dyDescent="0.35">
      <c r="N21273" s="676"/>
    </row>
    <row r="21274" spans="14:14" x14ac:dyDescent="0.35">
      <c r="N21274" s="676"/>
    </row>
    <row r="21275" spans="14:14" x14ac:dyDescent="0.35">
      <c r="N21275" s="676"/>
    </row>
    <row r="21276" spans="14:14" x14ac:dyDescent="0.35">
      <c r="N21276" s="676"/>
    </row>
    <row r="21277" spans="14:14" x14ac:dyDescent="0.35">
      <c r="N21277" s="676"/>
    </row>
    <row r="21278" spans="14:14" x14ac:dyDescent="0.35">
      <c r="N21278" s="676"/>
    </row>
    <row r="21279" spans="14:14" x14ac:dyDescent="0.35">
      <c r="N21279" s="676"/>
    </row>
    <row r="21280" spans="14:14" x14ac:dyDescent="0.35">
      <c r="N21280" s="676"/>
    </row>
    <row r="21281" spans="14:14" x14ac:dyDescent="0.35">
      <c r="N21281" s="676"/>
    </row>
    <row r="21282" spans="14:14" x14ac:dyDescent="0.35">
      <c r="N21282" s="676"/>
    </row>
    <row r="21283" spans="14:14" x14ac:dyDescent="0.35">
      <c r="N21283" s="676"/>
    </row>
    <row r="21284" spans="14:14" x14ac:dyDescent="0.35">
      <c r="N21284" s="676"/>
    </row>
    <row r="21285" spans="14:14" x14ac:dyDescent="0.35">
      <c r="N21285" s="676"/>
    </row>
    <row r="21286" spans="14:14" x14ac:dyDescent="0.35">
      <c r="N21286" s="676"/>
    </row>
    <row r="21287" spans="14:14" x14ac:dyDescent="0.35">
      <c r="N21287" s="676"/>
    </row>
    <row r="21288" spans="14:14" x14ac:dyDescent="0.35">
      <c r="N21288" s="676"/>
    </row>
    <row r="21289" spans="14:14" x14ac:dyDescent="0.35">
      <c r="N21289" s="676"/>
    </row>
    <row r="21290" spans="14:14" x14ac:dyDescent="0.35">
      <c r="N21290" s="676"/>
    </row>
    <row r="21291" spans="14:14" x14ac:dyDescent="0.35">
      <c r="N21291" s="676"/>
    </row>
    <row r="21292" spans="14:14" x14ac:dyDescent="0.35">
      <c r="N21292" s="676"/>
    </row>
    <row r="21293" spans="14:14" x14ac:dyDescent="0.35">
      <c r="N21293" s="676"/>
    </row>
    <row r="21294" spans="14:14" x14ac:dyDescent="0.35">
      <c r="N21294" s="676"/>
    </row>
    <row r="21295" spans="14:14" x14ac:dyDescent="0.35">
      <c r="N21295" s="676"/>
    </row>
    <row r="21296" spans="14:14" x14ac:dyDescent="0.35">
      <c r="N21296" s="676"/>
    </row>
    <row r="21297" spans="14:14" x14ac:dyDescent="0.35">
      <c r="N21297" s="676"/>
    </row>
    <row r="21298" spans="14:14" x14ac:dyDescent="0.35">
      <c r="N21298" s="676"/>
    </row>
    <row r="21299" spans="14:14" x14ac:dyDescent="0.35">
      <c r="N21299" s="676"/>
    </row>
    <row r="21300" spans="14:14" x14ac:dyDescent="0.35">
      <c r="N21300" s="676"/>
    </row>
    <row r="21301" spans="14:14" x14ac:dyDescent="0.35">
      <c r="N21301" s="676"/>
    </row>
    <row r="21302" spans="14:14" x14ac:dyDescent="0.35">
      <c r="N21302" s="676"/>
    </row>
    <row r="21303" spans="14:14" x14ac:dyDescent="0.35">
      <c r="N21303" s="676"/>
    </row>
    <row r="21304" spans="14:14" x14ac:dyDescent="0.35">
      <c r="N21304" s="676"/>
    </row>
    <row r="21305" spans="14:14" x14ac:dyDescent="0.35">
      <c r="N21305" s="676"/>
    </row>
    <row r="21306" spans="14:14" x14ac:dyDescent="0.35">
      <c r="N21306" s="676"/>
    </row>
    <row r="21307" spans="14:14" x14ac:dyDescent="0.35">
      <c r="N21307" s="676"/>
    </row>
    <row r="21308" spans="14:14" x14ac:dyDescent="0.35">
      <c r="N21308" s="676"/>
    </row>
    <row r="21309" spans="14:14" x14ac:dyDescent="0.35">
      <c r="N21309" s="676"/>
    </row>
    <row r="21310" spans="14:14" x14ac:dyDescent="0.35">
      <c r="N21310" s="676"/>
    </row>
    <row r="21311" spans="14:14" x14ac:dyDescent="0.35">
      <c r="N21311" s="676"/>
    </row>
    <row r="21312" spans="14:14" x14ac:dyDescent="0.35">
      <c r="N21312" s="676"/>
    </row>
    <row r="21313" spans="14:14" x14ac:dyDescent="0.35">
      <c r="N21313" s="676"/>
    </row>
    <row r="21314" spans="14:14" x14ac:dyDescent="0.35">
      <c r="N21314" s="676"/>
    </row>
    <row r="21315" spans="14:14" x14ac:dyDescent="0.35">
      <c r="N21315" s="676"/>
    </row>
    <row r="21316" spans="14:14" x14ac:dyDescent="0.35">
      <c r="N21316" s="676"/>
    </row>
    <row r="21317" spans="14:14" x14ac:dyDescent="0.35">
      <c r="N21317" s="676"/>
    </row>
    <row r="21318" spans="14:14" x14ac:dyDescent="0.35">
      <c r="N21318" s="676"/>
    </row>
    <row r="21319" spans="14:14" x14ac:dyDescent="0.35">
      <c r="N21319" s="676"/>
    </row>
    <row r="21320" spans="14:14" x14ac:dyDescent="0.35">
      <c r="N21320" s="676"/>
    </row>
    <row r="21321" spans="14:14" x14ac:dyDescent="0.35">
      <c r="N21321" s="676"/>
    </row>
    <row r="21322" spans="14:14" x14ac:dyDescent="0.35">
      <c r="N21322" s="676"/>
    </row>
    <row r="21323" spans="14:14" x14ac:dyDescent="0.35">
      <c r="N21323" s="676"/>
    </row>
    <row r="21324" spans="14:14" x14ac:dyDescent="0.35">
      <c r="N21324" s="676"/>
    </row>
    <row r="21325" spans="14:14" x14ac:dyDescent="0.35">
      <c r="N21325" s="676"/>
    </row>
    <row r="21326" spans="14:14" x14ac:dyDescent="0.35">
      <c r="N21326" s="676"/>
    </row>
    <row r="21327" spans="14:14" x14ac:dyDescent="0.35">
      <c r="N21327" s="676"/>
    </row>
    <row r="21328" spans="14:14" x14ac:dyDescent="0.35">
      <c r="N21328" s="676"/>
    </row>
    <row r="21329" spans="14:14" x14ac:dyDescent="0.35">
      <c r="N21329" s="676"/>
    </row>
    <row r="21330" spans="14:14" x14ac:dyDescent="0.35">
      <c r="N21330" s="676"/>
    </row>
    <row r="21331" spans="14:14" x14ac:dyDescent="0.35">
      <c r="N21331" s="676"/>
    </row>
    <row r="21332" spans="14:14" x14ac:dyDescent="0.35">
      <c r="N21332" s="676"/>
    </row>
    <row r="21333" spans="14:14" x14ac:dyDescent="0.35">
      <c r="N21333" s="676"/>
    </row>
    <row r="21334" spans="14:14" x14ac:dyDescent="0.35">
      <c r="N21334" s="676"/>
    </row>
    <row r="21335" spans="14:14" x14ac:dyDescent="0.35">
      <c r="N21335" s="676"/>
    </row>
    <row r="21336" spans="14:14" x14ac:dyDescent="0.35">
      <c r="N21336" s="676"/>
    </row>
    <row r="21337" spans="14:14" x14ac:dyDescent="0.35">
      <c r="N21337" s="676"/>
    </row>
    <row r="21338" spans="14:14" x14ac:dyDescent="0.35">
      <c r="N21338" s="676"/>
    </row>
    <row r="21339" spans="14:14" x14ac:dyDescent="0.35">
      <c r="N21339" s="676"/>
    </row>
    <row r="21340" spans="14:14" x14ac:dyDescent="0.35">
      <c r="N21340" s="676"/>
    </row>
    <row r="21341" spans="14:14" x14ac:dyDescent="0.35">
      <c r="N21341" s="676"/>
    </row>
    <row r="21342" spans="14:14" x14ac:dyDescent="0.35">
      <c r="N21342" s="676"/>
    </row>
    <row r="21343" spans="14:14" x14ac:dyDescent="0.35">
      <c r="N21343" s="676"/>
    </row>
    <row r="21344" spans="14:14" x14ac:dyDescent="0.35">
      <c r="N21344" s="676"/>
    </row>
    <row r="21345" spans="14:14" x14ac:dyDescent="0.35">
      <c r="N21345" s="676"/>
    </row>
    <row r="21346" spans="14:14" x14ac:dyDescent="0.35">
      <c r="N21346" s="676"/>
    </row>
    <row r="21347" spans="14:14" x14ac:dyDescent="0.35">
      <c r="N21347" s="676"/>
    </row>
    <row r="21348" spans="14:14" x14ac:dyDescent="0.35">
      <c r="N21348" s="676"/>
    </row>
    <row r="21349" spans="14:14" x14ac:dyDescent="0.35">
      <c r="N21349" s="676"/>
    </row>
    <row r="21350" spans="14:14" x14ac:dyDescent="0.35">
      <c r="N21350" s="676"/>
    </row>
    <row r="21351" spans="14:14" x14ac:dyDescent="0.35">
      <c r="N21351" s="676"/>
    </row>
    <row r="21352" spans="14:14" x14ac:dyDescent="0.35">
      <c r="N21352" s="676"/>
    </row>
    <row r="21353" spans="14:14" x14ac:dyDescent="0.35">
      <c r="N21353" s="676"/>
    </row>
    <row r="21354" spans="14:14" x14ac:dyDescent="0.35">
      <c r="N21354" s="676"/>
    </row>
    <row r="21355" spans="14:14" x14ac:dyDescent="0.35">
      <c r="N21355" s="676"/>
    </row>
    <row r="21356" spans="14:14" x14ac:dyDescent="0.35">
      <c r="N21356" s="676"/>
    </row>
    <row r="21357" spans="14:14" x14ac:dyDescent="0.35">
      <c r="N21357" s="676"/>
    </row>
    <row r="21358" spans="14:14" x14ac:dyDescent="0.35">
      <c r="N21358" s="676"/>
    </row>
    <row r="21359" spans="14:14" x14ac:dyDescent="0.35">
      <c r="N21359" s="676"/>
    </row>
    <row r="21360" spans="14:14" x14ac:dyDescent="0.35">
      <c r="N21360" s="676"/>
    </row>
    <row r="21361" spans="14:14" x14ac:dyDescent="0.35">
      <c r="N21361" s="676"/>
    </row>
    <row r="21362" spans="14:14" x14ac:dyDescent="0.35">
      <c r="N21362" s="676"/>
    </row>
    <row r="21363" spans="14:14" x14ac:dyDescent="0.35">
      <c r="N21363" s="676"/>
    </row>
    <row r="21364" spans="14:14" x14ac:dyDescent="0.35">
      <c r="N21364" s="676"/>
    </row>
    <row r="21365" spans="14:14" x14ac:dyDescent="0.35">
      <c r="N21365" s="676"/>
    </row>
    <row r="21366" spans="14:14" x14ac:dyDescent="0.35">
      <c r="N21366" s="676"/>
    </row>
    <row r="21367" spans="14:14" x14ac:dyDescent="0.35">
      <c r="N21367" s="676"/>
    </row>
    <row r="21368" spans="14:14" x14ac:dyDescent="0.35">
      <c r="N21368" s="676"/>
    </row>
    <row r="21369" spans="14:14" x14ac:dyDescent="0.35">
      <c r="N21369" s="676"/>
    </row>
    <row r="21370" spans="14:14" x14ac:dyDescent="0.35">
      <c r="N21370" s="676"/>
    </row>
    <row r="21371" spans="14:14" x14ac:dyDescent="0.35">
      <c r="N21371" s="676"/>
    </row>
    <row r="21372" spans="14:14" x14ac:dyDescent="0.35">
      <c r="N21372" s="676"/>
    </row>
    <row r="21373" spans="14:14" x14ac:dyDescent="0.35">
      <c r="N21373" s="676"/>
    </row>
    <row r="21374" spans="14:14" x14ac:dyDescent="0.35">
      <c r="N21374" s="676"/>
    </row>
    <row r="21375" spans="14:14" x14ac:dyDescent="0.35">
      <c r="N21375" s="676"/>
    </row>
    <row r="21376" spans="14:14" x14ac:dyDescent="0.35">
      <c r="N21376" s="676"/>
    </row>
    <row r="21377" spans="14:14" x14ac:dyDescent="0.35">
      <c r="N21377" s="676"/>
    </row>
    <row r="21378" spans="14:14" x14ac:dyDescent="0.35">
      <c r="N21378" s="676"/>
    </row>
    <row r="21379" spans="14:14" x14ac:dyDescent="0.35">
      <c r="N21379" s="676"/>
    </row>
    <row r="21380" spans="14:14" x14ac:dyDescent="0.35">
      <c r="N21380" s="676"/>
    </row>
    <row r="21381" spans="14:14" x14ac:dyDescent="0.35">
      <c r="N21381" s="676"/>
    </row>
    <row r="21382" spans="14:14" x14ac:dyDescent="0.35">
      <c r="N21382" s="676"/>
    </row>
    <row r="21383" spans="14:14" x14ac:dyDescent="0.35">
      <c r="N21383" s="676"/>
    </row>
    <row r="21384" spans="14:14" x14ac:dyDescent="0.35">
      <c r="N21384" s="676"/>
    </row>
    <row r="21385" spans="14:14" x14ac:dyDescent="0.35">
      <c r="N21385" s="676"/>
    </row>
    <row r="21386" spans="14:14" x14ac:dyDescent="0.35">
      <c r="N21386" s="676"/>
    </row>
    <row r="21387" spans="14:14" x14ac:dyDescent="0.35">
      <c r="N21387" s="676"/>
    </row>
    <row r="21388" spans="14:14" x14ac:dyDescent="0.35">
      <c r="N21388" s="676"/>
    </row>
    <row r="21389" spans="14:14" x14ac:dyDescent="0.35">
      <c r="N21389" s="676"/>
    </row>
    <row r="21390" spans="14:14" x14ac:dyDescent="0.35">
      <c r="N21390" s="676"/>
    </row>
    <row r="21391" spans="14:14" x14ac:dyDescent="0.35">
      <c r="N21391" s="676"/>
    </row>
    <row r="21392" spans="14:14" x14ac:dyDescent="0.35">
      <c r="N21392" s="676"/>
    </row>
    <row r="21393" spans="14:14" x14ac:dyDescent="0.35">
      <c r="N21393" s="676"/>
    </row>
    <row r="21394" spans="14:14" x14ac:dyDescent="0.35">
      <c r="N21394" s="676"/>
    </row>
    <row r="21395" spans="14:14" x14ac:dyDescent="0.35">
      <c r="N21395" s="676"/>
    </row>
    <row r="21396" spans="14:14" x14ac:dyDescent="0.35">
      <c r="N21396" s="676"/>
    </row>
    <row r="21397" spans="14:14" x14ac:dyDescent="0.35">
      <c r="N21397" s="676"/>
    </row>
    <row r="21398" spans="14:14" x14ac:dyDescent="0.35">
      <c r="N21398" s="676"/>
    </row>
    <row r="21399" spans="14:14" x14ac:dyDescent="0.35">
      <c r="N21399" s="676"/>
    </row>
    <row r="21400" spans="14:14" x14ac:dyDescent="0.35">
      <c r="N21400" s="676"/>
    </row>
    <row r="21401" spans="14:14" x14ac:dyDescent="0.35">
      <c r="N21401" s="676"/>
    </row>
    <row r="21402" spans="14:14" x14ac:dyDescent="0.35">
      <c r="N21402" s="676"/>
    </row>
    <row r="21403" spans="14:14" x14ac:dyDescent="0.35">
      <c r="N21403" s="676"/>
    </row>
    <row r="21404" spans="14:14" x14ac:dyDescent="0.35">
      <c r="N21404" s="676"/>
    </row>
    <row r="21405" spans="14:14" x14ac:dyDescent="0.35">
      <c r="N21405" s="676"/>
    </row>
    <row r="21406" spans="14:14" x14ac:dyDescent="0.35">
      <c r="N21406" s="676"/>
    </row>
    <row r="21407" spans="14:14" x14ac:dyDescent="0.35">
      <c r="N21407" s="676"/>
    </row>
    <row r="21408" spans="14:14" x14ac:dyDescent="0.35">
      <c r="N21408" s="676"/>
    </row>
    <row r="21409" spans="14:14" x14ac:dyDescent="0.35">
      <c r="N21409" s="676"/>
    </row>
    <row r="21410" spans="14:14" x14ac:dyDescent="0.35">
      <c r="N21410" s="676"/>
    </row>
    <row r="21411" spans="14:14" x14ac:dyDescent="0.35">
      <c r="N21411" s="676"/>
    </row>
    <row r="21412" spans="14:14" x14ac:dyDescent="0.35">
      <c r="N21412" s="676"/>
    </row>
    <row r="21413" spans="14:14" x14ac:dyDescent="0.35">
      <c r="N21413" s="676"/>
    </row>
    <row r="21414" spans="14:14" x14ac:dyDescent="0.35">
      <c r="N21414" s="676"/>
    </row>
    <row r="21415" spans="14:14" x14ac:dyDescent="0.35">
      <c r="N21415" s="676"/>
    </row>
    <row r="21416" spans="14:14" x14ac:dyDescent="0.35">
      <c r="N21416" s="676"/>
    </row>
    <row r="21417" spans="14:14" x14ac:dyDescent="0.35">
      <c r="N21417" s="676"/>
    </row>
    <row r="21418" spans="14:14" x14ac:dyDescent="0.35">
      <c r="N21418" s="676"/>
    </row>
    <row r="21419" spans="14:14" x14ac:dyDescent="0.35">
      <c r="N21419" s="676"/>
    </row>
    <row r="21420" spans="14:14" x14ac:dyDescent="0.35">
      <c r="N21420" s="676"/>
    </row>
    <row r="21421" spans="14:14" x14ac:dyDescent="0.35">
      <c r="N21421" s="676"/>
    </row>
    <row r="21422" spans="14:14" x14ac:dyDescent="0.35">
      <c r="N21422" s="676"/>
    </row>
    <row r="21423" spans="14:14" x14ac:dyDescent="0.35">
      <c r="N21423" s="676"/>
    </row>
    <row r="21424" spans="14:14" x14ac:dyDescent="0.35">
      <c r="N21424" s="676"/>
    </row>
    <row r="21425" spans="14:14" x14ac:dyDescent="0.35">
      <c r="N21425" s="676"/>
    </row>
    <row r="21426" spans="14:14" x14ac:dyDescent="0.35">
      <c r="N21426" s="676"/>
    </row>
    <row r="21427" spans="14:14" x14ac:dyDescent="0.35">
      <c r="N21427" s="676"/>
    </row>
    <row r="21428" spans="14:14" x14ac:dyDescent="0.35">
      <c r="N21428" s="676"/>
    </row>
    <row r="21429" spans="14:14" x14ac:dyDescent="0.35">
      <c r="N21429" s="676"/>
    </row>
    <row r="21430" spans="14:14" x14ac:dyDescent="0.35">
      <c r="N21430" s="676"/>
    </row>
    <row r="21431" spans="14:14" x14ac:dyDescent="0.35">
      <c r="N21431" s="676"/>
    </row>
    <row r="21432" spans="14:14" x14ac:dyDescent="0.35">
      <c r="N21432" s="676"/>
    </row>
    <row r="21433" spans="14:14" x14ac:dyDescent="0.35">
      <c r="N21433" s="676"/>
    </row>
    <row r="21434" spans="14:14" x14ac:dyDescent="0.35">
      <c r="N21434" s="676"/>
    </row>
    <row r="21435" spans="14:14" x14ac:dyDescent="0.35">
      <c r="N21435" s="676"/>
    </row>
    <row r="21436" spans="14:14" x14ac:dyDescent="0.35">
      <c r="N21436" s="676"/>
    </row>
    <row r="21437" spans="14:14" x14ac:dyDescent="0.35">
      <c r="N21437" s="676"/>
    </row>
    <row r="21438" spans="14:14" x14ac:dyDescent="0.35">
      <c r="N21438" s="676"/>
    </row>
    <row r="21439" spans="14:14" x14ac:dyDescent="0.35">
      <c r="N21439" s="676"/>
    </row>
    <row r="21440" spans="14:14" x14ac:dyDescent="0.35">
      <c r="N21440" s="676"/>
    </row>
    <row r="21441" spans="14:14" x14ac:dyDescent="0.35">
      <c r="N21441" s="676"/>
    </row>
    <row r="21442" spans="14:14" x14ac:dyDescent="0.35">
      <c r="N21442" s="676"/>
    </row>
    <row r="21443" spans="14:14" x14ac:dyDescent="0.35">
      <c r="N21443" s="676"/>
    </row>
    <row r="21444" spans="14:14" x14ac:dyDescent="0.35">
      <c r="N21444" s="676"/>
    </row>
    <row r="21445" spans="14:14" x14ac:dyDescent="0.35">
      <c r="N21445" s="676"/>
    </row>
    <row r="21446" spans="14:14" x14ac:dyDescent="0.35">
      <c r="N21446" s="676"/>
    </row>
    <row r="21447" spans="14:14" x14ac:dyDescent="0.35">
      <c r="N21447" s="676"/>
    </row>
    <row r="21448" spans="14:14" x14ac:dyDescent="0.35">
      <c r="N21448" s="676"/>
    </row>
    <row r="21449" spans="14:14" x14ac:dyDescent="0.35">
      <c r="N21449" s="676"/>
    </row>
    <row r="21450" spans="14:14" x14ac:dyDescent="0.35">
      <c r="N21450" s="676"/>
    </row>
    <row r="21451" spans="14:14" x14ac:dyDescent="0.35">
      <c r="N21451" s="676"/>
    </row>
    <row r="21452" spans="14:14" x14ac:dyDescent="0.35">
      <c r="N21452" s="676"/>
    </row>
    <row r="21453" spans="14:14" x14ac:dyDescent="0.35">
      <c r="N21453" s="676"/>
    </row>
    <row r="21454" spans="14:14" x14ac:dyDescent="0.35">
      <c r="N21454" s="676"/>
    </row>
    <row r="21455" spans="14:14" x14ac:dyDescent="0.35">
      <c r="N21455" s="676"/>
    </row>
    <row r="21456" spans="14:14" x14ac:dyDescent="0.35">
      <c r="N21456" s="676"/>
    </row>
    <row r="21457" spans="14:14" x14ac:dyDescent="0.35">
      <c r="N21457" s="676"/>
    </row>
    <row r="21458" spans="14:14" x14ac:dyDescent="0.35">
      <c r="N21458" s="676"/>
    </row>
    <row r="21459" spans="14:14" x14ac:dyDescent="0.35">
      <c r="N21459" s="676"/>
    </row>
    <row r="21460" spans="14:14" x14ac:dyDescent="0.35">
      <c r="N21460" s="676"/>
    </row>
    <row r="21461" spans="14:14" x14ac:dyDescent="0.35">
      <c r="N21461" s="676"/>
    </row>
    <row r="21462" spans="14:14" x14ac:dyDescent="0.35">
      <c r="N21462" s="676"/>
    </row>
    <row r="21463" spans="14:14" x14ac:dyDescent="0.35">
      <c r="N21463" s="676"/>
    </row>
    <row r="21464" spans="14:14" x14ac:dyDescent="0.35">
      <c r="N21464" s="676"/>
    </row>
    <row r="21465" spans="14:14" x14ac:dyDescent="0.35">
      <c r="N21465" s="676"/>
    </row>
    <row r="21466" spans="14:14" x14ac:dyDescent="0.35">
      <c r="N21466" s="676"/>
    </row>
    <row r="21467" spans="14:14" x14ac:dyDescent="0.35">
      <c r="N21467" s="676"/>
    </row>
    <row r="21468" spans="14:14" x14ac:dyDescent="0.35">
      <c r="N21468" s="676"/>
    </row>
    <row r="21469" spans="14:14" x14ac:dyDescent="0.35">
      <c r="N21469" s="676"/>
    </row>
    <row r="21470" spans="14:14" x14ac:dyDescent="0.35">
      <c r="N21470" s="676"/>
    </row>
    <row r="21471" spans="14:14" x14ac:dyDescent="0.35">
      <c r="N21471" s="676"/>
    </row>
    <row r="21472" spans="14:14" x14ac:dyDescent="0.35">
      <c r="N21472" s="676"/>
    </row>
    <row r="21473" spans="14:14" x14ac:dyDescent="0.35">
      <c r="N21473" s="676"/>
    </row>
    <row r="21474" spans="14:14" x14ac:dyDescent="0.35">
      <c r="N21474" s="676"/>
    </row>
    <row r="21475" spans="14:14" x14ac:dyDescent="0.35">
      <c r="N21475" s="676"/>
    </row>
    <row r="21476" spans="14:14" x14ac:dyDescent="0.35">
      <c r="N21476" s="676"/>
    </row>
    <row r="21477" spans="14:14" x14ac:dyDescent="0.35">
      <c r="N21477" s="676"/>
    </row>
    <row r="21478" spans="14:14" x14ac:dyDescent="0.35">
      <c r="N21478" s="676"/>
    </row>
    <row r="21479" spans="14:14" x14ac:dyDescent="0.35">
      <c r="N21479" s="676"/>
    </row>
    <row r="21480" spans="14:14" x14ac:dyDescent="0.35">
      <c r="N21480" s="676"/>
    </row>
    <row r="21481" spans="14:14" x14ac:dyDescent="0.35">
      <c r="N21481" s="676"/>
    </row>
    <row r="21482" spans="14:14" x14ac:dyDescent="0.35">
      <c r="N21482" s="676"/>
    </row>
    <row r="21483" spans="14:14" x14ac:dyDescent="0.35">
      <c r="N21483" s="676"/>
    </row>
    <row r="21484" spans="14:14" x14ac:dyDescent="0.35">
      <c r="N21484" s="676"/>
    </row>
    <row r="21485" spans="14:14" x14ac:dyDescent="0.35">
      <c r="N21485" s="676"/>
    </row>
    <row r="21486" spans="14:14" x14ac:dyDescent="0.35">
      <c r="N21486" s="676"/>
    </row>
    <row r="21487" spans="14:14" x14ac:dyDescent="0.35">
      <c r="N21487" s="676"/>
    </row>
    <row r="21488" spans="14:14" x14ac:dyDescent="0.35">
      <c r="N21488" s="676"/>
    </row>
    <row r="21489" spans="14:14" x14ac:dyDescent="0.35">
      <c r="N21489" s="676"/>
    </row>
    <row r="21490" spans="14:14" x14ac:dyDescent="0.35">
      <c r="N21490" s="676"/>
    </row>
    <row r="21491" spans="14:14" x14ac:dyDescent="0.35">
      <c r="N21491" s="676"/>
    </row>
    <row r="21492" spans="14:14" x14ac:dyDescent="0.35">
      <c r="N21492" s="676"/>
    </row>
    <row r="21493" spans="14:14" x14ac:dyDescent="0.35">
      <c r="N21493" s="676"/>
    </row>
    <row r="21494" spans="14:14" x14ac:dyDescent="0.35">
      <c r="N21494" s="676"/>
    </row>
    <row r="21495" spans="14:14" x14ac:dyDescent="0.35">
      <c r="N21495" s="676"/>
    </row>
    <row r="21496" spans="14:14" x14ac:dyDescent="0.35">
      <c r="N21496" s="676"/>
    </row>
    <row r="21497" spans="14:14" x14ac:dyDescent="0.35">
      <c r="N21497" s="676"/>
    </row>
    <row r="21498" spans="14:14" x14ac:dyDescent="0.35">
      <c r="N21498" s="676"/>
    </row>
    <row r="21499" spans="14:14" x14ac:dyDescent="0.35">
      <c r="N21499" s="676"/>
    </row>
    <row r="21500" spans="14:14" x14ac:dyDescent="0.35">
      <c r="N21500" s="676"/>
    </row>
    <row r="21501" spans="14:14" x14ac:dyDescent="0.35">
      <c r="N21501" s="676"/>
    </row>
    <row r="21502" spans="14:14" x14ac:dyDescent="0.35">
      <c r="N21502" s="676"/>
    </row>
    <row r="21503" spans="14:14" x14ac:dyDescent="0.35">
      <c r="N21503" s="676"/>
    </row>
    <row r="21504" spans="14:14" x14ac:dyDescent="0.35">
      <c r="N21504" s="676"/>
    </row>
    <row r="21505" spans="14:14" x14ac:dyDescent="0.35">
      <c r="N21505" s="676"/>
    </row>
    <row r="21506" spans="14:14" x14ac:dyDescent="0.35">
      <c r="N21506" s="676"/>
    </row>
    <row r="21507" spans="14:14" x14ac:dyDescent="0.35">
      <c r="N21507" s="676"/>
    </row>
    <row r="21508" spans="14:14" x14ac:dyDescent="0.35">
      <c r="N21508" s="676"/>
    </row>
    <row r="21509" spans="14:14" x14ac:dyDescent="0.35">
      <c r="N21509" s="676"/>
    </row>
    <row r="21510" spans="14:14" x14ac:dyDescent="0.35">
      <c r="N21510" s="676"/>
    </row>
    <row r="21511" spans="14:14" x14ac:dyDescent="0.35">
      <c r="N21511" s="676"/>
    </row>
    <row r="21512" spans="14:14" x14ac:dyDescent="0.35">
      <c r="N21512" s="676"/>
    </row>
    <row r="21513" spans="14:14" x14ac:dyDescent="0.35">
      <c r="N21513" s="676"/>
    </row>
    <row r="21514" spans="14:14" x14ac:dyDescent="0.35">
      <c r="N21514" s="676"/>
    </row>
    <row r="21515" spans="14:14" x14ac:dyDescent="0.35">
      <c r="N21515" s="676"/>
    </row>
    <row r="21516" spans="14:14" x14ac:dyDescent="0.35">
      <c r="N21516" s="676"/>
    </row>
    <row r="21517" spans="14:14" x14ac:dyDescent="0.35">
      <c r="N21517" s="676"/>
    </row>
    <row r="21518" spans="14:14" x14ac:dyDescent="0.35">
      <c r="N21518" s="676"/>
    </row>
    <row r="21519" spans="14:14" x14ac:dyDescent="0.35">
      <c r="N21519" s="676"/>
    </row>
    <row r="21520" spans="14:14" x14ac:dyDescent="0.35">
      <c r="N21520" s="676"/>
    </row>
    <row r="21521" spans="8:14" x14ac:dyDescent="0.35">
      <c r="N21521" s="676"/>
    </row>
    <row r="21522" spans="8:14" x14ac:dyDescent="0.35">
      <c r="N21522" s="676"/>
    </row>
    <row r="21523" spans="8:14" x14ac:dyDescent="0.35">
      <c r="N21523" s="676"/>
    </row>
    <row r="21524" spans="8:14" x14ac:dyDescent="0.35">
      <c r="N21524" s="676"/>
    </row>
    <row r="21525" spans="8:14" x14ac:dyDescent="0.35">
      <c r="N21525" s="676"/>
    </row>
    <row r="21526" spans="8:14" x14ac:dyDescent="0.35">
      <c r="N21526" s="676"/>
    </row>
    <row r="21527" spans="8:14" x14ac:dyDescent="0.35">
      <c r="N21527" s="676"/>
    </row>
    <row r="21528" spans="8:14" x14ac:dyDescent="0.35">
      <c r="N21528" s="676"/>
    </row>
    <row r="21529" spans="8:14" x14ac:dyDescent="0.35">
      <c r="H21529" s="676"/>
      <c r="I21529" s="676"/>
      <c r="J21529" s="770"/>
    </row>
    <row r="21530" spans="8:14" x14ac:dyDescent="0.35">
      <c r="H21530" s="676"/>
      <c r="I21530" s="676"/>
      <c r="J21530" s="770"/>
    </row>
    <row r="21531" spans="8:14" x14ac:dyDescent="0.35">
      <c r="H21531" s="676"/>
      <c r="I21531" s="676"/>
      <c r="J21531" s="770"/>
    </row>
    <row r="21532" spans="8:14" x14ac:dyDescent="0.35">
      <c r="H21532" s="676"/>
      <c r="I21532" s="676"/>
      <c r="J21532" s="770"/>
    </row>
    <row r="21533" spans="8:14" x14ac:dyDescent="0.35">
      <c r="H21533" s="676"/>
      <c r="I21533" s="676"/>
      <c r="J21533" s="770"/>
    </row>
    <row r="21534" spans="8:14" x14ac:dyDescent="0.35">
      <c r="H21534" s="676"/>
      <c r="I21534" s="676"/>
      <c r="J21534" s="770"/>
    </row>
    <row r="21535" spans="8:14" x14ac:dyDescent="0.35">
      <c r="H21535" s="676"/>
      <c r="I21535" s="676"/>
      <c r="J21535" s="770"/>
    </row>
    <row r="21536" spans="8:14" x14ac:dyDescent="0.35">
      <c r="H21536" s="676"/>
      <c r="I21536" s="676"/>
      <c r="J21536" s="770"/>
    </row>
    <row r="21537" spans="8:10" x14ac:dyDescent="0.35">
      <c r="H21537" s="676"/>
      <c r="I21537" s="676"/>
      <c r="J21537" s="770"/>
    </row>
    <row r="21538" spans="8:10" x14ac:dyDescent="0.35">
      <c r="H21538" s="676"/>
      <c r="I21538" s="676"/>
      <c r="J21538" s="770"/>
    </row>
    <row r="21539" spans="8:10" x14ac:dyDescent="0.35">
      <c r="H21539" s="676"/>
      <c r="I21539" s="676"/>
      <c r="J21539" s="770"/>
    </row>
    <row r="21540" spans="8:10" x14ac:dyDescent="0.35">
      <c r="H21540" s="676"/>
      <c r="I21540" s="676"/>
      <c r="J21540" s="770"/>
    </row>
    <row r="21541" spans="8:10" x14ac:dyDescent="0.35">
      <c r="H21541" s="676"/>
      <c r="I21541" s="676"/>
      <c r="J21541" s="770"/>
    </row>
    <row r="21542" spans="8:10" x14ac:dyDescent="0.35">
      <c r="H21542" s="676"/>
      <c r="I21542" s="676"/>
      <c r="J21542" s="770"/>
    </row>
    <row r="21543" spans="8:10" x14ac:dyDescent="0.35">
      <c r="H21543" s="676"/>
      <c r="I21543" s="676"/>
      <c r="J21543" s="770"/>
    </row>
    <row r="21544" spans="8:10" x14ac:dyDescent="0.35">
      <c r="H21544" s="676"/>
      <c r="I21544" s="676"/>
      <c r="J21544" s="770"/>
    </row>
    <row r="21545" spans="8:10" x14ac:dyDescent="0.35">
      <c r="H21545" s="676"/>
      <c r="I21545" s="676"/>
      <c r="J21545" s="770"/>
    </row>
    <row r="21546" spans="8:10" x14ac:dyDescent="0.35">
      <c r="H21546" s="676"/>
      <c r="I21546" s="676"/>
      <c r="J21546" s="770"/>
    </row>
    <row r="21547" spans="8:10" x14ac:dyDescent="0.35">
      <c r="H21547" s="676"/>
      <c r="I21547" s="676"/>
      <c r="J21547" s="770"/>
    </row>
    <row r="21548" spans="8:10" x14ac:dyDescent="0.35">
      <c r="H21548" s="676"/>
      <c r="I21548" s="676"/>
      <c r="J21548" s="770"/>
    </row>
    <row r="21549" spans="8:10" x14ac:dyDescent="0.35">
      <c r="H21549" s="676"/>
      <c r="I21549" s="676"/>
      <c r="J21549" s="770"/>
    </row>
    <row r="21550" spans="8:10" x14ac:dyDescent="0.35">
      <c r="H21550" s="676"/>
      <c r="I21550" s="676"/>
      <c r="J21550" s="770"/>
    </row>
    <row r="21551" spans="8:10" x14ac:dyDescent="0.35">
      <c r="H21551" s="676"/>
      <c r="I21551" s="676"/>
      <c r="J21551" s="770"/>
    </row>
    <row r="21552" spans="8:10" x14ac:dyDescent="0.35">
      <c r="H21552" s="676"/>
      <c r="I21552" s="676"/>
      <c r="J21552" s="770"/>
    </row>
    <row r="21553" spans="8:10" x14ac:dyDescent="0.35">
      <c r="H21553" s="676"/>
      <c r="I21553" s="676"/>
      <c r="J21553" s="770"/>
    </row>
    <row r="21554" spans="8:10" x14ac:dyDescent="0.35">
      <c r="H21554" s="676"/>
      <c r="I21554" s="676"/>
      <c r="J21554" s="770"/>
    </row>
    <row r="21555" spans="8:10" x14ac:dyDescent="0.35">
      <c r="H21555" s="676"/>
      <c r="I21555" s="676"/>
      <c r="J21555" s="770"/>
    </row>
    <row r="21556" spans="8:10" x14ac:dyDescent="0.35">
      <c r="H21556" s="676"/>
      <c r="I21556" s="676"/>
      <c r="J21556" s="770"/>
    </row>
    <row r="21557" spans="8:10" x14ac:dyDescent="0.35">
      <c r="H21557" s="676"/>
      <c r="I21557" s="676"/>
      <c r="J21557" s="770"/>
    </row>
    <row r="21558" spans="8:10" x14ac:dyDescent="0.35">
      <c r="H21558" s="676"/>
      <c r="I21558" s="676"/>
      <c r="J21558" s="770"/>
    </row>
    <row r="21559" spans="8:10" x14ac:dyDescent="0.35">
      <c r="H21559" s="676"/>
      <c r="I21559" s="676"/>
      <c r="J21559" s="770"/>
    </row>
    <row r="21560" spans="8:10" x14ac:dyDescent="0.35">
      <c r="H21560" s="676"/>
      <c r="I21560" s="676"/>
      <c r="J21560" s="770"/>
    </row>
    <row r="21561" spans="8:10" x14ac:dyDescent="0.35">
      <c r="H21561" s="676"/>
      <c r="I21561" s="676"/>
      <c r="J21561" s="770"/>
    </row>
    <row r="21562" spans="8:10" x14ac:dyDescent="0.35">
      <c r="H21562" s="676"/>
      <c r="I21562" s="676"/>
      <c r="J21562" s="770"/>
    </row>
    <row r="21563" spans="8:10" x14ac:dyDescent="0.35">
      <c r="H21563" s="676"/>
      <c r="I21563" s="676"/>
      <c r="J21563" s="770"/>
    </row>
    <row r="21564" spans="8:10" x14ac:dyDescent="0.35">
      <c r="H21564" s="676"/>
      <c r="I21564" s="676"/>
      <c r="J21564" s="770"/>
    </row>
    <row r="21565" spans="8:10" x14ac:dyDescent="0.35">
      <c r="H21565" s="676"/>
      <c r="I21565" s="676"/>
      <c r="J21565" s="770"/>
    </row>
    <row r="21566" spans="8:10" x14ac:dyDescent="0.35">
      <c r="H21566" s="676"/>
      <c r="I21566" s="676"/>
      <c r="J21566" s="770"/>
    </row>
    <row r="21567" spans="8:10" x14ac:dyDescent="0.35">
      <c r="H21567" s="676"/>
      <c r="I21567" s="676"/>
      <c r="J21567" s="770"/>
    </row>
    <row r="21568" spans="8:10" x14ac:dyDescent="0.35">
      <c r="H21568" s="676"/>
      <c r="I21568" s="676"/>
      <c r="J21568" s="770"/>
    </row>
    <row r="21569" spans="8:10" x14ac:dyDescent="0.35">
      <c r="H21569" s="676"/>
      <c r="I21569" s="676"/>
      <c r="J21569" s="770"/>
    </row>
    <row r="21570" spans="8:10" x14ac:dyDescent="0.35">
      <c r="H21570" s="676"/>
      <c r="I21570" s="676"/>
      <c r="J21570" s="770"/>
    </row>
    <row r="21571" spans="8:10" x14ac:dyDescent="0.35">
      <c r="H21571" s="676"/>
      <c r="I21571" s="676"/>
      <c r="J21571" s="770"/>
    </row>
    <row r="21572" spans="8:10" x14ac:dyDescent="0.35">
      <c r="H21572" s="676"/>
      <c r="I21572" s="676"/>
      <c r="J21572" s="770"/>
    </row>
    <row r="21573" spans="8:10" x14ac:dyDescent="0.35">
      <c r="H21573" s="676"/>
      <c r="I21573" s="676"/>
      <c r="J21573" s="770"/>
    </row>
    <row r="21574" spans="8:10" x14ac:dyDescent="0.35">
      <c r="H21574" s="676"/>
      <c r="I21574" s="676"/>
      <c r="J21574" s="770"/>
    </row>
    <row r="21575" spans="8:10" x14ac:dyDescent="0.35">
      <c r="H21575" s="676"/>
      <c r="I21575" s="676"/>
      <c r="J21575" s="770"/>
    </row>
    <row r="21576" spans="8:10" x14ac:dyDescent="0.35">
      <c r="H21576" s="676"/>
      <c r="I21576" s="676"/>
      <c r="J21576" s="770"/>
    </row>
    <row r="21577" spans="8:10" x14ac:dyDescent="0.35">
      <c r="H21577" s="676"/>
      <c r="I21577" s="676"/>
      <c r="J21577" s="770"/>
    </row>
    <row r="21578" spans="8:10" x14ac:dyDescent="0.35">
      <c r="H21578" s="676"/>
      <c r="I21578" s="676"/>
      <c r="J21578" s="770"/>
    </row>
    <row r="21579" spans="8:10" x14ac:dyDescent="0.35">
      <c r="H21579" s="676"/>
      <c r="I21579" s="676"/>
      <c r="J21579" s="770"/>
    </row>
    <row r="21580" spans="8:10" x14ac:dyDescent="0.35">
      <c r="H21580" s="676"/>
      <c r="I21580" s="676"/>
      <c r="J21580" s="770"/>
    </row>
    <row r="21581" spans="8:10" x14ac:dyDescent="0.35">
      <c r="H21581" s="676"/>
      <c r="I21581" s="676"/>
      <c r="J21581" s="770"/>
    </row>
    <row r="21582" spans="8:10" x14ac:dyDescent="0.35">
      <c r="H21582" s="676"/>
      <c r="I21582" s="676"/>
      <c r="J21582" s="770"/>
    </row>
    <row r="21583" spans="8:10" x14ac:dyDescent="0.35">
      <c r="H21583" s="676"/>
      <c r="I21583" s="676"/>
      <c r="J21583" s="770"/>
    </row>
    <row r="21584" spans="8:10" x14ac:dyDescent="0.35">
      <c r="H21584" s="676"/>
      <c r="I21584" s="676"/>
      <c r="J21584" s="770"/>
    </row>
    <row r="21585" spans="8:10" x14ac:dyDescent="0.35">
      <c r="H21585" s="676"/>
      <c r="I21585" s="676"/>
      <c r="J21585" s="770"/>
    </row>
    <row r="21586" spans="8:10" x14ac:dyDescent="0.35">
      <c r="H21586" s="676"/>
      <c r="I21586" s="676"/>
      <c r="J21586" s="770"/>
    </row>
    <row r="21587" spans="8:10" x14ac:dyDescent="0.35">
      <c r="H21587" s="676"/>
      <c r="I21587" s="676"/>
      <c r="J21587" s="770"/>
    </row>
    <row r="21588" spans="8:10" x14ac:dyDescent="0.35">
      <c r="H21588" s="676"/>
      <c r="I21588" s="676"/>
      <c r="J21588" s="770"/>
    </row>
    <row r="21589" spans="8:10" x14ac:dyDescent="0.35">
      <c r="H21589" s="676"/>
      <c r="I21589" s="676"/>
      <c r="J21589" s="770"/>
    </row>
    <row r="21590" spans="8:10" x14ac:dyDescent="0.35">
      <c r="H21590" s="676"/>
      <c r="I21590" s="676"/>
      <c r="J21590" s="770"/>
    </row>
    <row r="21591" spans="8:10" x14ac:dyDescent="0.35">
      <c r="H21591" s="676"/>
      <c r="I21591" s="676"/>
      <c r="J21591" s="770"/>
    </row>
    <row r="21592" spans="8:10" x14ac:dyDescent="0.35">
      <c r="H21592" s="676"/>
      <c r="I21592" s="676"/>
      <c r="J21592" s="770"/>
    </row>
    <row r="21593" spans="8:10" x14ac:dyDescent="0.35">
      <c r="H21593" s="676"/>
      <c r="I21593" s="676"/>
      <c r="J21593" s="770"/>
    </row>
    <row r="21594" spans="8:10" x14ac:dyDescent="0.35">
      <c r="H21594" s="676"/>
      <c r="I21594" s="676"/>
      <c r="J21594" s="770"/>
    </row>
    <row r="21595" spans="8:10" x14ac:dyDescent="0.35">
      <c r="H21595" s="676"/>
      <c r="I21595" s="676"/>
      <c r="J21595" s="770"/>
    </row>
    <row r="21596" spans="8:10" x14ac:dyDescent="0.35">
      <c r="H21596" s="676"/>
      <c r="I21596" s="676"/>
      <c r="J21596" s="770"/>
    </row>
    <row r="21597" spans="8:10" x14ac:dyDescent="0.35">
      <c r="H21597" s="676"/>
      <c r="I21597" s="676"/>
      <c r="J21597" s="770"/>
    </row>
    <row r="21598" spans="8:10" x14ac:dyDescent="0.35">
      <c r="H21598" s="676"/>
      <c r="I21598" s="676"/>
      <c r="J21598" s="770"/>
    </row>
    <row r="21599" spans="8:10" x14ac:dyDescent="0.35">
      <c r="H21599" s="676"/>
      <c r="I21599" s="676"/>
      <c r="J21599" s="770"/>
    </row>
    <row r="21600" spans="8:10" x14ac:dyDescent="0.35">
      <c r="H21600" s="676"/>
      <c r="I21600" s="676"/>
      <c r="J21600" s="770"/>
    </row>
    <row r="21601" spans="8:10" x14ac:dyDescent="0.35">
      <c r="H21601" s="676"/>
      <c r="I21601" s="676"/>
      <c r="J21601" s="770"/>
    </row>
    <row r="21602" spans="8:10" x14ac:dyDescent="0.35">
      <c r="H21602" s="676"/>
      <c r="I21602" s="676"/>
      <c r="J21602" s="770"/>
    </row>
    <row r="21603" spans="8:10" x14ac:dyDescent="0.35">
      <c r="H21603" s="676"/>
      <c r="I21603" s="676"/>
      <c r="J21603" s="770"/>
    </row>
    <row r="21604" spans="8:10" x14ac:dyDescent="0.35">
      <c r="H21604" s="676"/>
      <c r="I21604" s="676"/>
      <c r="J21604" s="770"/>
    </row>
    <row r="21605" spans="8:10" x14ac:dyDescent="0.35">
      <c r="H21605" s="676"/>
      <c r="I21605" s="676"/>
      <c r="J21605" s="770"/>
    </row>
    <row r="21606" spans="8:10" x14ac:dyDescent="0.35">
      <c r="H21606" s="676"/>
      <c r="I21606" s="676"/>
      <c r="J21606" s="770"/>
    </row>
    <row r="21607" spans="8:10" x14ac:dyDescent="0.35">
      <c r="H21607" s="676"/>
      <c r="I21607" s="676"/>
      <c r="J21607" s="770"/>
    </row>
    <row r="21608" spans="8:10" x14ac:dyDescent="0.35">
      <c r="H21608" s="676"/>
      <c r="I21608" s="676"/>
      <c r="J21608" s="770"/>
    </row>
    <row r="21609" spans="8:10" x14ac:dyDescent="0.35">
      <c r="H21609" s="676"/>
      <c r="I21609" s="676"/>
      <c r="J21609" s="770"/>
    </row>
    <row r="21610" spans="8:10" x14ac:dyDescent="0.35">
      <c r="H21610" s="676"/>
      <c r="I21610" s="676"/>
      <c r="J21610" s="770"/>
    </row>
    <row r="21611" spans="8:10" x14ac:dyDescent="0.35">
      <c r="H21611" s="676"/>
      <c r="I21611" s="676"/>
      <c r="J21611" s="770"/>
    </row>
    <row r="21612" spans="8:10" x14ac:dyDescent="0.35">
      <c r="H21612" s="676"/>
      <c r="I21612" s="676"/>
      <c r="J21612" s="770"/>
    </row>
    <row r="21613" spans="8:10" x14ac:dyDescent="0.35">
      <c r="H21613" s="676"/>
      <c r="I21613" s="676"/>
      <c r="J21613" s="770"/>
    </row>
    <row r="21614" spans="8:10" x14ac:dyDescent="0.35">
      <c r="H21614" s="676"/>
      <c r="I21614" s="676"/>
      <c r="J21614" s="770"/>
    </row>
    <row r="21615" spans="8:10" x14ac:dyDescent="0.35">
      <c r="H21615" s="676"/>
      <c r="I21615" s="676"/>
      <c r="J21615" s="770"/>
    </row>
    <row r="21616" spans="8:10" x14ac:dyDescent="0.35">
      <c r="H21616" s="676"/>
      <c r="I21616" s="676"/>
      <c r="J21616" s="770"/>
    </row>
    <row r="21617" spans="8:10" x14ac:dyDescent="0.35">
      <c r="H21617" s="676"/>
      <c r="I21617" s="676"/>
      <c r="J21617" s="770"/>
    </row>
    <row r="21618" spans="8:10" x14ac:dyDescent="0.35">
      <c r="H21618" s="676"/>
      <c r="I21618" s="676"/>
      <c r="J21618" s="770"/>
    </row>
    <row r="21619" spans="8:10" x14ac:dyDescent="0.35">
      <c r="H21619" s="676"/>
      <c r="I21619" s="676"/>
      <c r="J21619" s="770"/>
    </row>
    <row r="21620" spans="8:10" x14ac:dyDescent="0.35">
      <c r="H21620" s="676"/>
      <c r="I21620" s="676"/>
      <c r="J21620" s="770"/>
    </row>
    <row r="21621" spans="8:10" x14ac:dyDescent="0.35">
      <c r="H21621" s="676"/>
      <c r="I21621" s="676"/>
      <c r="J21621" s="770"/>
    </row>
    <row r="21622" spans="8:10" x14ac:dyDescent="0.35">
      <c r="H21622" s="676"/>
      <c r="I21622" s="676"/>
      <c r="J21622" s="770"/>
    </row>
    <row r="21623" spans="8:10" x14ac:dyDescent="0.35">
      <c r="H21623" s="676"/>
      <c r="I21623" s="676"/>
      <c r="J21623" s="770"/>
    </row>
    <row r="21624" spans="8:10" x14ac:dyDescent="0.35">
      <c r="H21624" s="676"/>
      <c r="I21624" s="676"/>
      <c r="J21624" s="770"/>
    </row>
    <row r="21625" spans="8:10" x14ac:dyDescent="0.35">
      <c r="H21625" s="676"/>
      <c r="I21625" s="676"/>
      <c r="J21625" s="770"/>
    </row>
    <row r="21626" spans="8:10" x14ac:dyDescent="0.35">
      <c r="H21626" s="676"/>
      <c r="I21626" s="676"/>
      <c r="J21626" s="770"/>
    </row>
    <row r="21627" spans="8:10" x14ac:dyDescent="0.35">
      <c r="H21627" s="676"/>
      <c r="I21627" s="676"/>
      <c r="J21627" s="770"/>
    </row>
    <row r="21628" spans="8:10" x14ac:dyDescent="0.35">
      <c r="H21628" s="676"/>
      <c r="I21628" s="676"/>
      <c r="J21628" s="770"/>
    </row>
    <row r="21629" spans="8:10" x14ac:dyDescent="0.35">
      <c r="H21629" s="676"/>
      <c r="I21629" s="676"/>
      <c r="J21629" s="770"/>
    </row>
    <row r="21630" spans="8:10" x14ac:dyDescent="0.35">
      <c r="H21630" s="676"/>
      <c r="I21630" s="676"/>
      <c r="J21630" s="770"/>
    </row>
    <row r="21631" spans="8:10" x14ac:dyDescent="0.35">
      <c r="H21631" s="676"/>
      <c r="I21631" s="676"/>
      <c r="J21631" s="770"/>
    </row>
    <row r="21632" spans="8:10" x14ac:dyDescent="0.35">
      <c r="H21632" s="676"/>
      <c r="I21632" s="676"/>
      <c r="J21632" s="770"/>
    </row>
    <row r="21633" spans="8:10" x14ac:dyDescent="0.35">
      <c r="H21633" s="676"/>
      <c r="I21633" s="676"/>
      <c r="J21633" s="770"/>
    </row>
    <row r="21634" spans="8:10" x14ac:dyDescent="0.35">
      <c r="H21634" s="676"/>
      <c r="I21634" s="676"/>
      <c r="J21634" s="770"/>
    </row>
    <row r="21635" spans="8:10" x14ac:dyDescent="0.35">
      <c r="H21635" s="676"/>
      <c r="I21635" s="676"/>
      <c r="J21635" s="770"/>
    </row>
    <row r="21636" spans="8:10" x14ac:dyDescent="0.35">
      <c r="H21636" s="676"/>
      <c r="I21636" s="676"/>
      <c r="J21636" s="770"/>
    </row>
    <row r="21637" spans="8:10" x14ac:dyDescent="0.35">
      <c r="H21637" s="676"/>
      <c r="I21637" s="676"/>
      <c r="J21637" s="770"/>
    </row>
    <row r="21638" spans="8:10" x14ac:dyDescent="0.35">
      <c r="H21638" s="676"/>
      <c r="I21638" s="676"/>
      <c r="J21638" s="770"/>
    </row>
    <row r="21639" spans="8:10" x14ac:dyDescent="0.35">
      <c r="H21639" s="676"/>
      <c r="I21639" s="676"/>
      <c r="J21639" s="770"/>
    </row>
    <row r="21640" spans="8:10" x14ac:dyDescent="0.35">
      <c r="H21640" s="676"/>
      <c r="I21640" s="676"/>
      <c r="J21640" s="770"/>
    </row>
    <row r="21641" spans="8:10" x14ac:dyDescent="0.35">
      <c r="H21641" s="676"/>
      <c r="I21641" s="676"/>
      <c r="J21641" s="770"/>
    </row>
    <row r="21642" spans="8:10" x14ac:dyDescent="0.35">
      <c r="H21642" s="676"/>
      <c r="I21642" s="676"/>
      <c r="J21642" s="770"/>
    </row>
    <row r="21643" spans="8:10" x14ac:dyDescent="0.35">
      <c r="H21643" s="676"/>
      <c r="I21643" s="676"/>
      <c r="J21643" s="770"/>
    </row>
    <row r="21644" spans="8:10" x14ac:dyDescent="0.35">
      <c r="H21644" s="676"/>
      <c r="I21644" s="676"/>
      <c r="J21644" s="770"/>
    </row>
    <row r="21645" spans="8:10" x14ac:dyDescent="0.35">
      <c r="H21645" s="676"/>
      <c r="I21645" s="676"/>
      <c r="J21645" s="770"/>
    </row>
    <row r="21646" spans="8:10" x14ac:dyDescent="0.35">
      <c r="H21646" s="676"/>
      <c r="I21646" s="676"/>
      <c r="J21646" s="770"/>
    </row>
    <row r="21647" spans="8:10" x14ac:dyDescent="0.35">
      <c r="H21647" s="676"/>
      <c r="I21647" s="676"/>
      <c r="J21647" s="770"/>
    </row>
    <row r="21648" spans="8:10" x14ac:dyDescent="0.35">
      <c r="H21648" s="676"/>
      <c r="I21648" s="676"/>
      <c r="J21648" s="770"/>
    </row>
    <row r="21649" spans="8:10" x14ac:dyDescent="0.35">
      <c r="H21649" s="676"/>
      <c r="I21649" s="676"/>
      <c r="J21649" s="770"/>
    </row>
    <row r="21650" spans="8:10" x14ac:dyDescent="0.35">
      <c r="H21650" s="676"/>
      <c r="I21650" s="676"/>
      <c r="J21650" s="770"/>
    </row>
    <row r="21651" spans="8:10" x14ac:dyDescent="0.35">
      <c r="H21651" s="676"/>
      <c r="I21651" s="676"/>
      <c r="J21651" s="770"/>
    </row>
    <row r="21652" spans="8:10" x14ac:dyDescent="0.35">
      <c r="H21652" s="676"/>
      <c r="I21652" s="676"/>
      <c r="J21652" s="770"/>
    </row>
    <row r="21653" spans="8:10" x14ac:dyDescent="0.35">
      <c r="H21653" s="676"/>
      <c r="I21653" s="676"/>
      <c r="J21653" s="770"/>
    </row>
    <row r="21654" spans="8:10" x14ac:dyDescent="0.35">
      <c r="H21654" s="676"/>
      <c r="I21654" s="676"/>
      <c r="J21654" s="770"/>
    </row>
    <row r="21655" spans="8:10" x14ac:dyDescent="0.35">
      <c r="H21655" s="676"/>
      <c r="I21655" s="676"/>
      <c r="J21655" s="770"/>
    </row>
    <row r="21656" spans="8:10" x14ac:dyDescent="0.35">
      <c r="H21656" s="676"/>
      <c r="I21656" s="676"/>
      <c r="J21656" s="770"/>
    </row>
    <row r="21657" spans="8:10" x14ac:dyDescent="0.35">
      <c r="H21657" s="676"/>
      <c r="I21657" s="676"/>
      <c r="J21657" s="770"/>
    </row>
    <row r="21658" spans="8:10" x14ac:dyDescent="0.35">
      <c r="H21658" s="676"/>
      <c r="I21658" s="676"/>
      <c r="J21658" s="770"/>
    </row>
    <row r="21659" spans="8:10" x14ac:dyDescent="0.35">
      <c r="H21659" s="676"/>
      <c r="I21659" s="676"/>
      <c r="J21659" s="770"/>
    </row>
    <row r="21660" spans="8:10" x14ac:dyDescent="0.35">
      <c r="H21660" s="676"/>
      <c r="I21660" s="676"/>
      <c r="J21660" s="770"/>
    </row>
    <row r="21661" spans="8:10" x14ac:dyDescent="0.35">
      <c r="H21661" s="676"/>
      <c r="I21661" s="676"/>
      <c r="J21661" s="770"/>
    </row>
    <row r="21662" spans="8:10" x14ac:dyDescent="0.35">
      <c r="H21662" s="676"/>
      <c r="I21662" s="676"/>
      <c r="J21662" s="770"/>
    </row>
    <row r="21663" spans="8:10" x14ac:dyDescent="0.35">
      <c r="H21663" s="676"/>
      <c r="I21663" s="676"/>
      <c r="J21663" s="770"/>
    </row>
    <row r="21664" spans="8:10" x14ac:dyDescent="0.35">
      <c r="H21664" s="676"/>
      <c r="I21664" s="676"/>
      <c r="J21664" s="770"/>
    </row>
    <row r="21665" spans="8:10" x14ac:dyDescent="0.35">
      <c r="H21665" s="676"/>
      <c r="I21665" s="676"/>
      <c r="J21665" s="770"/>
    </row>
    <row r="21666" spans="8:10" x14ac:dyDescent="0.35">
      <c r="H21666" s="676"/>
      <c r="I21666" s="676"/>
      <c r="J21666" s="770"/>
    </row>
    <row r="21667" spans="8:10" x14ac:dyDescent="0.35">
      <c r="H21667" s="676"/>
      <c r="I21667" s="676"/>
      <c r="J21667" s="770"/>
    </row>
    <row r="21668" spans="8:10" x14ac:dyDescent="0.35">
      <c r="H21668" s="676"/>
      <c r="I21668" s="676"/>
      <c r="J21668" s="770"/>
    </row>
    <row r="21669" spans="8:10" x14ac:dyDescent="0.35">
      <c r="H21669" s="676"/>
      <c r="I21669" s="676"/>
      <c r="J21669" s="770"/>
    </row>
    <row r="21670" spans="8:10" x14ac:dyDescent="0.35">
      <c r="H21670" s="676"/>
      <c r="I21670" s="676"/>
      <c r="J21670" s="770"/>
    </row>
    <row r="21671" spans="8:10" x14ac:dyDescent="0.35">
      <c r="H21671" s="676"/>
      <c r="I21671" s="676"/>
      <c r="J21671" s="770"/>
    </row>
    <row r="21672" spans="8:10" x14ac:dyDescent="0.35">
      <c r="H21672" s="676"/>
      <c r="I21672" s="676"/>
      <c r="J21672" s="770"/>
    </row>
    <row r="21673" spans="8:10" x14ac:dyDescent="0.35">
      <c r="H21673" s="676"/>
      <c r="I21673" s="676"/>
      <c r="J21673" s="770"/>
    </row>
    <row r="21674" spans="8:10" x14ac:dyDescent="0.35">
      <c r="H21674" s="676"/>
      <c r="I21674" s="676"/>
      <c r="J21674" s="770"/>
    </row>
    <row r="21675" spans="8:10" x14ac:dyDescent="0.35">
      <c r="H21675" s="676"/>
      <c r="I21675" s="676"/>
      <c r="J21675" s="770"/>
    </row>
    <row r="21676" spans="8:10" x14ac:dyDescent="0.35">
      <c r="H21676" s="676"/>
      <c r="I21676" s="676"/>
      <c r="J21676" s="770"/>
    </row>
    <row r="21677" spans="8:10" x14ac:dyDescent="0.35">
      <c r="H21677" s="676"/>
      <c r="I21677" s="676"/>
      <c r="J21677" s="770"/>
    </row>
    <row r="21678" spans="8:10" x14ac:dyDescent="0.35">
      <c r="H21678" s="676"/>
      <c r="I21678" s="676"/>
      <c r="J21678" s="770"/>
    </row>
    <row r="21679" spans="8:10" x14ac:dyDescent="0.35">
      <c r="H21679" s="676"/>
      <c r="I21679" s="676"/>
      <c r="J21679" s="770"/>
    </row>
    <row r="21680" spans="8:10" x14ac:dyDescent="0.35">
      <c r="H21680" s="676"/>
      <c r="I21680" s="676"/>
      <c r="J21680" s="770"/>
    </row>
    <row r="21681" spans="8:10" x14ac:dyDescent="0.35">
      <c r="H21681" s="676"/>
      <c r="I21681" s="676"/>
      <c r="J21681" s="770"/>
    </row>
    <row r="21682" spans="8:10" x14ac:dyDescent="0.35">
      <c r="H21682" s="676"/>
      <c r="I21682" s="676"/>
      <c r="J21682" s="770"/>
    </row>
    <row r="21683" spans="8:10" x14ac:dyDescent="0.35">
      <c r="H21683" s="676"/>
      <c r="I21683" s="676"/>
      <c r="J21683" s="770"/>
    </row>
    <row r="21684" spans="8:10" x14ac:dyDescent="0.35">
      <c r="H21684" s="676"/>
      <c r="I21684" s="676"/>
      <c r="J21684" s="770"/>
    </row>
    <row r="21685" spans="8:10" x14ac:dyDescent="0.35">
      <c r="H21685" s="676"/>
      <c r="I21685" s="676"/>
      <c r="J21685" s="770"/>
    </row>
    <row r="21686" spans="8:10" x14ac:dyDescent="0.35">
      <c r="H21686" s="676"/>
      <c r="I21686" s="676"/>
      <c r="J21686" s="770"/>
    </row>
    <row r="21687" spans="8:10" x14ac:dyDescent="0.35">
      <c r="H21687" s="676"/>
      <c r="I21687" s="676"/>
      <c r="J21687" s="770"/>
    </row>
    <row r="21688" spans="8:10" x14ac:dyDescent="0.35">
      <c r="H21688" s="676"/>
      <c r="I21688" s="676"/>
      <c r="J21688" s="770"/>
    </row>
    <row r="21689" spans="8:10" x14ac:dyDescent="0.35">
      <c r="H21689" s="676"/>
      <c r="I21689" s="676"/>
      <c r="J21689" s="770"/>
    </row>
    <row r="21690" spans="8:10" x14ac:dyDescent="0.35">
      <c r="H21690" s="676"/>
      <c r="I21690" s="676"/>
      <c r="J21690" s="770"/>
    </row>
    <row r="21691" spans="8:10" x14ac:dyDescent="0.35">
      <c r="H21691" s="676"/>
      <c r="I21691" s="676"/>
      <c r="J21691" s="770"/>
    </row>
    <row r="21692" spans="8:10" x14ac:dyDescent="0.35">
      <c r="H21692" s="676"/>
      <c r="I21692" s="676"/>
      <c r="J21692" s="770"/>
    </row>
    <row r="21693" spans="8:10" x14ac:dyDescent="0.35">
      <c r="H21693" s="676"/>
      <c r="I21693" s="676"/>
      <c r="J21693" s="770"/>
    </row>
    <row r="21694" spans="8:10" x14ac:dyDescent="0.35">
      <c r="H21694" s="676"/>
      <c r="I21694" s="676"/>
      <c r="J21694" s="770"/>
    </row>
    <row r="21695" spans="8:10" x14ac:dyDescent="0.35">
      <c r="H21695" s="676"/>
      <c r="I21695" s="676"/>
      <c r="J21695" s="770"/>
    </row>
    <row r="21696" spans="8:10" x14ac:dyDescent="0.35">
      <c r="H21696" s="676"/>
      <c r="I21696" s="676"/>
      <c r="J21696" s="770"/>
    </row>
    <row r="21697" spans="8:10" x14ac:dyDescent="0.35">
      <c r="H21697" s="676"/>
      <c r="I21697" s="676"/>
      <c r="J21697" s="770"/>
    </row>
    <row r="21698" spans="8:10" x14ac:dyDescent="0.35">
      <c r="H21698" s="676"/>
      <c r="I21698" s="676"/>
      <c r="J21698" s="770"/>
    </row>
    <row r="21699" spans="8:10" x14ac:dyDescent="0.35">
      <c r="H21699" s="676"/>
      <c r="I21699" s="676"/>
      <c r="J21699" s="770"/>
    </row>
    <row r="21700" spans="8:10" x14ac:dyDescent="0.35">
      <c r="H21700" s="676"/>
      <c r="I21700" s="676"/>
      <c r="J21700" s="770"/>
    </row>
    <row r="21701" spans="8:10" x14ac:dyDescent="0.35">
      <c r="H21701" s="676"/>
      <c r="I21701" s="676"/>
      <c r="J21701" s="770"/>
    </row>
    <row r="21702" spans="8:10" x14ac:dyDescent="0.35">
      <c r="H21702" s="676"/>
      <c r="I21702" s="676"/>
      <c r="J21702" s="770"/>
    </row>
    <row r="21703" spans="8:10" x14ac:dyDescent="0.35">
      <c r="H21703" s="676"/>
      <c r="I21703" s="676"/>
      <c r="J21703" s="770"/>
    </row>
    <row r="21704" spans="8:10" x14ac:dyDescent="0.35">
      <c r="H21704" s="676"/>
      <c r="I21704" s="676"/>
      <c r="J21704" s="770"/>
    </row>
    <row r="21705" spans="8:10" x14ac:dyDescent="0.35">
      <c r="H21705" s="676"/>
      <c r="I21705" s="676"/>
      <c r="J21705" s="770"/>
    </row>
    <row r="21706" spans="8:10" x14ac:dyDescent="0.35">
      <c r="H21706" s="676"/>
      <c r="I21706" s="676"/>
      <c r="J21706" s="770"/>
    </row>
    <row r="21707" spans="8:10" x14ac:dyDescent="0.35">
      <c r="H21707" s="676"/>
      <c r="I21707" s="676"/>
      <c r="J21707" s="770"/>
    </row>
    <row r="21708" spans="8:10" x14ac:dyDescent="0.35">
      <c r="H21708" s="676"/>
      <c r="I21708" s="676"/>
      <c r="J21708" s="770"/>
    </row>
    <row r="21709" spans="8:10" x14ac:dyDescent="0.35">
      <c r="H21709" s="676"/>
      <c r="I21709" s="676"/>
      <c r="J21709" s="770"/>
    </row>
    <row r="21710" spans="8:10" x14ac:dyDescent="0.35">
      <c r="H21710" s="676"/>
      <c r="I21710" s="676"/>
      <c r="J21710" s="770"/>
    </row>
    <row r="21711" spans="8:10" x14ac:dyDescent="0.35">
      <c r="H21711" s="676"/>
      <c r="I21711" s="676"/>
      <c r="J21711" s="770"/>
    </row>
    <row r="21712" spans="8:10" x14ac:dyDescent="0.35">
      <c r="H21712" s="676"/>
      <c r="I21712" s="676"/>
      <c r="J21712" s="770"/>
    </row>
    <row r="21713" spans="8:10" x14ac:dyDescent="0.35">
      <c r="H21713" s="676"/>
      <c r="I21713" s="676"/>
      <c r="J21713" s="770"/>
    </row>
    <row r="21714" spans="8:10" x14ac:dyDescent="0.35">
      <c r="H21714" s="676"/>
      <c r="I21714" s="676"/>
      <c r="J21714" s="770"/>
    </row>
    <row r="21715" spans="8:10" x14ac:dyDescent="0.35">
      <c r="H21715" s="676"/>
      <c r="I21715" s="676"/>
      <c r="J21715" s="770"/>
    </row>
    <row r="21716" spans="8:10" x14ac:dyDescent="0.35">
      <c r="H21716" s="676"/>
      <c r="I21716" s="676"/>
      <c r="J21716" s="770"/>
    </row>
    <row r="21717" spans="8:10" x14ac:dyDescent="0.35">
      <c r="H21717" s="676"/>
      <c r="I21717" s="676"/>
      <c r="J21717" s="770"/>
    </row>
    <row r="21718" spans="8:10" x14ac:dyDescent="0.35">
      <c r="H21718" s="676"/>
      <c r="I21718" s="676"/>
      <c r="J21718" s="770"/>
    </row>
    <row r="21719" spans="8:10" x14ac:dyDescent="0.35">
      <c r="H21719" s="676"/>
      <c r="I21719" s="676"/>
      <c r="J21719" s="770"/>
    </row>
    <row r="21720" spans="8:10" x14ac:dyDescent="0.35">
      <c r="H21720" s="676"/>
      <c r="I21720" s="676"/>
      <c r="J21720" s="770"/>
    </row>
    <row r="21721" spans="8:10" x14ac:dyDescent="0.35">
      <c r="H21721" s="676"/>
      <c r="I21721" s="676"/>
      <c r="J21721" s="770"/>
    </row>
    <row r="21722" spans="8:10" x14ac:dyDescent="0.35">
      <c r="H21722" s="676"/>
      <c r="I21722" s="676"/>
      <c r="J21722" s="770"/>
    </row>
    <row r="21723" spans="8:10" x14ac:dyDescent="0.35">
      <c r="H21723" s="676"/>
      <c r="I21723" s="676"/>
      <c r="J21723" s="770"/>
    </row>
    <row r="21724" spans="8:10" x14ac:dyDescent="0.35">
      <c r="H21724" s="676"/>
      <c r="I21724" s="676"/>
      <c r="J21724" s="770"/>
    </row>
    <row r="21725" spans="8:10" x14ac:dyDescent="0.35">
      <c r="H21725" s="676"/>
      <c r="I21725" s="676"/>
      <c r="J21725" s="770"/>
    </row>
    <row r="21726" spans="8:10" x14ac:dyDescent="0.35">
      <c r="H21726" s="676"/>
      <c r="I21726" s="676"/>
      <c r="J21726" s="770"/>
    </row>
    <row r="21727" spans="8:10" x14ac:dyDescent="0.35">
      <c r="H21727" s="676"/>
      <c r="I21727" s="676"/>
      <c r="J21727" s="770"/>
    </row>
    <row r="21728" spans="8:10" x14ac:dyDescent="0.35">
      <c r="H21728" s="676"/>
      <c r="I21728" s="676"/>
      <c r="J21728" s="770"/>
    </row>
    <row r="21729" spans="8:10" x14ac:dyDescent="0.35">
      <c r="H21729" s="676"/>
      <c r="I21729" s="676"/>
      <c r="J21729" s="770"/>
    </row>
    <row r="21730" spans="8:10" x14ac:dyDescent="0.35">
      <c r="H21730" s="676"/>
      <c r="I21730" s="676"/>
      <c r="J21730" s="770"/>
    </row>
    <row r="21731" spans="8:10" x14ac:dyDescent="0.35">
      <c r="H21731" s="676"/>
      <c r="I21731" s="676"/>
      <c r="J21731" s="770"/>
    </row>
    <row r="21732" spans="8:10" x14ac:dyDescent="0.35">
      <c r="H21732" s="676"/>
      <c r="I21732" s="676"/>
      <c r="J21732" s="770"/>
    </row>
    <row r="21733" spans="8:10" x14ac:dyDescent="0.35">
      <c r="H21733" s="676"/>
      <c r="I21733" s="676"/>
      <c r="J21733" s="770"/>
    </row>
    <row r="21734" spans="8:10" x14ac:dyDescent="0.35">
      <c r="H21734" s="676"/>
      <c r="I21734" s="676"/>
      <c r="J21734" s="770"/>
    </row>
    <row r="21735" spans="8:10" x14ac:dyDescent="0.35">
      <c r="H21735" s="676"/>
      <c r="I21735" s="676"/>
      <c r="J21735" s="770"/>
    </row>
    <row r="21736" spans="8:10" x14ac:dyDescent="0.35">
      <c r="H21736" s="676"/>
      <c r="I21736" s="676"/>
      <c r="J21736" s="770"/>
    </row>
    <row r="21737" spans="8:10" x14ac:dyDescent="0.35">
      <c r="H21737" s="676"/>
      <c r="I21737" s="676"/>
      <c r="J21737" s="770"/>
    </row>
    <row r="21738" spans="8:10" x14ac:dyDescent="0.35">
      <c r="H21738" s="676"/>
      <c r="I21738" s="676"/>
      <c r="J21738" s="770"/>
    </row>
    <row r="21739" spans="8:10" x14ac:dyDescent="0.35">
      <c r="H21739" s="676"/>
      <c r="I21739" s="676"/>
      <c r="J21739" s="770"/>
    </row>
    <row r="21740" spans="8:10" x14ac:dyDescent="0.35">
      <c r="H21740" s="676"/>
      <c r="I21740" s="676"/>
      <c r="J21740" s="770"/>
    </row>
    <row r="21741" spans="8:10" x14ac:dyDescent="0.35">
      <c r="H21741" s="676"/>
      <c r="I21741" s="676"/>
      <c r="J21741" s="770"/>
    </row>
    <row r="21742" spans="8:10" x14ac:dyDescent="0.35">
      <c r="H21742" s="676"/>
      <c r="I21742" s="676"/>
      <c r="J21742" s="770"/>
    </row>
    <row r="21743" spans="8:10" x14ac:dyDescent="0.35">
      <c r="H21743" s="676"/>
      <c r="I21743" s="676"/>
      <c r="J21743" s="770"/>
    </row>
    <row r="21744" spans="8:10" x14ac:dyDescent="0.35">
      <c r="H21744" s="676"/>
      <c r="I21744" s="676"/>
      <c r="J21744" s="770"/>
    </row>
    <row r="21745" spans="8:10" x14ac:dyDescent="0.35">
      <c r="H21745" s="676"/>
      <c r="I21745" s="676"/>
      <c r="J21745" s="770"/>
    </row>
    <row r="21746" spans="8:10" x14ac:dyDescent="0.35">
      <c r="H21746" s="676"/>
      <c r="I21746" s="676"/>
      <c r="J21746" s="770"/>
    </row>
    <row r="21747" spans="8:10" x14ac:dyDescent="0.35">
      <c r="H21747" s="676"/>
      <c r="I21747" s="676"/>
      <c r="J21747" s="770"/>
    </row>
    <row r="21748" spans="8:10" x14ac:dyDescent="0.35">
      <c r="H21748" s="676"/>
      <c r="I21748" s="676"/>
      <c r="J21748" s="770"/>
    </row>
    <row r="21749" spans="8:10" x14ac:dyDescent="0.35">
      <c r="H21749" s="676"/>
      <c r="I21749" s="676"/>
      <c r="J21749" s="770"/>
    </row>
    <row r="21750" spans="8:10" x14ac:dyDescent="0.35">
      <c r="H21750" s="676"/>
      <c r="I21750" s="676"/>
      <c r="J21750" s="770"/>
    </row>
    <row r="21751" spans="8:10" x14ac:dyDescent="0.35">
      <c r="H21751" s="676"/>
      <c r="I21751" s="676"/>
      <c r="J21751" s="770"/>
    </row>
    <row r="21752" spans="8:10" x14ac:dyDescent="0.35">
      <c r="H21752" s="676"/>
      <c r="I21752" s="676"/>
      <c r="J21752" s="770"/>
    </row>
    <row r="21753" spans="8:10" x14ac:dyDescent="0.35">
      <c r="H21753" s="676"/>
      <c r="I21753" s="676"/>
      <c r="J21753" s="770"/>
    </row>
    <row r="21754" spans="8:10" x14ac:dyDescent="0.35">
      <c r="H21754" s="676"/>
      <c r="I21754" s="676"/>
      <c r="J21754" s="770"/>
    </row>
    <row r="21755" spans="8:10" x14ac:dyDescent="0.35">
      <c r="H21755" s="676"/>
      <c r="I21755" s="676"/>
      <c r="J21755" s="770"/>
    </row>
    <row r="21756" spans="8:10" x14ac:dyDescent="0.35">
      <c r="H21756" s="676"/>
      <c r="I21756" s="676"/>
      <c r="J21756" s="770"/>
    </row>
    <row r="21757" spans="8:10" x14ac:dyDescent="0.35">
      <c r="H21757" s="676"/>
      <c r="I21757" s="676"/>
      <c r="J21757" s="770"/>
    </row>
    <row r="21758" spans="8:10" x14ac:dyDescent="0.35">
      <c r="H21758" s="676"/>
      <c r="I21758" s="676"/>
      <c r="J21758" s="770"/>
    </row>
    <row r="21759" spans="8:10" x14ac:dyDescent="0.35">
      <c r="H21759" s="676"/>
      <c r="I21759" s="676"/>
      <c r="J21759" s="770"/>
    </row>
    <row r="21760" spans="8:10" x14ac:dyDescent="0.35">
      <c r="H21760" s="676"/>
      <c r="I21760" s="676"/>
      <c r="J21760" s="770"/>
    </row>
    <row r="21761" spans="8:10" x14ac:dyDescent="0.35">
      <c r="H21761" s="676"/>
      <c r="I21761" s="676"/>
      <c r="J21761" s="770"/>
    </row>
    <row r="21762" spans="8:10" x14ac:dyDescent="0.35">
      <c r="H21762" s="676"/>
      <c r="I21762" s="676"/>
      <c r="J21762" s="770"/>
    </row>
    <row r="21763" spans="8:10" x14ac:dyDescent="0.35">
      <c r="H21763" s="676"/>
      <c r="I21763" s="676"/>
      <c r="J21763" s="770"/>
    </row>
    <row r="21764" spans="8:10" x14ac:dyDescent="0.35">
      <c r="H21764" s="676"/>
      <c r="I21764" s="676"/>
      <c r="J21764" s="770"/>
    </row>
    <row r="21765" spans="8:10" x14ac:dyDescent="0.35">
      <c r="H21765" s="676"/>
      <c r="I21765" s="676"/>
      <c r="J21765" s="770"/>
    </row>
    <row r="21766" spans="8:10" x14ac:dyDescent="0.35">
      <c r="H21766" s="676"/>
      <c r="I21766" s="676"/>
      <c r="J21766" s="770"/>
    </row>
    <row r="21767" spans="8:10" x14ac:dyDescent="0.35">
      <c r="H21767" s="676"/>
      <c r="I21767" s="676"/>
      <c r="J21767" s="770"/>
    </row>
    <row r="21768" spans="8:10" x14ac:dyDescent="0.35">
      <c r="H21768" s="676"/>
      <c r="I21768" s="676"/>
      <c r="J21768" s="770"/>
    </row>
    <row r="21769" spans="8:10" x14ac:dyDescent="0.35">
      <c r="H21769" s="676"/>
      <c r="I21769" s="676"/>
      <c r="J21769" s="770"/>
    </row>
    <row r="21770" spans="8:10" x14ac:dyDescent="0.35">
      <c r="H21770" s="676"/>
      <c r="I21770" s="676"/>
      <c r="J21770" s="770"/>
    </row>
    <row r="21771" spans="8:10" x14ac:dyDescent="0.35">
      <c r="H21771" s="676"/>
      <c r="I21771" s="676"/>
      <c r="J21771" s="770"/>
    </row>
    <row r="21772" spans="8:10" x14ac:dyDescent="0.35">
      <c r="H21772" s="676"/>
      <c r="I21772" s="676"/>
      <c r="J21772" s="770"/>
    </row>
    <row r="21773" spans="8:10" x14ac:dyDescent="0.35">
      <c r="H21773" s="676"/>
      <c r="I21773" s="676"/>
      <c r="J21773" s="770"/>
    </row>
    <row r="21774" spans="8:10" x14ac:dyDescent="0.35">
      <c r="H21774" s="676"/>
      <c r="I21774" s="676"/>
      <c r="J21774" s="770"/>
    </row>
    <row r="21775" spans="8:10" x14ac:dyDescent="0.35">
      <c r="H21775" s="676"/>
      <c r="I21775" s="676"/>
      <c r="J21775" s="770"/>
    </row>
    <row r="21776" spans="8:10" x14ac:dyDescent="0.35">
      <c r="H21776" s="676"/>
      <c r="I21776" s="676"/>
      <c r="J21776" s="770"/>
    </row>
    <row r="21777" spans="8:10" x14ac:dyDescent="0.35">
      <c r="H21777" s="676"/>
      <c r="I21777" s="676"/>
      <c r="J21777" s="770"/>
    </row>
    <row r="21778" spans="8:10" x14ac:dyDescent="0.35">
      <c r="H21778" s="676"/>
      <c r="I21778" s="676"/>
      <c r="J21778" s="770"/>
    </row>
    <row r="21779" spans="8:10" x14ac:dyDescent="0.35">
      <c r="H21779" s="676"/>
      <c r="I21779" s="676"/>
      <c r="J21779" s="770"/>
    </row>
    <row r="21780" spans="8:10" x14ac:dyDescent="0.35">
      <c r="H21780" s="676"/>
      <c r="I21780" s="676"/>
      <c r="J21780" s="770"/>
    </row>
    <row r="21781" spans="8:10" x14ac:dyDescent="0.35">
      <c r="H21781" s="676"/>
      <c r="I21781" s="676"/>
      <c r="J21781" s="770"/>
    </row>
    <row r="21782" spans="8:10" x14ac:dyDescent="0.35">
      <c r="H21782" s="676"/>
      <c r="I21782" s="676"/>
      <c r="J21782" s="770"/>
    </row>
    <row r="21783" spans="8:10" x14ac:dyDescent="0.35">
      <c r="H21783" s="676"/>
      <c r="I21783" s="676"/>
      <c r="J21783" s="770"/>
    </row>
    <row r="21784" spans="8:10" x14ac:dyDescent="0.35">
      <c r="H21784" s="676"/>
      <c r="I21784" s="676"/>
      <c r="J21784" s="770"/>
    </row>
    <row r="21785" spans="8:10" x14ac:dyDescent="0.35">
      <c r="H21785" s="676"/>
      <c r="I21785" s="676"/>
      <c r="J21785" s="770"/>
    </row>
    <row r="21786" spans="8:10" x14ac:dyDescent="0.35">
      <c r="H21786" s="676"/>
      <c r="I21786" s="676"/>
      <c r="J21786" s="770"/>
    </row>
    <row r="21787" spans="8:10" x14ac:dyDescent="0.35">
      <c r="H21787" s="676"/>
      <c r="I21787" s="676"/>
      <c r="J21787" s="770"/>
    </row>
    <row r="21788" spans="8:10" x14ac:dyDescent="0.35">
      <c r="H21788" s="676"/>
      <c r="I21788" s="676"/>
      <c r="J21788" s="770"/>
    </row>
    <row r="21789" spans="8:10" x14ac:dyDescent="0.35">
      <c r="H21789" s="676"/>
      <c r="I21789" s="676"/>
      <c r="J21789" s="770"/>
    </row>
    <row r="21790" spans="8:10" x14ac:dyDescent="0.35">
      <c r="H21790" s="676"/>
      <c r="I21790" s="676"/>
      <c r="J21790" s="770"/>
    </row>
    <row r="21791" spans="8:10" x14ac:dyDescent="0.35">
      <c r="H21791" s="676"/>
      <c r="I21791" s="676"/>
      <c r="J21791" s="770"/>
    </row>
    <row r="21792" spans="8:10" x14ac:dyDescent="0.35">
      <c r="H21792" s="676"/>
      <c r="I21792" s="676"/>
      <c r="J21792" s="770"/>
    </row>
    <row r="21793" spans="8:10" x14ac:dyDescent="0.35">
      <c r="H21793" s="676"/>
      <c r="I21793" s="676"/>
      <c r="J21793" s="770"/>
    </row>
    <row r="21794" spans="8:10" x14ac:dyDescent="0.35">
      <c r="H21794" s="676"/>
      <c r="I21794" s="676"/>
      <c r="J21794" s="770"/>
    </row>
    <row r="21795" spans="8:10" x14ac:dyDescent="0.35">
      <c r="H21795" s="676"/>
      <c r="I21795" s="676"/>
      <c r="J21795" s="770"/>
    </row>
    <row r="21796" spans="8:10" x14ac:dyDescent="0.35">
      <c r="H21796" s="676"/>
      <c r="I21796" s="676"/>
      <c r="J21796" s="770"/>
    </row>
    <row r="21797" spans="8:10" x14ac:dyDescent="0.35">
      <c r="H21797" s="676"/>
      <c r="I21797" s="676"/>
      <c r="J21797" s="770"/>
    </row>
    <row r="21798" spans="8:10" x14ac:dyDescent="0.35">
      <c r="H21798" s="676"/>
      <c r="I21798" s="676"/>
      <c r="J21798" s="770"/>
    </row>
    <row r="21799" spans="8:10" x14ac:dyDescent="0.35">
      <c r="H21799" s="676"/>
      <c r="I21799" s="676"/>
      <c r="J21799" s="770"/>
    </row>
    <row r="21800" spans="8:10" x14ac:dyDescent="0.35">
      <c r="H21800" s="676"/>
      <c r="I21800" s="676"/>
      <c r="J21800" s="770"/>
    </row>
    <row r="21801" spans="8:10" x14ac:dyDescent="0.35">
      <c r="H21801" s="676"/>
      <c r="I21801" s="676"/>
      <c r="J21801" s="770"/>
    </row>
    <row r="21802" spans="8:10" x14ac:dyDescent="0.35">
      <c r="H21802" s="676"/>
      <c r="I21802" s="676"/>
      <c r="J21802" s="770"/>
    </row>
    <row r="21803" spans="8:10" x14ac:dyDescent="0.35">
      <c r="H21803" s="676"/>
      <c r="I21803" s="676"/>
      <c r="J21803" s="770"/>
    </row>
    <row r="21804" spans="8:10" x14ac:dyDescent="0.35">
      <c r="H21804" s="676"/>
      <c r="I21804" s="676"/>
      <c r="J21804" s="770"/>
    </row>
    <row r="21805" spans="8:10" x14ac:dyDescent="0.35">
      <c r="H21805" s="676"/>
      <c r="I21805" s="676"/>
      <c r="J21805" s="770"/>
    </row>
    <row r="21806" spans="8:10" x14ac:dyDescent="0.35">
      <c r="H21806" s="676"/>
      <c r="I21806" s="676"/>
      <c r="J21806" s="770"/>
    </row>
    <row r="21807" spans="8:10" x14ac:dyDescent="0.35">
      <c r="H21807" s="676"/>
      <c r="I21807" s="676"/>
      <c r="J21807" s="770"/>
    </row>
    <row r="21808" spans="8:10" x14ac:dyDescent="0.35">
      <c r="H21808" s="676"/>
      <c r="I21808" s="676"/>
      <c r="J21808" s="770"/>
    </row>
    <row r="21809" spans="8:10" x14ac:dyDescent="0.35">
      <c r="H21809" s="676"/>
      <c r="I21809" s="676"/>
      <c r="J21809" s="770"/>
    </row>
    <row r="21810" spans="8:10" x14ac:dyDescent="0.35">
      <c r="H21810" s="676"/>
      <c r="I21810" s="676"/>
      <c r="J21810" s="770"/>
    </row>
    <row r="21811" spans="8:10" x14ac:dyDescent="0.35">
      <c r="H21811" s="676"/>
      <c r="I21811" s="676"/>
      <c r="J21811" s="770"/>
    </row>
    <row r="21812" spans="8:10" x14ac:dyDescent="0.35">
      <c r="H21812" s="676"/>
      <c r="I21812" s="676"/>
      <c r="J21812" s="770"/>
    </row>
    <row r="21813" spans="8:10" x14ac:dyDescent="0.35">
      <c r="H21813" s="676"/>
      <c r="I21813" s="676"/>
      <c r="J21813" s="770"/>
    </row>
    <row r="21814" spans="8:10" x14ac:dyDescent="0.35">
      <c r="H21814" s="676"/>
      <c r="I21814" s="676"/>
      <c r="J21814" s="770"/>
    </row>
    <row r="21815" spans="8:10" x14ac:dyDescent="0.35">
      <c r="H21815" s="676"/>
      <c r="I21815" s="676"/>
      <c r="J21815" s="770"/>
    </row>
    <row r="21816" spans="8:10" x14ac:dyDescent="0.35">
      <c r="H21816" s="676"/>
      <c r="I21816" s="676"/>
      <c r="J21816" s="770"/>
    </row>
    <row r="21817" spans="8:10" x14ac:dyDescent="0.35">
      <c r="H21817" s="676"/>
      <c r="I21817" s="676"/>
      <c r="J21817" s="770"/>
    </row>
    <row r="21818" spans="8:10" x14ac:dyDescent="0.35">
      <c r="H21818" s="676"/>
      <c r="I21818" s="676"/>
      <c r="J21818" s="770"/>
    </row>
    <row r="21819" spans="8:10" x14ac:dyDescent="0.35">
      <c r="H21819" s="676"/>
      <c r="I21819" s="676"/>
      <c r="J21819" s="770"/>
    </row>
    <row r="21820" spans="8:10" x14ac:dyDescent="0.35">
      <c r="H21820" s="676"/>
      <c r="I21820" s="676"/>
      <c r="J21820" s="770"/>
    </row>
    <row r="21821" spans="8:10" x14ac:dyDescent="0.35">
      <c r="H21821" s="676"/>
      <c r="I21821" s="676"/>
      <c r="J21821" s="770"/>
    </row>
    <row r="21822" spans="8:10" x14ac:dyDescent="0.35">
      <c r="H21822" s="676"/>
      <c r="I21822" s="676"/>
      <c r="J21822" s="770"/>
    </row>
    <row r="21823" spans="8:10" x14ac:dyDescent="0.35">
      <c r="H21823" s="676"/>
      <c r="I21823" s="676"/>
      <c r="J21823" s="770"/>
    </row>
    <row r="21824" spans="8:10" x14ac:dyDescent="0.35">
      <c r="H21824" s="676"/>
      <c r="I21824" s="676"/>
      <c r="J21824" s="770"/>
    </row>
    <row r="21825" spans="8:10" x14ac:dyDescent="0.35">
      <c r="H21825" s="676"/>
      <c r="I21825" s="676"/>
      <c r="J21825" s="770"/>
    </row>
    <row r="21826" spans="8:10" x14ac:dyDescent="0.35">
      <c r="H21826" s="676"/>
      <c r="I21826" s="676"/>
      <c r="J21826" s="770"/>
    </row>
    <row r="21827" spans="8:10" x14ac:dyDescent="0.35">
      <c r="H21827" s="676"/>
      <c r="I21827" s="676"/>
      <c r="J21827" s="770"/>
    </row>
    <row r="21828" spans="8:10" x14ac:dyDescent="0.35">
      <c r="H21828" s="676"/>
      <c r="I21828" s="676"/>
      <c r="J21828" s="770"/>
    </row>
    <row r="21829" spans="8:10" x14ac:dyDescent="0.35">
      <c r="H21829" s="676"/>
      <c r="I21829" s="676"/>
      <c r="J21829" s="770"/>
    </row>
    <row r="21830" spans="8:10" x14ac:dyDescent="0.35">
      <c r="H21830" s="676"/>
      <c r="I21830" s="676"/>
      <c r="J21830" s="770"/>
    </row>
    <row r="21831" spans="8:10" x14ac:dyDescent="0.35">
      <c r="H21831" s="676"/>
      <c r="I21831" s="676"/>
      <c r="J21831" s="770"/>
    </row>
    <row r="21832" spans="8:10" x14ac:dyDescent="0.35">
      <c r="H21832" s="676"/>
      <c r="I21832" s="676"/>
      <c r="J21832" s="770"/>
    </row>
    <row r="21833" spans="8:10" x14ac:dyDescent="0.35">
      <c r="H21833" s="676"/>
      <c r="I21833" s="676"/>
      <c r="J21833" s="770"/>
    </row>
    <row r="21834" spans="8:10" x14ac:dyDescent="0.35">
      <c r="H21834" s="676"/>
      <c r="I21834" s="676"/>
      <c r="J21834" s="770"/>
    </row>
    <row r="21835" spans="8:10" x14ac:dyDescent="0.35">
      <c r="H21835" s="676"/>
      <c r="I21835" s="676"/>
      <c r="J21835" s="770"/>
    </row>
    <row r="21836" spans="8:10" x14ac:dyDescent="0.35">
      <c r="H21836" s="676"/>
      <c r="I21836" s="676"/>
      <c r="J21836" s="770"/>
    </row>
    <row r="21837" spans="8:10" x14ac:dyDescent="0.35">
      <c r="H21837" s="676"/>
      <c r="I21837" s="676"/>
      <c r="J21837" s="770"/>
    </row>
    <row r="21838" spans="8:10" x14ac:dyDescent="0.35">
      <c r="H21838" s="676"/>
      <c r="I21838" s="676"/>
      <c r="J21838" s="770"/>
    </row>
    <row r="21839" spans="8:10" x14ac:dyDescent="0.35">
      <c r="H21839" s="676"/>
      <c r="I21839" s="676"/>
      <c r="J21839" s="770"/>
    </row>
    <row r="21840" spans="8:10" x14ac:dyDescent="0.35">
      <c r="H21840" s="676"/>
      <c r="I21840" s="676"/>
      <c r="J21840" s="770"/>
    </row>
    <row r="21841" spans="8:10" x14ac:dyDescent="0.35">
      <c r="H21841" s="676"/>
      <c r="I21841" s="676"/>
      <c r="J21841" s="770"/>
    </row>
    <row r="21842" spans="8:10" x14ac:dyDescent="0.35">
      <c r="H21842" s="676"/>
      <c r="I21842" s="676"/>
      <c r="J21842" s="770"/>
    </row>
    <row r="21843" spans="8:10" x14ac:dyDescent="0.35">
      <c r="H21843" s="676"/>
      <c r="I21843" s="676"/>
      <c r="J21843" s="770"/>
    </row>
    <row r="21844" spans="8:10" x14ac:dyDescent="0.35">
      <c r="H21844" s="676"/>
      <c r="I21844" s="676"/>
      <c r="J21844" s="770"/>
    </row>
    <row r="21845" spans="8:10" x14ac:dyDescent="0.35">
      <c r="H21845" s="676"/>
      <c r="I21845" s="676"/>
      <c r="J21845" s="770"/>
    </row>
    <row r="21846" spans="8:10" x14ac:dyDescent="0.35">
      <c r="H21846" s="676"/>
      <c r="I21846" s="676"/>
      <c r="J21846" s="770"/>
    </row>
    <row r="21847" spans="8:10" x14ac:dyDescent="0.35">
      <c r="H21847" s="676"/>
      <c r="I21847" s="676"/>
      <c r="J21847" s="770"/>
    </row>
    <row r="21848" spans="8:10" x14ac:dyDescent="0.35">
      <c r="H21848" s="676"/>
      <c r="I21848" s="676"/>
      <c r="J21848" s="770"/>
    </row>
    <row r="21849" spans="8:10" x14ac:dyDescent="0.35">
      <c r="H21849" s="676"/>
      <c r="I21849" s="676"/>
      <c r="J21849" s="770"/>
    </row>
    <row r="21850" spans="8:10" x14ac:dyDescent="0.35">
      <c r="H21850" s="676"/>
      <c r="I21850" s="676"/>
      <c r="J21850" s="770"/>
    </row>
    <row r="21851" spans="8:10" x14ac:dyDescent="0.35">
      <c r="H21851" s="676"/>
      <c r="I21851" s="676"/>
      <c r="J21851" s="770"/>
    </row>
    <row r="21852" spans="8:10" x14ac:dyDescent="0.35">
      <c r="H21852" s="676"/>
      <c r="I21852" s="676"/>
      <c r="J21852" s="770"/>
    </row>
    <row r="21853" spans="8:10" x14ac:dyDescent="0.35">
      <c r="H21853" s="676"/>
      <c r="I21853" s="676"/>
      <c r="J21853" s="770"/>
    </row>
    <row r="21854" spans="8:10" x14ac:dyDescent="0.35">
      <c r="H21854" s="676"/>
      <c r="I21854" s="676"/>
      <c r="J21854" s="770"/>
    </row>
    <row r="21855" spans="8:10" x14ac:dyDescent="0.35">
      <c r="H21855" s="676"/>
      <c r="I21855" s="676"/>
      <c r="J21855" s="770"/>
    </row>
    <row r="21856" spans="8:10" x14ac:dyDescent="0.35">
      <c r="H21856" s="676"/>
      <c r="I21856" s="676"/>
      <c r="J21856" s="770"/>
    </row>
    <row r="21857" spans="8:10" x14ac:dyDescent="0.35">
      <c r="H21857" s="676"/>
      <c r="I21857" s="676"/>
      <c r="J21857" s="770"/>
    </row>
    <row r="21858" spans="8:10" x14ac:dyDescent="0.35">
      <c r="H21858" s="676"/>
      <c r="I21858" s="676"/>
      <c r="J21858" s="770"/>
    </row>
    <row r="21859" spans="8:10" x14ac:dyDescent="0.35">
      <c r="H21859" s="676"/>
      <c r="I21859" s="676"/>
      <c r="J21859" s="770"/>
    </row>
    <row r="21860" spans="8:10" x14ac:dyDescent="0.35">
      <c r="H21860" s="676"/>
      <c r="I21860" s="676"/>
      <c r="J21860" s="770"/>
    </row>
    <row r="21861" spans="8:10" x14ac:dyDescent="0.35">
      <c r="H21861" s="676"/>
      <c r="I21861" s="676"/>
      <c r="J21861" s="770"/>
    </row>
    <row r="21862" spans="8:10" x14ac:dyDescent="0.35">
      <c r="H21862" s="676"/>
      <c r="I21862" s="676"/>
      <c r="J21862" s="770"/>
    </row>
    <row r="21863" spans="8:10" x14ac:dyDescent="0.35">
      <c r="H21863" s="676"/>
      <c r="I21863" s="676"/>
      <c r="J21863" s="770"/>
    </row>
    <row r="21864" spans="8:10" x14ac:dyDescent="0.35">
      <c r="H21864" s="676"/>
      <c r="I21864" s="676"/>
      <c r="J21864" s="770"/>
    </row>
    <row r="21865" spans="8:10" x14ac:dyDescent="0.35">
      <c r="H21865" s="676"/>
      <c r="I21865" s="676"/>
      <c r="J21865" s="770"/>
    </row>
    <row r="21866" spans="8:10" x14ac:dyDescent="0.35">
      <c r="H21866" s="676"/>
      <c r="I21866" s="676"/>
      <c r="J21866" s="770"/>
    </row>
    <row r="21867" spans="8:10" x14ac:dyDescent="0.35">
      <c r="H21867" s="676"/>
      <c r="I21867" s="676"/>
      <c r="J21867" s="770"/>
    </row>
    <row r="21868" spans="8:10" x14ac:dyDescent="0.35">
      <c r="H21868" s="676"/>
      <c r="I21868" s="676"/>
      <c r="J21868" s="770"/>
    </row>
    <row r="21869" spans="8:10" x14ac:dyDescent="0.35">
      <c r="H21869" s="676"/>
      <c r="I21869" s="676"/>
      <c r="J21869" s="770"/>
    </row>
    <row r="21870" spans="8:10" x14ac:dyDescent="0.35">
      <c r="H21870" s="676"/>
      <c r="I21870" s="676"/>
      <c r="J21870" s="770"/>
    </row>
    <row r="21871" spans="8:10" x14ac:dyDescent="0.35">
      <c r="H21871" s="676"/>
      <c r="I21871" s="676"/>
      <c r="J21871" s="770"/>
    </row>
    <row r="21872" spans="8:10" x14ac:dyDescent="0.35">
      <c r="H21872" s="676"/>
      <c r="I21872" s="676"/>
      <c r="J21872" s="770"/>
    </row>
    <row r="21873" spans="8:10" x14ac:dyDescent="0.35">
      <c r="H21873" s="676"/>
      <c r="I21873" s="676"/>
      <c r="J21873" s="770"/>
    </row>
    <row r="21874" spans="8:10" x14ac:dyDescent="0.35">
      <c r="H21874" s="676"/>
      <c r="I21874" s="676"/>
      <c r="J21874" s="770"/>
    </row>
    <row r="21875" spans="8:10" x14ac:dyDescent="0.35">
      <c r="H21875" s="676"/>
      <c r="I21875" s="676"/>
      <c r="J21875" s="770"/>
    </row>
    <row r="21876" spans="8:10" x14ac:dyDescent="0.35">
      <c r="H21876" s="676"/>
      <c r="I21876" s="676"/>
      <c r="J21876" s="770"/>
    </row>
    <row r="21877" spans="8:10" x14ac:dyDescent="0.35">
      <c r="H21877" s="676"/>
      <c r="I21877" s="676"/>
      <c r="J21877" s="770"/>
    </row>
    <row r="21878" spans="8:10" x14ac:dyDescent="0.35">
      <c r="H21878" s="676"/>
      <c r="I21878" s="676"/>
      <c r="J21878" s="770"/>
    </row>
    <row r="21879" spans="8:10" x14ac:dyDescent="0.35">
      <c r="H21879" s="676"/>
      <c r="I21879" s="676"/>
      <c r="J21879" s="770"/>
    </row>
    <row r="21880" spans="8:10" x14ac:dyDescent="0.35">
      <c r="H21880" s="676"/>
      <c r="I21880" s="676"/>
      <c r="J21880" s="770"/>
    </row>
    <row r="21881" spans="8:10" x14ac:dyDescent="0.35">
      <c r="H21881" s="676"/>
      <c r="I21881" s="676"/>
      <c r="J21881" s="770"/>
    </row>
    <row r="21882" spans="8:10" x14ac:dyDescent="0.35">
      <c r="H21882" s="676"/>
      <c r="I21882" s="676"/>
      <c r="J21882" s="770"/>
    </row>
    <row r="21883" spans="8:10" x14ac:dyDescent="0.35">
      <c r="H21883" s="676"/>
      <c r="I21883" s="676"/>
      <c r="J21883" s="770"/>
    </row>
    <row r="21884" spans="8:10" x14ac:dyDescent="0.35">
      <c r="H21884" s="676"/>
      <c r="I21884" s="676"/>
      <c r="J21884" s="770"/>
    </row>
    <row r="21885" spans="8:10" x14ac:dyDescent="0.35">
      <c r="H21885" s="676"/>
      <c r="I21885" s="676"/>
      <c r="J21885" s="770"/>
    </row>
    <row r="21886" spans="8:10" x14ac:dyDescent="0.35">
      <c r="H21886" s="676"/>
      <c r="I21886" s="676"/>
      <c r="J21886" s="770"/>
    </row>
    <row r="21887" spans="8:10" x14ac:dyDescent="0.35">
      <c r="H21887" s="676"/>
      <c r="I21887" s="676"/>
      <c r="J21887" s="770"/>
    </row>
    <row r="21888" spans="8:10" x14ac:dyDescent="0.35">
      <c r="H21888" s="676"/>
      <c r="I21888" s="676"/>
      <c r="J21888" s="770"/>
    </row>
    <row r="21889" spans="8:10" x14ac:dyDescent="0.35">
      <c r="H21889" s="676"/>
      <c r="I21889" s="676"/>
      <c r="J21889" s="770"/>
    </row>
    <row r="21890" spans="8:10" x14ac:dyDescent="0.35">
      <c r="H21890" s="676"/>
      <c r="I21890" s="676"/>
      <c r="J21890" s="770"/>
    </row>
    <row r="21891" spans="8:10" x14ac:dyDescent="0.35">
      <c r="H21891" s="676"/>
      <c r="I21891" s="676"/>
      <c r="J21891" s="770"/>
    </row>
    <row r="21892" spans="8:10" x14ac:dyDescent="0.35">
      <c r="H21892" s="676"/>
      <c r="I21892" s="676"/>
      <c r="J21892" s="770"/>
    </row>
    <row r="21893" spans="8:10" x14ac:dyDescent="0.35">
      <c r="H21893" s="676"/>
      <c r="I21893" s="676"/>
      <c r="J21893" s="770"/>
    </row>
    <row r="21894" spans="8:10" x14ac:dyDescent="0.35">
      <c r="H21894" s="676"/>
      <c r="I21894" s="676"/>
      <c r="J21894" s="770"/>
    </row>
    <row r="21895" spans="8:10" x14ac:dyDescent="0.35">
      <c r="H21895" s="676"/>
      <c r="I21895" s="676"/>
      <c r="J21895" s="770"/>
    </row>
    <row r="21896" spans="8:10" x14ac:dyDescent="0.35">
      <c r="H21896" s="676"/>
      <c r="I21896" s="676"/>
      <c r="J21896" s="770"/>
    </row>
    <row r="21897" spans="8:10" x14ac:dyDescent="0.35">
      <c r="H21897" s="676"/>
      <c r="I21897" s="676"/>
      <c r="J21897" s="770"/>
    </row>
    <row r="21898" spans="8:10" x14ac:dyDescent="0.35">
      <c r="H21898" s="676"/>
      <c r="I21898" s="676"/>
      <c r="J21898" s="770"/>
    </row>
    <row r="21899" spans="8:10" x14ac:dyDescent="0.35">
      <c r="H21899" s="676"/>
      <c r="I21899" s="676"/>
      <c r="J21899" s="770"/>
    </row>
    <row r="21900" spans="8:10" x14ac:dyDescent="0.35">
      <c r="H21900" s="676"/>
      <c r="I21900" s="676"/>
      <c r="J21900" s="770"/>
    </row>
    <row r="21901" spans="8:10" x14ac:dyDescent="0.35">
      <c r="H21901" s="676"/>
      <c r="I21901" s="676"/>
      <c r="J21901" s="770"/>
    </row>
    <row r="21902" spans="8:10" x14ac:dyDescent="0.35">
      <c r="H21902" s="676"/>
      <c r="I21902" s="676"/>
      <c r="J21902" s="770"/>
    </row>
    <row r="21903" spans="8:10" x14ac:dyDescent="0.35">
      <c r="H21903" s="676"/>
      <c r="I21903" s="676"/>
      <c r="J21903" s="770"/>
    </row>
    <row r="21904" spans="8:10" x14ac:dyDescent="0.35">
      <c r="H21904" s="676"/>
      <c r="I21904" s="676"/>
      <c r="J21904" s="770"/>
    </row>
    <row r="21905" spans="8:10" x14ac:dyDescent="0.35">
      <c r="H21905" s="676"/>
      <c r="I21905" s="676"/>
      <c r="J21905" s="770"/>
    </row>
    <row r="21906" spans="8:10" x14ac:dyDescent="0.35">
      <c r="H21906" s="676"/>
      <c r="I21906" s="676"/>
      <c r="J21906" s="770"/>
    </row>
    <row r="21907" spans="8:10" x14ac:dyDescent="0.35">
      <c r="H21907" s="676"/>
      <c r="I21907" s="676"/>
      <c r="J21907" s="770"/>
    </row>
    <row r="21908" spans="8:10" x14ac:dyDescent="0.35">
      <c r="H21908" s="676"/>
      <c r="I21908" s="676"/>
      <c r="J21908" s="770"/>
    </row>
    <row r="21909" spans="8:10" x14ac:dyDescent="0.35">
      <c r="H21909" s="676"/>
      <c r="I21909" s="676"/>
      <c r="J21909" s="770"/>
    </row>
    <row r="21910" spans="8:10" x14ac:dyDescent="0.35">
      <c r="H21910" s="676"/>
      <c r="I21910" s="676"/>
      <c r="J21910" s="770"/>
    </row>
    <row r="21911" spans="8:10" x14ac:dyDescent="0.35">
      <c r="H21911" s="676"/>
      <c r="I21911" s="676"/>
      <c r="J21911" s="770"/>
    </row>
    <row r="21912" spans="8:10" x14ac:dyDescent="0.35">
      <c r="H21912" s="676"/>
      <c r="I21912" s="676"/>
      <c r="J21912" s="770"/>
    </row>
    <row r="21913" spans="8:10" x14ac:dyDescent="0.35">
      <c r="H21913" s="676"/>
      <c r="I21913" s="676"/>
      <c r="J21913" s="770"/>
    </row>
    <row r="21914" spans="8:10" x14ac:dyDescent="0.35">
      <c r="H21914" s="676"/>
      <c r="I21914" s="676"/>
      <c r="J21914" s="770"/>
    </row>
    <row r="21915" spans="8:10" x14ac:dyDescent="0.35">
      <c r="H21915" s="676"/>
      <c r="I21915" s="676"/>
      <c r="J21915" s="770"/>
    </row>
    <row r="21916" spans="8:10" x14ac:dyDescent="0.35">
      <c r="H21916" s="676"/>
      <c r="I21916" s="676"/>
      <c r="J21916" s="770"/>
    </row>
    <row r="21917" spans="8:10" x14ac:dyDescent="0.35">
      <c r="H21917" s="676"/>
      <c r="I21917" s="676"/>
      <c r="J21917" s="770"/>
    </row>
    <row r="21918" spans="8:10" x14ac:dyDescent="0.35">
      <c r="H21918" s="676"/>
      <c r="I21918" s="676"/>
      <c r="J21918" s="770"/>
    </row>
    <row r="21919" spans="8:10" x14ac:dyDescent="0.35">
      <c r="H21919" s="676"/>
      <c r="I21919" s="676"/>
      <c r="J21919" s="770"/>
    </row>
    <row r="21920" spans="8:10" x14ac:dyDescent="0.35">
      <c r="H21920" s="676"/>
      <c r="I21920" s="676"/>
      <c r="J21920" s="770"/>
    </row>
    <row r="21921" spans="8:10" x14ac:dyDescent="0.35">
      <c r="H21921" s="676"/>
      <c r="I21921" s="676"/>
      <c r="J21921" s="770"/>
    </row>
    <row r="21922" spans="8:10" x14ac:dyDescent="0.35">
      <c r="H21922" s="676"/>
      <c r="I21922" s="676"/>
      <c r="J21922" s="770"/>
    </row>
    <row r="21923" spans="8:10" x14ac:dyDescent="0.35">
      <c r="H21923" s="676"/>
      <c r="I21923" s="676"/>
      <c r="J21923" s="770"/>
    </row>
    <row r="21924" spans="8:10" x14ac:dyDescent="0.35">
      <c r="H21924" s="676"/>
      <c r="I21924" s="676"/>
      <c r="J21924" s="770"/>
    </row>
    <row r="21925" spans="8:10" x14ac:dyDescent="0.35">
      <c r="H21925" s="676"/>
      <c r="I21925" s="676"/>
      <c r="J21925" s="770"/>
    </row>
    <row r="21926" spans="8:10" x14ac:dyDescent="0.35">
      <c r="H21926" s="676"/>
      <c r="I21926" s="676"/>
      <c r="J21926" s="770"/>
    </row>
    <row r="21927" spans="8:10" x14ac:dyDescent="0.35">
      <c r="H21927" s="676"/>
      <c r="I21927" s="676"/>
      <c r="J21927" s="770"/>
    </row>
    <row r="21928" spans="8:10" x14ac:dyDescent="0.35">
      <c r="H21928" s="676"/>
      <c r="I21928" s="676"/>
      <c r="J21928" s="770"/>
    </row>
    <row r="21929" spans="8:10" x14ac:dyDescent="0.35">
      <c r="H21929" s="676"/>
      <c r="I21929" s="676"/>
      <c r="J21929" s="770"/>
    </row>
    <row r="21930" spans="8:10" x14ac:dyDescent="0.35">
      <c r="H21930" s="676"/>
      <c r="I21930" s="676"/>
      <c r="J21930" s="770"/>
    </row>
    <row r="21931" spans="8:10" x14ac:dyDescent="0.35">
      <c r="H21931" s="676"/>
      <c r="I21931" s="676"/>
      <c r="J21931" s="770"/>
    </row>
    <row r="21932" spans="8:10" x14ac:dyDescent="0.35">
      <c r="H21932" s="676"/>
      <c r="I21932" s="676"/>
      <c r="J21932" s="770"/>
    </row>
    <row r="21933" spans="8:10" x14ac:dyDescent="0.35">
      <c r="H21933" s="676"/>
      <c r="I21933" s="676"/>
      <c r="J21933" s="770"/>
    </row>
    <row r="21934" spans="8:10" x14ac:dyDescent="0.35">
      <c r="H21934" s="676"/>
      <c r="I21934" s="676"/>
      <c r="J21934" s="770"/>
    </row>
    <row r="21935" spans="8:10" x14ac:dyDescent="0.35">
      <c r="H21935" s="676"/>
      <c r="I21935" s="676"/>
      <c r="J21935" s="770"/>
    </row>
    <row r="21936" spans="8:10" x14ac:dyDescent="0.35">
      <c r="H21936" s="676"/>
      <c r="I21936" s="676"/>
      <c r="J21936" s="770"/>
    </row>
    <row r="21937" spans="8:10" x14ac:dyDescent="0.35">
      <c r="H21937" s="676"/>
      <c r="I21937" s="676"/>
      <c r="J21937" s="770"/>
    </row>
    <row r="21938" spans="8:10" x14ac:dyDescent="0.35">
      <c r="H21938" s="676"/>
      <c r="I21938" s="676"/>
      <c r="J21938" s="770"/>
    </row>
    <row r="21939" spans="8:10" x14ac:dyDescent="0.35">
      <c r="H21939" s="676"/>
      <c r="I21939" s="676"/>
      <c r="J21939" s="770"/>
    </row>
    <row r="21940" spans="8:10" x14ac:dyDescent="0.35">
      <c r="H21940" s="676"/>
      <c r="I21940" s="676"/>
      <c r="J21940" s="770"/>
    </row>
    <row r="21941" spans="8:10" x14ac:dyDescent="0.35">
      <c r="H21941" s="676"/>
      <c r="I21941" s="676"/>
      <c r="J21941" s="770"/>
    </row>
    <row r="21942" spans="8:10" x14ac:dyDescent="0.35">
      <c r="H21942" s="676"/>
      <c r="I21942" s="676"/>
      <c r="J21942" s="770"/>
    </row>
    <row r="21943" spans="8:10" x14ac:dyDescent="0.35">
      <c r="H21943" s="676"/>
      <c r="I21943" s="676"/>
      <c r="J21943" s="770"/>
    </row>
    <row r="21944" spans="8:10" x14ac:dyDescent="0.35">
      <c r="H21944" s="676"/>
      <c r="I21944" s="676"/>
      <c r="J21944" s="770"/>
    </row>
    <row r="21945" spans="8:10" x14ac:dyDescent="0.35">
      <c r="H21945" s="676"/>
      <c r="I21945" s="676"/>
      <c r="J21945" s="770"/>
    </row>
    <row r="21946" spans="8:10" x14ac:dyDescent="0.35">
      <c r="H21946" s="676"/>
      <c r="I21946" s="676"/>
      <c r="J21946" s="770"/>
    </row>
    <row r="21947" spans="8:10" x14ac:dyDescent="0.35">
      <c r="H21947" s="676"/>
      <c r="I21947" s="676"/>
      <c r="J21947" s="770"/>
    </row>
    <row r="21948" spans="8:10" x14ac:dyDescent="0.35">
      <c r="H21948" s="676"/>
      <c r="I21948" s="676"/>
      <c r="J21948" s="770"/>
    </row>
    <row r="21949" spans="8:10" x14ac:dyDescent="0.35">
      <c r="H21949" s="676"/>
      <c r="I21949" s="676"/>
      <c r="J21949" s="770"/>
    </row>
    <row r="21950" spans="8:10" x14ac:dyDescent="0.35">
      <c r="H21950" s="676"/>
      <c r="I21950" s="676"/>
      <c r="J21950" s="770"/>
    </row>
    <row r="21951" spans="8:10" x14ac:dyDescent="0.35">
      <c r="H21951" s="676"/>
      <c r="I21951" s="676"/>
      <c r="J21951" s="770"/>
    </row>
    <row r="21952" spans="8:10" x14ac:dyDescent="0.35">
      <c r="H21952" s="676"/>
      <c r="I21952" s="676"/>
      <c r="J21952" s="770"/>
    </row>
    <row r="21953" spans="8:10" x14ac:dyDescent="0.35">
      <c r="H21953" s="676"/>
      <c r="I21953" s="676"/>
      <c r="J21953" s="770"/>
    </row>
    <row r="21954" spans="8:10" x14ac:dyDescent="0.35">
      <c r="H21954" s="676"/>
      <c r="I21954" s="676"/>
      <c r="J21954" s="770"/>
    </row>
    <row r="21955" spans="8:10" x14ac:dyDescent="0.35">
      <c r="H21955" s="676"/>
      <c r="I21955" s="676"/>
      <c r="J21955" s="770"/>
    </row>
    <row r="21956" spans="8:10" x14ac:dyDescent="0.35">
      <c r="H21956" s="676"/>
      <c r="I21956" s="676"/>
      <c r="J21956" s="770"/>
    </row>
    <row r="21957" spans="8:10" x14ac:dyDescent="0.35">
      <c r="H21957" s="676"/>
      <c r="I21957" s="676"/>
      <c r="J21957" s="770"/>
    </row>
    <row r="21958" spans="8:10" x14ac:dyDescent="0.35">
      <c r="H21958" s="676"/>
      <c r="I21958" s="676"/>
      <c r="J21958" s="770"/>
    </row>
    <row r="21959" spans="8:10" x14ac:dyDescent="0.35">
      <c r="H21959" s="676"/>
      <c r="I21959" s="676"/>
      <c r="J21959" s="770"/>
    </row>
    <row r="21960" spans="8:10" x14ac:dyDescent="0.35">
      <c r="H21960" s="676"/>
      <c r="I21960" s="676"/>
      <c r="J21960" s="770"/>
    </row>
    <row r="21961" spans="8:10" x14ac:dyDescent="0.35">
      <c r="H21961" s="676"/>
      <c r="I21961" s="676"/>
      <c r="J21961" s="770"/>
    </row>
    <row r="21962" spans="8:10" x14ac:dyDescent="0.35">
      <c r="H21962" s="676"/>
      <c r="I21962" s="676"/>
      <c r="J21962" s="770"/>
    </row>
    <row r="21963" spans="8:10" x14ac:dyDescent="0.35">
      <c r="H21963" s="676"/>
      <c r="I21963" s="676"/>
      <c r="J21963" s="770"/>
    </row>
    <row r="21964" spans="8:10" x14ac:dyDescent="0.35">
      <c r="H21964" s="676"/>
      <c r="I21964" s="676"/>
      <c r="J21964" s="770"/>
    </row>
    <row r="21965" spans="8:10" x14ac:dyDescent="0.35">
      <c r="H21965" s="676"/>
      <c r="I21965" s="676"/>
      <c r="J21965" s="770"/>
    </row>
    <row r="21966" spans="8:10" x14ac:dyDescent="0.35">
      <c r="H21966" s="676"/>
      <c r="I21966" s="676"/>
      <c r="J21966" s="770"/>
    </row>
    <row r="21967" spans="8:10" x14ac:dyDescent="0.35">
      <c r="H21967" s="676"/>
      <c r="I21967" s="676"/>
      <c r="J21967" s="770"/>
    </row>
    <row r="21968" spans="8:10" x14ac:dyDescent="0.35">
      <c r="H21968" s="676"/>
      <c r="I21968" s="676"/>
      <c r="J21968" s="770"/>
    </row>
    <row r="21969" spans="8:10" x14ac:dyDescent="0.35">
      <c r="H21969" s="676"/>
      <c r="I21969" s="676"/>
      <c r="J21969" s="770"/>
    </row>
    <row r="21970" spans="8:10" x14ac:dyDescent="0.35">
      <c r="H21970" s="676"/>
      <c r="I21970" s="676"/>
      <c r="J21970" s="770"/>
    </row>
    <row r="21971" spans="8:10" x14ac:dyDescent="0.35">
      <c r="H21971" s="676"/>
      <c r="I21971" s="676"/>
      <c r="J21971" s="770"/>
    </row>
    <row r="21972" spans="8:10" x14ac:dyDescent="0.35">
      <c r="H21972" s="676"/>
      <c r="I21972" s="676"/>
      <c r="J21972" s="770"/>
    </row>
    <row r="21973" spans="8:10" x14ac:dyDescent="0.35">
      <c r="H21973" s="676"/>
      <c r="I21973" s="676"/>
      <c r="J21973" s="770"/>
    </row>
    <row r="21974" spans="8:10" x14ac:dyDescent="0.35">
      <c r="H21974" s="676"/>
      <c r="I21974" s="676"/>
      <c r="J21974" s="770"/>
    </row>
    <row r="21975" spans="8:10" x14ac:dyDescent="0.35">
      <c r="H21975" s="676"/>
      <c r="I21975" s="676"/>
      <c r="J21975" s="770"/>
    </row>
    <row r="21976" spans="8:10" x14ac:dyDescent="0.35">
      <c r="H21976" s="676"/>
      <c r="I21976" s="676"/>
      <c r="J21976" s="770"/>
    </row>
    <row r="21977" spans="8:10" x14ac:dyDescent="0.35">
      <c r="H21977" s="676"/>
      <c r="I21977" s="676"/>
      <c r="J21977" s="770"/>
    </row>
    <row r="21978" spans="8:10" x14ac:dyDescent="0.35">
      <c r="H21978" s="676"/>
      <c r="I21978" s="676"/>
      <c r="J21978" s="770"/>
    </row>
    <row r="21979" spans="8:10" x14ac:dyDescent="0.35">
      <c r="H21979" s="676"/>
      <c r="I21979" s="676"/>
      <c r="J21979" s="770"/>
    </row>
    <row r="21980" spans="8:10" x14ac:dyDescent="0.35">
      <c r="H21980" s="676"/>
      <c r="I21980" s="676"/>
      <c r="J21980" s="770"/>
    </row>
    <row r="21981" spans="8:10" x14ac:dyDescent="0.35">
      <c r="H21981" s="676"/>
      <c r="I21981" s="676"/>
      <c r="J21981" s="770"/>
    </row>
    <row r="21982" spans="8:10" x14ac:dyDescent="0.35">
      <c r="H21982" s="676"/>
      <c r="I21982" s="676"/>
      <c r="J21982" s="770"/>
    </row>
    <row r="21983" spans="8:10" x14ac:dyDescent="0.35">
      <c r="H21983" s="676"/>
      <c r="I21983" s="676"/>
      <c r="J21983" s="770"/>
    </row>
    <row r="21984" spans="8:10" x14ac:dyDescent="0.35">
      <c r="H21984" s="676"/>
      <c r="I21984" s="676"/>
      <c r="J21984" s="770"/>
    </row>
    <row r="21985" spans="8:10" x14ac:dyDescent="0.35">
      <c r="H21985" s="676"/>
      <c r="I21985" s="676"/>
      <c r="J21985" s="770"/>
    </row>
    <row r="21986" spans="8:10" x14ac:dyDescent="0.35">
      <c r="H21986" s="676"/>
      <c r="I21986" s="676"/>
      <c r="J21986" s="770"/>
    </row>
    <row r="21987" spans="8:10" x14ac:dyDescent="0.35">
      <c r="H21987" s="676"/>
      <c r="I21987" s="676"/>
      <c r="J21987" s="770"/>
    </row>
    <row r="21988" spans="8:10" x14ac:dyDescent="0.35">
      <c r="H21988" s="676"/>
      <c r="I21988" s="676"/>
      <c r="J21988" s="770"/>
    </row>
    <row r="21989" spans="8:10" x14ac:dyDescent="0.35">
      <c r="H21989" s="676"/>
      <c r="I21989" s="676"/>
      <c r="J21989" s="770"/>
    </row>
    <row r="21990" spans="8:10" x14ac:dyDescent="0.35">
      <c r="H21990" s="676"/>
      <c r="I21990" s="676"/>
      <c r="J21990" s="770"/>
    </row>
    <row r="21991" spans="8:10" x14ac:dyDescent="0.35">
      <c r="H21991" s="676"/>
      <c r="I21991" s="676"/>
      <c r="J21991" s="770"/>
    </row>
    <row r="21992" spans="8:10" x14ac:dyDescent="0.35">
      <c r="H21992" s="676"/>
      <c r="I21992" s="676"/>
      <c r="J21992" s="770"/>
    </row>
    <row r="21993" spans="8:10" x14ac:dyDescent="0.35">
      <c r="H21993" s="676"/>
      <c r="I21993" s="676"/>
      <c r="J21993" s="770"/>
    </row>
    <row r="21994" spans="8:10" x14ac:dyDescent="0.35">
      <c r="H21994" s="676"/>
      <c r="I21994" s="676"/>
      <c r="J21994" s="770"/>
    </row>
    <row r="21995" spans="8:10" x14ac:dyDescent="0.35">
      <c r="H21995" s="676"/>
      <c r="I21995" s="676"/>
      <c r="J21995" s="770"/>
    </row>
    <row r="21996" spans="8:10" x14ac:dyDescent="0.35">
      <c r="H21996" s="676"/>
      <c r="I21996" s="676"/>
      <c r="J21996" s="770"/>
    </row>
    <row r="21997" spans="8:10" x14ac:dyDescent="0.35">
      <c r="H21997" s="676"/>
      <c r="I21997" s="676"/>
      <c r="J21997" s="770"/>
    </row>
    <row r="21998" spans="8:10" x14ac:dyDescent="0.35">
      <c r="H21998" s="676"/>
      <c r="I21998" s="676"/>
      <c r="J21998" s="770"/>
    </row>
    <row r="21999" spans="8:10" x14ac:dyDescent="0.35">
      <c r="H21999" s="676"/>
      <c r="I21999" s="676"/>
      <c r="J21999" s="770"/>
    </row>
    <row r="22000" spans="8:10" x14ac:dyDescent="0.35">
      <c r="H22000" s="676"/>
      <c r="I22000" s="676"/>
      <c r="J22000" s="770"/>
    </row>
    <row r="22001" spans="8:10" x14ac:dyDescent="0.35">
      <c r="H22001" s="676"/>
      <c r="I22001" s="676"/>
      <c r="J22001" s="770"/>
    </row>
    <row r="22002" spans="8:10" x14ac:dyDescent="0.35">
      <c r="H22002" s="676"/>
      <c r="I22002" s="676"/>
      <c r="J22002" s="770"/>
    </row>
    <row r="22003" spans="8:10" x14ac:dyDescent="0.35">
      <c r="H22003" s="676"/>
      <c r="I22003" s="676"/>
      <c r="J22003" s="770"/>
    </row>
    <row r="22004" spans="8:10" x14ac:dyDescent="0.35">
      <c r="H22004" s="676"/>
      <c r="I22004" s="676"/>
      <c r="J22004" s="770"/>
    </row>
    <row r="22005" spans="8:10" x14ac:dyDescent="0.35">
      <c r="H22005" s="676"/>
      <c r="I22005" s="676"/>
      <c r="J22005" s="770"/>
    </row>
    <row r="22006" spans="8:10" x14ac:dyDescent="0.35">
      <c r="H22006" s="676"/>
      <c r="I22006" s="676"/>
      <c r="J22006" s="770"/>
    </row>
    <row r="22007" spans="8:10" x14ac:dyDescent="0.35">
      <c r="H22007" s="676"/>
      <c r="I22007" s="676"/>
      <c r="J22007" s="770"/>
    </row>
    <row r="22008" spans="8:10" x14ac:dyDescent="0.35">
      <c r="H22008" s="676"/>
      <c r="I22008" s="676"/>
      <c r="J22008" s="770"/>
    </row>
    <row r="22009" spans="8:10" x14ac:dyDescent="0.35">
      <c r="H22009" s="676"/>
      <c r="I22009" s="676"/>
      <c r="J22009" s="770"/>
    </row>
    <row r="22010" spans="8:10" x14ac:dyDescent="0.35">
      <c r="H22010" s="676"/>
      <c r="I22010" s="676"/>
      <c r="J22010" s="770"/>
    </row>
    <row r="22011" spans="8:10" x14ac:dyDescent="0.35">
      <c r="H22011" s="676"/>
      <c r="I22011" s="676"/>
      <c r="J22011" s="770"/>
    </row>
    <row r="22012" spans="8:10" x14ac:dyDescent="0.35">
      <c r="H22012" s="676"/>
      <c r="I22012" s="676"/>
      <c r="J22012" s="770"/>
    </row>
    <row r="22013" spans="8:10" x14ac:dyDescent="0.35">
      <c r="H22013" s="676"/>
      <c r="I22013" s="676"/>
      <c r="J22013" s="770"/>
    </row>
    <row r="22014" spans="8:10" x14ac:dyDescent="0.35">
      <c r="H22014" s="676"/>
      <c r="I22014" s="676"/>
      <c r="J22014" s="770"/>
    </row>
    <row r="22015" spans="8:10" x14ac:dyDescent="0.35">
      <c r="H22015" s="676"/>
      <c r="I22015" s="676"/>
      <c r="J22015" s="770"/>
    </row>
    <row r="22016" spans="8:10" x14ac:dyDescent="0.35">
      <c r="H22016" s="676"/>
      <c r="I22016" s="676"/>
      <c r="J22016" s="770"/>
    </row>
    <row r="22017" spans="8:10" x14ac:dyDescent="0.35">
      <c r="H22017" s="676"/>
      <c r="I22017" s="676"/>
      <c r="J22017" s="770"/>
    </row>
    <row r="22018" spans="8:10" x14ac:dyDescent="0.35">
      <c r="H22018" s="676"/>
      <c r="I22018" s="676"/>
      <c r="J22018" s="770"/>
    </row>
    <row r="22019" spans="8:10" x14ac:dyDescent="0.35">
      <c r="H22019" s="676"/>
      <c r="I22019" s="676"/>
      <c r="J22019" s="770"/>
    </row>
    <row r="22020" spans="8:10" x14ac:dyDescent="0.35">
      <c r="H22020" s="676"/>
      <c r="I22020" s="676"/>
      <c r="J22020" s="770"/>
    </row>
    <row r="22021" spans="8:10" x14ac:dyDescent="0.35">
      <c r="H22021" s="676"/>
      <c r="I22021" s="676"/>
      <c r="J22021" s="770"/>
    </row>
    <row r="22022" spans="8:10" x14ac:dyDescent="0.35">
      <c r="H22022" s="676"/>
      <c r="I22022" s="676"/>
      <c r="J22022" s="770"/>
    </row>
    <row r="22023" spans="8:10" x14ac:dyDescent="0.35">
      <c r="H22023" s="676"/>
      <c r="I22023" s="676"/>
      <c r="J22023" s="770"/>
    </row>
    <row r="22024" spans="8:10" x14ac:dyDescent="0.35">
      <c r="H22024" s="676"/>
      <c r="I22024" s="676"/>
      <c r="J22024" s="770"/>
    </row>
    <row r="22025" spans="8:10" x14ac:dyDescent="0.35">
      <c r="H22025" s="676"/>
      <c r="I22025" s="676"/>
      <c r="J22025" s="770"/>
    </row>
    <row r="22026" spans="8:10" x14ac:dyDescent="0.35">
      <c r="H22026" s="676"/>
      <c r="I22026" s="676"/>
      <c r="J22026" s="770"/>
    </row>
    <row r="22027" spans="8:10" x14ac:dyDescent="0.35">
      <c r="H22027" s="676"/>
      <c r="I22027" s="676"/>
      <c r="J22027" s="770"/>
    </row>
    <row r="22028" spans="8:10" x14ac:dyDescent="0.35">
      <c r="H22028" s="676"/>
      <c r="I22028" s="676"/>
      <c r="J22028" s="770"/>
    </row>
    <row r="22029" spans="8:10" x14ac:dyDescent="0.35">
      <c r="H22029" s="676"/>
      <c r="I22029" s="676"/>
      <c r="J22029" s="770"/>
    </row>
    <row r="22030" spans="8:10" x14ac:dyDescent="0.35">
      <c r="H22030" s="676"/>
      <c r="I22030" s="676"/>
      <c r="J22030" s="770"/>
    </row>
    <row r="22031" spans="8:10" x14ac:dyDescent="0.35">
      <c r="H22031" s="676"/>
      <c r="I22031" s="676"/>
      <c r="J22031" s="770"/>
    </row>
    <row r="22032" spans="8:10" x14ac:dyDescent="0.35">
      <c r="H22032" s="676"/>
      <c r="I22032" s="676"/>
      <c r="J22032" s="770"/>
    </row>
    <row r="22033" spans="8:10" x14ac:dyDescent="0.35">
      <c r="H22033" s="676"/>
      <c r="I22033" s="676"/>
      <c r="J22033" s="770"/>
    </row>
    <row r="22034" spans="8:10" x14ac:dyDescent="0.35">
      <c r="H22034" s="676"/>
      <c r="I22034" s="676"/>
      <c r="J22034" s="770"/>
    </row>
    <row r="22035" spans="8:10" x14ac:dyDescent="0.35">
      <c r="H22035" s="676"/>
      <c r="I22035" s="676"/>
      <c r="J22035" s="770"/>
    </row>
    <row r="22036" spans="8:10" x14ac:dyDescent="0.35">
      <c r="H22036" s="676"/>
      <c r="I22036" s="676"/>
      <c r="J22036" s="770"/>
    </row>
    <row r="22037" spans="8:10" x14ac:dyDescent="0.35">
      <c r="H22037" s="676"/>
      <c r="I22037" s="676"/>
      <c r="J22037" s="770"/>
    </row>
    <row r="22038" spans="8:10" x14ac:dyDescent="0.35">
      <c r="H22038" s="676"/>
      <c r="I22038" s="676"/>
      <c r="J22038" s="770"/>
    </row>
    <row r="22039" spans="8:10" x14ac:dyDescent="0.35">
      <c r="H22039" s="676"/>
      <c r="I22039" s="676"/>
      <c r="J22039" s="770"/>
    </row>
    <row r="22040" spans="8:10" x14ac:dyDescent="0.35">
      <c r="H22040" s="676"/>
      <c r="I22040" s="676"/>
      <c r="J22040" s="770"/>
    </row>
    <row r="22041" spans="8:10" x14ac:dyDescent="0.35">
      <c r="H22041" s="676"/>
      <c r="I22041" s="676"/>
      <c r="J22041" s="770"/>
    </row>
    <row r="22042" spans="8:10" x14ac:dyDescent="0.35">
      <c r="H22042" s="676"/>
      <c r="I22042" s="676"/>
      <c r="J22042" s="770"/>
    </row>
    <row r="22043" spans="8:10" x14ac:dyDescent="0.35">
      <c r="H22043" s="676"/>
      <c r="I22043" s="676"/>
      <c r="J22043" s="770"/>
    </row>
    <row r="22044" spans="8:10" x14ac:dyDescent="0.35">
      <c r="H22044" s="676"/>
      <c r="I22044" s="676"/>
      <c r="J22044" s="770"/>
    </row>
    <row r="22045" spans="8:10" x14ac:dyDescent="0.35">
      <c r="H22045" s="676"/>
      <c r="I22045" s="676"/>
      <c r="J22045" s="770"/>
    </row>
    <row r="22046" spans="8:10" x14ac:dyDescent="0.35">
      <c r="H22046" s="676"/>
      <c r="I22046" s="676"/>
      <c r="J22046" s="770"/>
    </row>
    <row r="22047" spans="8:10" x14ac:dyDescent="0.35">
      <c r="H22047" s="676"/>
      <c r="I22047" s="676"/>
      <c r="J22047" s="770"/>
    </row>
    <row r="22048" spans="8:10" x14ac:dyDescent="0.35">
      <c r="H22048" s="676"/>
      <c r="I22048" s="676"/>
      <c r="J22048" s="770"/>
    </row>
    <row r="22049" spans="8:10" x14ac:dyDescent="0.35">
      <c r="H22049" s="676"/>
      <c r="I22049" s="676"/>
      <c r="J22049" s="770"/>
    </row>
    <row r="22050" spans="8:10" x14ac:dyDescent="0.35">
      <c r="H22050" s="676"/>
      <c r="I22050" s="676"/>
      <c r="J22050" s="770"/>
    </row>
    <row r="22051" spans="8:10" x14ac:dyDescent="0.35">
      <c r="H22051" s="676"/>
      <c r="I22051" s="676"/>
      <c r="J22051" s="770"/>
    </row>
    <row r="22052" spans="8:10" x14ac:dyDescent="0.35">
      <c r="H22052" s="676"/>
      <c r="I22052" s="676"/>
      <c r="J22052" s="770"/>
    </row>
    <row r="22053" spans="8:10" x14ac:dyDescent="0.35">
      <c r="H22053" s="676"/>
      <c r="I22053" s="676"/>
      <c r="J22053" s="770"/>
    </row>
    <row r="22054" spans="8:10" x14ac:dyDescent="0.35">
      <c r="H22054" s="676"/>
      <c r="I22054" s="676"/>
      <c r="J22054" s="770"/>
    </row>
    <row r="22055" spans="8:10" x14ac:dyDescent="0.35">
      <c r="H22055" s="676"/>
      <c r="I22055" s="676"/>
      <c r="J22055" s="770"/>
    </row>
    <row r="22056" spans="8:10" x14ac:dyDescent="0.35">
      <c r="H22056" s="676"/>
      <c r="I22056" s="676"/>
      <c r="J22056" s="770"/>
    </row>
    <row r="22057" spans="8:10" x14ac:dyDescent="0.35">
      <c r="H22057" s="676"/>
      <c r="I22057" s="676"/>
      <c r="J22057" s="770"/>
    </row>
    <row r="22058" spans="8:10" x14ac:dyDescent="0.35">
      <c r="H22058" s="676"/>
      <c r="I22058" s="676"/>
      <c r="J22058" s="770"/>
    </row>
    <row r="22059" spans="8:10" x14ac:dyDescent="0.35">
      <c r="H22059" s="676"/>
      <c r="I22059" s="676"/>
      <c r="J22059" s="770"/>
    </row>
    <row r="22060" spans="8:10" x14ac:dyDescent="0.35">
      <c r="H22060" s="676"/>
      <c r="I22060" s="676"/>
      <c r="J22060" s="770"/>
    </row>
    <row r="22061" spans="8:10" x14ac:dyDescent="0.35">
      <c r="H22061" s="676"/>
      <c r="I22061" s="676"/>
      <c r="J22061" s="770"/>
    </row>
    <row r="22062" spans="8:10" x14ac:dyDescent="0.35">
      <c r="H22062" s="676"/>
      <c r="I22062" s="676"/>
      <c r="J22062" s="770"/>
    </row>
    <row r="22063" spans="8:10" x14ac:dyDescent="0.35">
      <c r="H22063" s="676"/>
      <c r="I22063" s="676"/>
      <c r="J22063" s="770"/>
    </row>
    <row r="22064" spans="8:10" x14ac:dyDescent="0.35">
      <c r="H22064" s="676"/>
      <c r="I22064" s="676"/>
      <c r="J22064" s="770"/>
    </row>
    <row r="22065" spans="8:10" x14ac:dyDescent="0.35">
      <c r="H22065" s="676"/>
      <c r="I22065" s="676"/>
      <c r="J22065" s="770"/>
    </row>
    <row r="22066" spans="8:10" x14ac:dyDescent="0.35">
      <c r="H22066" s="676"/>
      <c r="I22066" s="676"/>
      <c r="J22066" s="770"/>
    </row>
    <row r="22067" spans="8:10" x14ac:dyDescent="0.35">
      <c r="H22067" s="676"/>
      <c r="I22067" s="676"/>
      <c r="J22067" s="770"/>
    </row>
    <row r="22068" spans="8:10" x14ac:dyDescent="0.35">
      <c r="H22068" s="676"/>
      <c r="I22068" s="676"/>
      <c r="J22068" s="770"/>
    </row>
    <row r="22069" spans="8:10" x14ac:dyDescent="0.35">
      <c r="H22069" s="676"/>
      <c r="I22069" s="676"/>
      <c r="J22069" s="770"/>
    </row>
    <row r="22070" spans="8:10" x14ac:dyDescent="0.35">
      <c r="H22070" s="676"/>
      <c r="I22070" s="676"/>
      <c r="J22070" s="770"/>
    </row>
    <row r="22071" spans="8:10" x14ac:dyDescent="0.35">
      <c r="H22071" s="676"/>
      <c r="I22071" s="676"/>
      <c r="J22071" s="770"/>
    </row>
    <row r="22072" spans="8:10" x14ac:dyDescent="0.35">
      <c r="H22072" s="676"/>
      <c r="I22072" s="676"/>
      <c r="J22072" s="770"/>
    </row>
    <row r="22073" spans="8:10" x14ac:dyDescent="0.35">
      <c r="H22073" s="676"/>
      <c r="I22073" s="676"/>
      <c r="J22073" s="770"/>
    </row>
    <row r="22074" spans="8:10" x14ac:dyDescent="0.35">
      <c r="H22074" s="676"/>
      <c r="I22074" s="676"/>
      <c r="J22074" s="770"/>
    </row>
    <row r="22075" spans="8:10" x14ac:dyDescent="0.35">
      <c r="H22075" s="676"/>
      <c r="I22075" s="676"/>
      <c r="J22075" s="770"/>
    </row>
    <row r="22076" spans="8:10" x14ac:dyDescent="0.35">
      <c r="H22076" s="676"/>
      <c r="I22076" s="676"/>
      <c r="J22076" s="770"/>
    </row>
    <row r="22077" spans="8:10" x14ac:dyDescent="0.35">
      <c r="H22077" s="676"/>
      <c r="I22077" s="676"/>
      <c r="J22077" s="770"/>
    </row>
    <row r="22078" spans="8:10" x14ac:dyDescent="0.35">
      <c r="H22078" s="676"/>
      <c r="I22078" s="676"/>
      <c r="J22078" s="770"/>
    </row>
    <row r="22079" spans="8:10" x14ac:dyDescent="0.35">
      <c r="H22079" s="676"/>
      <c r="I22079" s="676"/>
      <c r="J22079" s="770"/>
    </row>
    <row r="22080" spans="8:10" x14ac:dyDescent="0.35">
      <c r="H22080" s="676"/>
      <c r="I22080" s="676"/>
      <c r="J22080" s="770"/>
    </row>
    <row r="22081" spans="8:10" x14ac:dyDescent="0.35">
      <c r="H22081" s="676"/>
      <c r="I22081" s="676"/>
      <c r="J22081" s="770"/>
    </row>
    <row r="22082" spans="8:10" x14ac:dyDescent="0.35">
      <c r="H22082" s="676"/>
      <c r="I22082" s="676"/>
      <c r="J22082" s="770"/>
    </row>
    <row r="22083" spans="8:10" x14ac:dyDescent="0.35">
      <c r="H22083" s="676"/>
      <c r="I22083" s="676"/>
      <c r="J22083" s="770"/>
    </row>
    <row r="22084" spans="8:10" x14ac:dyDescent="0.35">
      <c r="H22084" s="676"/>
      <c r="I22084" s="676"/>
      <c r="J22084" s="770"/>
    </row>
    <row r="22085" spans="8:10" x14ac:dyDescent="0.35">
      <c r="H22085" s="676"/>
      <c r="I22085" s="676"/>
      <c r="J22085" s="770"/>
    </row>
    <row r="22086" spans="8:10" x14ac:dyDescent="0.35">
      <c r="H22086" s="676"/>
      <c r="I22086" s="676"/>
      <c r="J22086" s="770"/>
    </row>
    <row r="22087" spans="8:10" x14ac:dyDescent="0.35">
      <c r="H22087" s="676"/>
      <c r="I22087" s="676"/>
      <c r="J22087" s="770"/>
    </row>
    <row r="22088" spans="8:10" x14ac:dyDescent="0.35">
      <c r="H22088" s="676"/>
      <c r="I22088" s="676"/>
      <c r="J22088" s="770"/>
    </row>
    <row r="22089" spans="8:10" x14ac:dyDescent="0.35">
      <c r="H22089" s="676"/>
      <c r="I22089" s="676"/>
      <c r="J22089" s="770"/>
    </row>
    <row r="22090" spans="8:10" x14ac:dyDescent="0.35">
      <c r="H22090" s="676"/>
      <c r="I22090" s="676"/>
      <c r="J22090" s="770"/>
    </row>
    <row r="22091" spans="8:10" x14ac:dyDescent="0.35">
      <c r="H22091" s="676"/>
      <c r="I22091" s="676"/>
      <c r="J22091" s="770"/>
    </row>
    <row r="22092" spans="8:10" x14ac:dyDescent="0.35">
      <c r="H22092" s="676"/>
      <c r="I22092" s="676"/>
      <c r="J22092" s="770"/>
    </row>
    <row r="22093" spans="8:10" x14ac:dyDescent="0.35">
      <c r="H22093" s="676"/>
      <c r="I22093" s="676"/>
      <c r="J22093" s="770"/>
    </row>
    <row r="22094" spans="8:10" x14ac:dyDescent="0.35">
      <c r="H22094" s="676"/>
      <c r="I22094" s="676"/>
      <c r="J22094" s="770"/>
    </row>
    <row r="22095" spans="8:10" x14ac:dyDescent="0.35">
      <c r="H22095" s="676"/>
      <c r="I22095" s="676"/>
      <c r="J22095" s="770"/>
    </row>
    <row r="22096" spans="8:10" x14ac:dyDescent="0.35">
      <c r="H22096" s="676"/>
      <c r="I22096" s="676"/>
      <c r="J22096" s="770"/>
    </row>
    <row r="22097" spans="8:10" x14ac:dyDescent="0.35">
      <c r="H22097" s="676"/>
      <c r="I22097" s="676"/>
      <c r="J22097" s="770"/>
    </row>
    <row r="22098" spans="8:10" x14ac:dyDescent="0.35">
      <c r="H22098" s="676"/>
      <c r="I22098" s="676"/>
      <c r="J22098" s="770"/>
    </row>
    <row r="22099" spans="8:10" x14ac:dyDescent="0.35">
      <c r="H22099" s="676"/>
      <c r="I22099" s="676"/>
      <c r="J22099" s="770"/>
    </row>
    <row r="22100" spans="8:10" x14ac:dyDescent="0.35">
      <c r="H22100" s="676"/>
      <c r="I22100" s="676"/>
      <c r="J22100" s="770"/>
    </row>
    <row r="22101" spans="8:10" x14ac:dyDescent="0.35">
      <c r="H22101" s="676"/>
      <c r="I22101" s="676"/>
      <c r="J22101" s="770"/>
    </row>
    <row r="22102" spans="8:10" x14ac:dyDescent="0.35">
      <c r="H22102" s="676"/>
      <c r="I22102" s="676"/>
      <c r="J22102" s="770"/>
    </row>
    <row r="22103" spans="8:10" x14ac:dyDescent="0.35">
      <c r="H22103" s="676"/>
      <c r="I22103" s="676"/>
      <c r="J22103" s="770"/>
    </row>
    <row r="22104" spans="8:10" x14ac:dyDescent="0.35">
      <c r="H22104" s="676"/>
      <c r="I22104" s="676"/>
      <c r="J22104" s="770"/>
    </row>
    <row r="22105" spans="8:10" x14ac:dyDescent="0.35">
      <c r="H22105" s="676"/>
      <c r="I22105" s="676"/>
      <c r="J22105" s="770"/>
    </row>
    <row r="22106" spans="8:10" x14ac:dyDescent="0.35">
      <c r="H22106" s="676"/>
      <c r="I22106" s="676"/>
      <c r="J22106" s="770"/>
    </row>
    <row r="22107" spans="8:10" x14ac:dyDescent="0.35">
      <c r="H22107" s="676"/>
      <c r="I22107" s="676"/>
      <c r="J22107" s="770"/>
    </row>
    <row r="22108" spans="8:10" x14ac:dyDescent="0.35">
      <c r="H22108" s="676"/>
      <c r="I22108" s="676"/>
      <c r="J22108" s="770"/>
    </row>
    <row r="22109" spans="8:10" x14ac:dyDescent="0.35">
      <c r="H22109" s="676"/>
      <c r="I22109" s="676"/>
      <c r="J22109" s="770"/>
    </row>
    <row r="22110" spans="8:10" x14ac:dyDescent="0.35">
      <c r="H22110" s="676"/>
      <c r="I22110" s="676"/>
      <c r="J22110" s="770"/>
    </row>
    <row r="22111" spans="8:10" x14ac:dyDescent="0.35">
      <c r="H22111" s="676"/>
      <c r="I22111" s="676"/>
      <c r="J22111" s="770"/>
    </row>
    <row r="22112" spans="8:10" x14ac:dyDescent="0.35">
      <c r="H22112" s="676"/>
      <c r="I22112" s="676"/>
      <c r="J22112" s="770"/>
    </row>
    <row r="22113" spans="8:10" x14ac:dyDescent="0.35">
      <c r="H22113" s="676"/>
      <c r="I22113" s="676"/>
      <c r="J22113" s="770"/>
    </row>
    <row r="22114" spans="8:10" x14ac:dyDescent="0.35">
      <c r="H22114" s="676"/>
      <c r="I22114" s="676"/>
      <c r="J22114" s="770"/>
    </row>
    <row r="22115" spans="8:10" x14ac:dyDescent="0.35">
      <c r="H22115" s="676"/>
      <c r="I22115" s="676"/>
      <c r="J22115" s="770"/>
    </row>
    <row r="22116" spans="8:10" x14ac:dyDescent="0.35">
      <c r="H22116" s="676"/>
      <c r="I22116" s="676"/>
      <c r="J22116" s="770"/>
    </row>
    <row r="22117" spans="8:10" x14ac:dyDescent="0.35">
      <c r="H22117" s="676"/>
      <c r="I22117" s="676"/>
      <c r="J22117" s="770"/>
    </row>
    <row r="22118" spans="8:10" x14ac:dyDescent="0.35">
      <c r="H22118" s="676"/>
      <c r="I22118" s="676"/>
      <c r="J22118" s="770"/>
    </row>
    <row r="22119" spans="8:10" x14ac:dyDescent="0.35">
      <c r="H22119" s="676"/>
      <c r="I22119" s="676"/>
      <c r="J22119" s="770"/>
    </row>
    <row r="22120" spans="8:10" x14ac:dyDescent="0.35">
      <c r="H22120" s="676"/>
      <c r="I22120" s="676"/>
      <c r="J22120" s="770"/>
    </row>
    <row r="22121" spans="8:10" x14ac:dyDescent="0.35">
      <c r="H22121" s="676"/>
      <c r="I22121" s="676"/>
      <c r="J22121" s="770"/>
    </row>
    <row r="22122" spans="8:10" x14ac:dyDescent="0.35">
      <c r="H22122" s="676"/>
      <c r="I22122" s="676"/>
      <c r="J22122" s="770"/>
    </row>
    <row r="22123" spans="8:10" x14ac:dyDescent="0.35">
      <c r="H22123" s="676"/>
      <c r="I22123" s="676"/>
      <c r="J22123" s="770"/>
    </row>
    <row r="22124" spans="8:10" x14ac:dyDescent="0.35">
      <c r="H22124" s="676"/>
      <c r="I22124" s="676"/>
      <c r="J22124" s="770"/>
    </row>
    <row r="22125" spans="8:10" x14ac:dyDescent="0.35">
      <c r="H22125" s="676"/>
      <c r="I22125" s="676"/>
      <c r="J22125" s="770"/>
    </row>
    <row r="22126" spans="8:10" x14ac:dyDescent="0.35">
      <c r="H22126" s="676"/>
      <c r="I22126" s="676"/>
      <c r="J22126" s="770"/>
    </row>
    <row r="22127" spans="8:10" x14ac:dyDescent="0.35">
      <c r="H22127" s="676"/>
      <c r="I22127" s="676"/>
      <c r="J22127" s="770"/>
    </row>
    <row r="22128" spans="8:10" x14ac:dyDescent="0.35">
      <c r="H22128" s="676"/>
      <c r="I22128" s="676"/>
      <c r="J22128" s="770"/>
    </row>
    <row r="22129" spans="8:10" x14ac:dyDescent="0.35">
      <c r="H22129" s="676"/>
      <c r="I22129" s="676"/>
      <c r="J22129" s="770"/>
    </row>
    <row r="22130" spans="8:10" x14ac:dyDescent="0.35">
      <c r="H22130" s="676"/>
      <c r="I22130" s="676"/>
      <c r="J22130" s="770"/>
    </row>
    <row r="22131" spans="8:10" x14ac:dyDescent="0.35">
      <c r="H22131" s="676"/>
      <c r="I22131" s="676"/>
      <c r="J22131" s="770"/>
    </row>
    <row r="22132" spans="8:10" x14ac:dyDescent="0.35">
      <c r="H22132" s="676"/>
      <c r="I22132" s="676"/>
      <c r="J22132" s="770"/>
    </row>
    <row r="22133" spans="8:10" x14ac:dyDescent="0.35">
      <c r="H22133" s="676"/>
      <c r="I22133" s="676"/>
      <c r="J22133" s="770"/>
    </row>
    <row r="22134" spans="8:10" x14ac:dyDescent="0.35">
      <c r="H22134" s="676"/>
      <c r="I22134" s="676"/>
      <c r="J22134" s="770"/>
    </row>
    <row r="22135" spans="8:10" x14ac:dyDescent="0.35">
      <c r="H22135" s="676"/>
      <c r="I22135" s="676"/>
      <c r="J22135" s="770"/>
    </row>
    <row r="22136" spans="8:10" x14ac:dyDescent="0.35">
      <c r="H22136" s="676"/>
      <c r="I22136" s="676"/>
      <c r="J22136" s="770"/>
    </row>
    <row r="22137" spans="8:10" x14ac:dyDescent="0.35">
      <c r="H22137" s="676"/>
      <c r="I22137" s="676"/>
      <c r="J22137" s="770"/>
    </row>
    <row r="22138" spans="8:10" x14ac:dyDescent="0.35">
      <c r="H22138" s="676"/>
      <c r="I22138" s="676"/>
      <c r="J22138" s="770"/>
    </row>
    <row r="22139" spans="8:10" x14ac:dyDescent="0.35">
      <c r="H22139" s="676"/>
      <c r="I22139" s="676"/>
      <c r="J22139" s="770"/>
    </row>
    <row r="22140" spans="8:10" x14ac:dyDescent="0.35">
      <c r="H22140" s="676"/>
      <c r="I22140" s="676"/>
      <c r="J22140" s="770"/>
    </row>
    <row r="22141" spans="8:10" x14ac:dyDescent="0.35">
      <c r="H22141" s="676"/>
      <c r="I22141" s="676"/>
      <c r="J22141" s="770"/>
    </row>
    <row r="22142" spans="8:10" x14ac:dyDescent="0.35">
      <c r="H22142" s="676"/>
      <c r="I22142" s="676"/>
      <c r="J22142" s="770"/>
    </row>
    <row r="22143" spans="8:10" x14ac:dyDescent="0.35">
      <c r="H22143" s="676"/>
      <c r="I22143" s="676"/>
      <c r="J22143" s="770"/>
    </row>
    <row r="22144" spans="8:10" x14ac:dyDescent="0.35">
      <c r="H22144" s="676"/>
      <c r="I22144" s="676"/>
      <c r="J22144" s="770"/>
    </row>
    <row r="22145" spans="8:10" x14ac:dyDescent="0.35">
      <c r="H22145" s="676"/>
      <c r="I22145" s="676"/>
      <c r="J22145" s="770"/>
    </row>
    <row r="22146" spans="8:10" x14ac:dyDescent="0.35">
      <c r="H22146" s="676"/>
      <c r="I22146" s="676"/>
      <c r="J22146" s="770"/>
    </row>
    <row r="22147" spans="8:10" x14ac:dyDescent="0.35">
      <c r="H22147" s="676"/>
      <c r="I22147" s="676"/>
      <c r="J22147" s="770"/>
    </row>
    <row r="22148" spans="8:10" x14ac:dyDescent="0.35">
      <c r="H22148" s="676"/>
      <c r="I22148" s="676"/>
      <c r="J22148" s="770"/>
    </row>
    <row r="22149" spans="8:10" x14ac:dyDescent="0.35">
      <c r="H22149" s="676"/>
      <c r="I22149" s="676"/>
      <c r="J22149" s="770"/>
    </row>
    <row r="22150" spans="8:10" x14ac:dyDescent="0.35">
      <c r="H22150" s="676"/>
      <c r="I22150" s="676"/>
      <c r="J22150" s="770"/>
    </row>
    <row r="22151" spans="8:10" x14ac:dyDescent="0.35">
      <c r="H22151" s="676"/>
      <c r="I22151" s="676"/>
      <c r="J22151" s="770"/>
    </row>
    <row r="22152" spans="8:10" x14ac:dyDescent="0.35">
      <c r="H22152" s="676"/>
      <c r="I22152" s="676"/>
      <c r="J22152" s="770"/>
    </row>
    <row r="22153" spans="8:10" x14ac:dyDescent="0.35">
      <c r="H22153" s="676"/>
      <c r="I22153" s="676"/>
      <c r="J22153" s="770"/>
    </row>
    <row r="22154" spans="8:10" x14ac:dyDescent="0.35">
      <c r="H22154" s="676"/>
      <c r="I22154" s="676"/>
      <c r="J22154" s="770"/>
    </row>
    <row r="22155" spans="8:10" x14ac:dyDescent="0.35">
      <c r="H22155" s="676"/>
      <c r="I22155" s="676"/>
      <c r="J22155" s="770"/>
    </row>
    <row r="22156" spans="8:10" x14ac:dyDescent="0.35">
      <c r="H22156" s="676"/>
      <c r="I22156" s="676"/>
      <c r="J22156" s="770"/>
    </row>
    <row r="22157" spans="8:10" x14ac:dyDescent="0.35">
      <c r="H22157" s="676"/>
      <c r="I22157" s="676"/>
      <c r="J22157" s="770"/>
    </row>
    <row r="22158" spans="8:10" x14ac:dyDescent="0.35">
      <c r="H22158" s="676"/>
      <c r="I22158" s="676"/>
      <c r="J22158" s="770"/>
    </row>
    <row r="22159" spans="8:10" x14ac:dyDescent="0.35">
      <c r="H22159" s="676"/>
      <c r="I22159" s="676"/>
      <c r="J22159" s="770"/>
    </row>
    <row r="22160" spans="8:10" x14ac:dyDescent="0.35">
      <c r="H22160" s="676"/>
      <c r="I22160" s="676"/>
      <c r="J22160" s="770"/>
    </row>
    <row r="22161" spans="8:10" x14ac:dyDescent="0.35">
      <c r="H22161" s="676"/>
      <c r="I22161" s="676"/>
      <c r="J22161" s="770"/>
    </row>
    <row r="22162" spans="8:10" x14ac:dyDescent="0.35">
      <c r="H22162" s="676"/>
      <c r="I22162" s="676"/>
      <c r="J22162" s="770"/>
    </row>
    <row r="22163" spans="8:10" x14ac:dyDescent="0.35">
      <c r="H22163" s="676"/>
      <c r="I22163" s="676"/>
      <c r="J22163" s="770"/>
    </row>
    <row r="22164" spans="8:10" x14ac:dyDescent="0.35">
      <c r="H22164" s="676"/>
      <c r="I22164" s="676"/>
      <c r="J22164" s="770"/>
    </row>
    <row r="22165" spans="8:10" x14ac:dyDescent="0.35">
      <c r="H22165" s="676"/>
      <c r="I22165" s="676"/>
      <c r="J22165" s="770"/>
    </row>
    <row r="22166" spans="8:10" x14ac:dyDescent="0.35">
      <c r="H22166" s="676"/>
      <c r="I22166" s="676"/>
      <c r="J22166" s="770"/>
    </row>
    <row r="22167" spans="8:10" x14ac:dyDescent="0.35">
      <c r="H22167" s="676"/>
      <c r="I22167" s="676"/>
      <c r="J22167" s="770"/>
    </row>
    <row r="22168" spans="8:10" x14ac:dyDescent="0.35">
      <c r="H22168" s="676"/>
      <c r="I22168" s="676"/>
      <c r="J22168" s="770"/>
    </row>
    <row r="22169" spans="8:10" x14ac:dyDescent="0.35">
      <c r="H22169" s="676"/>
      <c r="I22169" s="676"/>
      <c r="J22169" s="770"/>
    </row>
    <row r="22170" spans="8:10" x14ac:dyDescent="0.35">
      <c r="H22170" s="676"/>
      <c r="I22170" s="676"/>
      <c r="J22170" s="770"/>
    </row>
    <row r="22171" spans="8:10" x14ac:dyDescent="0.35">
      <c r="H22171" s="676"/>
      <c r="I22171" s="676"/>
      <c r="J22171" s="770"/>
    </row>
    <row r="22172" spans="8:10" x14ac:dyDescent="0.35">
      <c r="H22172" s="676"/>
      <c r="I22172" s="676"/>
      <c r="J22172" s="770"/>
    </row>
    <row r="22173" spans="8:10" x14ac:dyDescent="0.35">
      <c r="H22173" s="676"/>
      <c r="I22173" s="676"/>
      <c r="J22173" s="770"/>
    </row>
    <row r="22174" spans="8:10" x14ac:dyDescent="0.35">
      <c r="H22174" s="676"/>
      <c r="I22174" s="676"/>
      <c r="J22174" s="770"/>
    </row>
    <row r="22175" spans="8:10" x14ac:dyDescent="0.35">
      <c r="H22175" s="676"/>
      <c r="I22175" s="676"/>
      <c r="J22175" s="770"/>
    </row>
    <row r="22176" spans="8:10" x14ac:dyDescent="0.35">
      <c r="H22176" s="676"/>
      <c r="I22176" s="676"/>
      <c r="J22176" s="770"/>
    </row>
    <row r="22177" spans="8:10" x14ac:dyDescent="0.35">
      <c r="H22177" s="676"/>
      <c r="I22177" s="676"/>
      <c r="J22177" s="770"/>
    </row>
    <row r="22178" spans="8:10" x14ac:dyDescent="0.35">
      <c r="H22178" s="676"/>
      <c r="I22178" s="676"/>
      <c r="J22178" s="770"/>
    </row>
    <row r="22179" spans="8:10" x14ac:dyDescent="0.35">
      <c r="H22179" s="676"/>
      <c r="I22179" s="676"/>
      <c r="J22179" s="770"/>
    </row>
    <row r="22180" spans="8:10" x14ac:dyDescent="0.35">
      <c r="H22180" s="676"/>
      <c r="I22180" s="676"/>
      <c r="J22180" s="770"/>
    </row>
    <row r="22181" spans="8:10" x14ac:dyDescent="0.35">
      <c r="H22181" s="676"/>
      <c r="I22181" s="676"/>
      <c r="J22181" s="770"/>
    </row>
    <row r="22182" spans="8:10" x14ac:dyDescent="0.35">
      <c r="H22182" s="676"/>
      <c r="I22182" s="676"/>
      <c r="J22182" s="770"/>
    </row>
    <row r="22183" spans="8:10" x14ac:dyDescent="0.35">
      <c r="H22183" s="676"/>
      <c r="I22183" s="676"/>
      <c r="J22183" s="770"/>
    </row>
    <row r="22184" spans="8:10" x14ac:dyDescent="0.35">
      <c r="H22184" s="676"/>
      <c r="I22184" s="676"/>
      <c r="J22184" s="770"/>
    </row>
    <row r="22185" spans="8:10" x14ac:dyDescent="0.35">
      <c r="H22185" s="676"/>
      <c r="I22185" s="676"/>
      <c r="J22185" s="770"/>
    </row>
    <row r="22186" spans="8:10" x14ac:dyDescent="0.35">
      <c r="H22186" s="676"/>
      <c r="I22186" s="676"/>
      <c r="J22186" s="770"/>
    </row>
    <row r="22187" spans="8:10" x14ac:dyDescent="0.35">
      <c r="H22187" s="676"/>
      <c r="I22187" s="676"/>
      <c r="J22187" s="770"/>
    </row>
    <row r="22188" spans="8:10" x14ac:dyDescent="0.35">
      <c r="H22188" s="676"/>
      <c r="I22188" s="676"/>
      <c r="J22188" s="770"/>
    </row>
    <row r="22189" spans="8:10" x14ac:dyDescent="0.35">
      <c r="H22189" s="676"/>
      <c r="I22189" s="676"/>
      <c r="J22189" s="770"/>
    </row>
    <row r="22190" spans="8:10" x14ac:dyDescent="0.35">
      <c r="H22190" s="676"/>
      <c r="I22190" s="676"/>
      <c r="J22190" s="770"/>
    </row>
    <row r="22191" spans="8:10" x14ac:dyDescent="0.35">
      <c r="H22191" s="676"/>
      <c r="I22191" s="676"/>
      <c r="J22191" s="770"/>
    </row>
    <row r="22192" spans="8:10" x14ac:dyDescent="0.35">
      <c r="H22192" s="676"/>
      <c r="I22192" s="676"/>
      <c r="J22192" s="770"/>
    </row>
    <row r="22193" spans="8:10" x14ac:dyDescent="0.35">
      <c r="H22193" s="676"/>
      <c r="I22193" s="676"/>
      <c r="J22193" s="770"/>
    </row>
    <row r="22194" spans="8:10" x14ac:dyDescent="0.35">
      <c r="H22194" s="676"/>
      <c r="I22194" s="676"/>
      <c r="J22194" s="770"/>
    </row>
    <row r="22195" spans="8:10" x14ac:dyDescent="0.35">
      <c r="H22195" s="676"/>
      <c r="I22195" s="676"/>
      <c r="J22195" s="770"/>
    </row>
    <row r="22196" spans="8:10" x14ac:dyDescent="0.35">
      <c r="H22196" s="676"/>
      <c r="I22196" s="676"/>
      <c r="J22196" s="770"/>
    </row>
    <row r="22197" spans="8:10" x14ac:dyDescent="0.35">
      <c r="H22197" s="676"/>
      <c r="I22197" s="676"/>
      <c r="J22197" s="770"/>
    </row>
    <row r="22198" spans="8:10" x14ac:dyDescent="0.35">
      <c r="H22198" s="676"/>
      <c r="I22198" s="676"/>
      <c r="J22198" s="770"/>
    </row>
    <row r="22199" spans="8:10" x14ac:dyDescent="0.35">
      <c r="H22199" s="676"/>
      <c r="I22199" s="676"/>
      <c r="J22199" s="770"/>
    </row>
    <row r="22200" spans="8:10" x14ac:dyDescent="0.35">
      <c r="H22200" s="676"/>
      <c r="I22200" s="676"/>
      <c r="J22200" s="770"/>
    </row>
    <row r="22201" spans="8:10" x14ac:dyDescent="0.35">
      <c r="H22201" s="676"/>
      <c r="I22201" s="676"/>
      <c r="J22201" s="770"/>
    </row>
    <row r="22202" spans="8:10" x14ac:dyDescent="0.35">
      <c r="H22202" s="676"/>
      <c r="I22202" s="676"/>
      <c r="J22202" s="770"/>
    </row>
    <row r="22203" spans="8:10" x14ac:dyDescent="0.35">
      <c r="H22203" s="676"/>
      <c r="I22203" s="676"/>
      <c r="J22203" s="770"/>
    </row>
    <row r="22204" spans="8:10" x14ac:dyDescent="0.35">
      <c r="H22204" s="676"/>
      <c r="I22204" s="676"/>
      <c r="J22204" s="770"/>
    </row>
    <row r="22205" spans="8:10" x14ac:dyDescent="0.35">
      <c r="H22205" s="676"/>
      <c r="I22205" s="676"/>
      <c r="J22205" s="770"/>
    </row>
    <row r="22206" spans="8:10" x14ac:dyDescent="0.35">
      <c r="H22206" s="676"/>
      <c r="I22206" s="676"/>
      <c r="J22206" s="770"/>
    </row>
    <row r="22207" spans="8:10" x14ac:dyDescent="0.35">
      <c r="H22207" s="676"/>
      <c r="I22207" s="676"/>
      <c r="J22207" s="770"/>
    </row>
    <row r="22208" spans="8:10" x14ac:dyDescent="0.35">
      <c r="H22208" s="676"/>
      <c r="I22208" s="676"/>
      <c r="J22208" s="770"/>
    </row>
    <row r="22209" spans="8:10" x14ac:dyDescent="0.35">
      <c r="H22209" s="676"/>
      <c r="I22209" s="676"/>
      <c r="J22209" s="770"/>
    </row>
    <row r="22210" spans="8:10" x14ac:dyDescent="0.35">
      <c r="H22210" s="676"/>
      <c r="I22210" s="676"/>
      <c r="J22210" s="770"/>
    </row>
    <row r="22211" spans="8:10" x14ac:dyDescent="0.35">
      <c r="H22211" s="676"/>
      <c r="I22211" s="676"/>
      <c r="J22211" s="770"/>
    </row>
    <row r="22212" spans="8:10" x14ac:dyDescent="0.35">
      <c r="H22212" s="676"/>
      <c r="I22212" s="676"/>
      <c r="J22212" s="770"/>
    </row>
    <row r="22213" spans="8:10" x14ac:dyDescent="0.35">
      <c r="H22213" s="676"/>
      <c r="I22213" s="676"/>
      <c r="J22213" s="770"/>
    </row>
    <row r="22214" spans="8:10" x14ac:dyDescent="0.35">
      <c r="H22214" s="676"/>
      <c r="I22214" s="676"/>
      <c r="J22214" s="770"/>
    </row>
    <row r="22215" spans="8:10" x14ac:dyDescent="0.35">
      <c r="H22215" s="676"/>
      <c r="I22215" s="676"/>
      <c r="J22215" s="770"/>
    </row>
    <row r="22216" spans="8:10" x14ac:dyDescent="0.35">
      <c r="H22216" s="676"/>
      <c r="I22216" s="676"/>
      <c r="J22216" s="770"/>
    </row>
    <row r="22217" spans="8:10" x14ac:dyDescent="0.35">
      <c r="H22217" s="676"/>
      <c r="I22217" s="676"/>
      <c r="J22217" s="770"/>
    </row>
    <row r="22218" spans="8:10" x14ac:dyDescent="0.35">
      <c r="H22218" s="676"/>
      <c r="I22218" s="676"/>
      <c r="J22218" s="770"/>
    </row>
    <row r="22219" spans="8:10" x14ac:dyDescent="0.35">
      <c r="H22219" s="676"/>
      <c r="I22219" s="676"/>
      <c r="J22219" s="770"/>
    </row>
    <row r="22220" spans="8:10" x14ac:dyDescent="0.35">
      <c r="H22220" s="676"/>
      <c r="I22220" s="676"/>
      <c r="J22220" s="770"/>
    </row>
    <row r="22221" spans="8:10" x14ac:dyDescent="0.35">
      <c r="H22221" s="676"/>
      <c r="I22221" s="676"/>
      <c r="J22221" s="770"/>
    </row>
    <row r="22222" spans="8:10" x14ac:dyDescent="0.35">
      <c r="H22222" s="676"/>
      <c r="I22222" s="676"/>
      <c r="J22222" s="770"/>
    </row>
    <row r="22223" spans="8:10" x14ac:dyDescent="0.35">
      <c r="H22223" s="676"/>
      <c r="I22223" s="676"/>
      <c r="J22223" s="770"/>
    </row>
    <row r="22224" spans="8:10" x14ac:dyDescent="0.35">
      <c r="H22224" s="676"/>
      <c r="I22224" s="676"/>
      <c r="J22224" s="770"/>
    </row>
    <row r="22225" spans="8:10" x14ac:dyDescent="0.35">
      <c r="H22225" s="676"/>
      <c r="I22225" s="676"/>
      <c r="J22225" s="770"/>
    </row>
    <row r="22226" spans="8:10" x14ac:dyDescent="0.35">
      <c r="H22226" s="676"/>
      <c r="I22226" s="676"/>
      <c r="J22226" s="770"/>
    </row>
    <row r="22227" spans="8:10" x14ac:dyDescent="0.35">
      <c r="H22227" s="676"/>
      <c r="I22227" s="676"/>
      <c r="J22227" s="770"/>
    </row>
    <row r="22228" spans="8:10" x14ac:dyDescent="0.35">
      <c r="H22228" s="676"/>
      <c r="I22228" s="676"/>
      <c r="J22228" s="770"/>
    </row>
    <row r="22229" spans="8:10" x14ac:dyDescent="0.35">
      <c r="H22229" s="676"/>
      <c r="I22229" s="676"/>
      <c r="J22229" s="770"/>
    </row>
    <row r="22230" spans="8:10" x14ac:dyDescent="0.35">
      <c r="H22230" s="676"/>
      <c r="I22230" s="676"/>
      <c r="J22230" s="770"/>
    </row>
    <row r="22231" spans="8:10" x14ac:dyDescent="0.35">
      <c r="H22231" s="676"/>
      <c r="I22231" s="676"/>
      <c r="J22231" s="770"/>
    </row>
    <row r="22232" spans="8:10" x14ac:dyDescent="0.35">
      <c r="H22232" s="676"/>
      <c r="I22232" s="676"/>
      <c r="J22232" s="770"/>
    </row>
    <row r="22233" spans="8:10" x14ac:dyDescent="0.35">
      <c r="H22233" s="676"/>
      <c r="I22233" s="676"/>
      <c r="J22233" s="770"/>
    </row>
    <row r="22234" spans="8:10" x14ac:dyDescent="0.35">
      <c r="H22234" s="676"/>
      <c r="I22234" s="676"/>
      <c r="J22234" s="770"/>
    </row>
    <row r="22235" spans="8:10" x14ac:dyDescent="0.35">
      <c r="H22235" s="676"/>
      <c r="I22235" s="676"/>
      <c r="J22235" s="770"/>
    </row>
    <row r="22236" spans="8:10" x14ac:dyDescent="0.35">
      <c r="H22236" s="676"/>
      <c r="I22236" s="676"/>
      <c r="J22236" s="770"/>
    </row>
    <row r="22237" spans="8:10" x14ac:dyDescent="0.35">
      <c r="H22237" s="676"/>
      <c r="I22237" s="676"/>
      <c r="J22237" s="770"/>
    </row>
    <row r="22238" spans="8:10" x14ac:dyDescent="0.35">
      <c r="H22238" s="676"/>
      <c r="I22238" s="676"/>
      <c r="J22238" s="770"/>
    </row>
    <row r="22239" spans="8:10" x14ac:dyDescent="0.35">
      <c r="H22239" s="676"/>
      <c r="I22239" s="676"/>
      <c r="J22239" s="770"/>
    </row>
    <row r="22240" spans="8:10" x14ac:dyDescent="0.35">
      <c r="H22240" s="676"/>
      <c r="I22240" s="676"/>
      <c r="J22240" s="770"/>
    </row>
    <row r="22241" spans="8:10" x14ac:dyDescent="0.35">
      <c r="H22241" s="676"/>
      <c r="I22241" s="676"/>
      <c r="J22241" s="770"/>
    </row>
    <row r="22242" spans="8:10" x14ac:dyDescent="0.35">
      <c r="H22242" s="676"/>
      <c r="I22242" s="676"/>
      <c r="J22242" s="770"/>
    </row>
    <row r="22243" spans="8:10" x14ac:dyDescent="0.35">
      <c r="H22243" s="676"/>
      <c r="I22243" s="676"/>
      <c r="J22243" s="770"/>
    </row>
    <row r="22244" spans="8:10" x14ac:dyDescent="0.35">
      <c r="H22244" s="676"/>
      <c r="I22244" s="676"/>
      <c r="J22244" s="770"/>
    </row>
    <row r="22245" spans="8:10" x14ac:dyDescent="0.35">
      <c r="H22245" s="676"/>
      <c r="I22245" s="676"/>
      <c r="J22245" s="770"/>
    </row>
    <row r="22246" spans="8:10" x14ac:dyDescent="0.35">
      <c r="H22246" s="676"/>
      <c r="I22246" s="676"/>
      <c r="J22246" s="770"/>
    </row>
    <row r="22247" spans="8:10" x14ac:dyDescent="0.35">
      <c r="H22247" s="676"/>
      <c r="I22247" s="676"/>
      <c r="J22247" s="770"/>
    </row>
    <row r="22248" spans="8:10" x14ac:dyDescent="0.35">
      <c r="H22248" s="676"/>
      <c r="I22248" s="676"/>
      <c r="J22248" s="770"/>
    </row>
    <row r="22249" spans="8:10" x14ac:dyDescent="0.35">
      <c r="H22249" s="676"/>
      <c r="I22249" s="676"/>
      <c r="J22249" s="770"/>
    </row>
    <row r="22250" spans="8:10" x14ac:dyDescent="0.35">
      <c r="H22250" s="676"/>
      <c r="I22250" s="676"/>
      <c r="J22250" s="770"/>
    </row>
    <row r="22251" spans="8:10" x14ac:dyDescent="0.35">
      <c r="H22251" s="676"/>
      <c r="I22251" s="676"/>
      <c r="J22251" s="770"/>
    </row>
    <row r="22252" spans="8:10" x14ac:dyDescent="0.35">
      <c r="H22252" s="676"/>
      <c r="I22252" s="676"/>
      <c r="J22252" s="770"/>
    </row>
    <row r="22253" spans="8:10" x14ac:dyDescent="0.35">
      <c r="H22253" s="676"/>
      <c r="I22253" s="676"/>
      <c r="J22253" s="770"/>
    </row>
    <row r="22254" spans="8:10" x14ac:dyDescent="0.35">
      <c r="H22254" s="676"/>
      <c r="I22254" s="676"/>
      <c r="J22254" s="770"/>
    </row>
    <row r="22255" spans="8:10" x14ac:dyDescent="0.35">
      <c r="H22255" s="676"/>
      <c r="I22255" s="676"/>
      <c r="J22255" s="770"/>
    </row>
    <row r="22256" spans="8:10" x14ac:dyDescent="0.35">
      <c r="H22256" s="676"/>
      <c r="I22256" s="676"/>
      <c r="J22256" s="770"/>
    </row>
    <row r="22257" spans="8:10" x14ac:dyDescent="0.35">
      <c r="H22257" s="676"/>
      <c r="I22257" s="676"/>
      <c r="J22257" s="770"/>
    </row>
    <row r="22258" spans="8:10" x14ac:dyDescent="0.35">
      <c r="H22258" s="676"/>
      <c r="I22258" s="676"/>
      <c r="J22258" s="770"/>
    </row>
    <row r="22259" spans="8:10" x14ac:dyDescent="0.35">
      <c r="H22259" s="676"/>
      <c r="I22259" s="676"/>
      <c r="J22259" s="770"/>
    </row>
    <row r="22260" spans="8:10" x14ac:dyDescent="0.35">
      <c r="H22260" s="676"/>
      <c r="I22260" s="676"/>
      <c r="J22260" s="770"/>
    </row>
    <row r="22261" spans="8:10" x14ac:dyDescent="0.35">
      <c r="H22261" s="676"/>
      <c r="I22261" s="676"/>
      <c r="J22261" s="770"/>
    </row>
    <row r="22262" spans="8:10" x14ac:dyDescent="0.35">
      <c r="H22262" s="676"/>
      <c r="I22262" s="676"/>
      <c r="J22262" s="770"/>
    </row>
    <row r="22263" spans="8:10" x14ac:dyDescent="0.35">
      <c r="H22263" s="676"/>
      <c r="I22263" s="676"/>
      <c r="J22263" s="770"/>
    </row>
    <row r="22264" spans="8:10" x14ac:dyDescent="0.35">
      <c r="H22264" s="676"/>
      <c r="I22264" s="676"/>
      <c r="J22264" s="770"/>
    </row>
    <row r="22265" spans="8:10" x14ac:dyDescent="0.35">
      <c r="H22265" s="676"/>
      <c r="I22265" s="676"/>
      <c r="J22265" s="770"/>
    </row>
    <row r="22266" spans="8:10" x14ac:dyDescent="0.35">
      <c r="H22266" s="676"/>
      <c r="I22266" s="676"/>
      <c r="J22266" s="770"/>
    </row>
    <row r="22267" spans="8:10" x14ac:dyDescent="0.35">
      <c r="H22267" s="676"/>
      <c r="I22267" s="676"/>
      <c r="J22267" s="770"/>
    </row>
    <row r="22268" spans="8:10" x14ac:dyDescent="0.35">
      <c r="H22268" s="676"/>
      <c r="I22268" s="676"/>
      <c r="J22268" s="770"/>
    </row>
    <row r="22269" spans="8:10" x14ac:dyDescent="0.35">
      <c r="H22269" s="676"/>
      <c r="I22269" s="676"/>
      <c r="J22269" s="770"/>
    </row>
    <row r="22270" spans="8:10" x14ac:dyDescent="0.35">
      <c r="H22270" s="676"/>
      <c r="I22270" s="676"/>
      <c r="J22270" s="770"/>
    </row>
    <row r="22271" spans="8:10" x14ac:dyDescent="0.35">
      <c r="H22271" s="676"/>
      <c r="I22271" s="676"/>
      <c r="J22271" s="770"/>
    </row>
    <row r="22272" spans="8:10" x14ac:dyDescent="0.35">
      <c r="H22272" s="676"/>
      <c r="I22272" s="676"/>
      <c r="J22272" s="770"/>
    </row>
    <row r="22273" spans="8:10" x14ac:dyDescent="0.35">
      <c r="H22273" s="676"/>
      <c r="I22273" s="676"/>
      <c r="J22273" s="770"/>
    </row>
    <row r="22274" spans="8:10" x14ac:dyDescent="0.35">
      <c r="H22274" s="676"/>
      <c r="I22274" s="676"/>
      <c r="J22274" s="770"/>
    </row>
    <row r="22275" spans="8:10" x14ac:dyDescent="0.35">
      <c r="H22275" s="676"/>
      <c r="I22275" s="676"/>
      <c r="J22275" s="770"/>
    </row>
    <row r="22276" spans="8:10" x14ac:dyDescent="0.35">
      <c r="H22276" s="676"/>
      <c r="I22276" s="676"/>
      <c r="J22276" s="770"/>
    </row>
    <row r="22277" spans="8:10" x14ac:dyDescent="0.35">
      <c r="H22277" s="676"/>
      <c r="I22277" s="676"/>
      <c r="J22277" s="770"/>
    </row>
    <row r="22278" spans="8:10" x14ac:dyDescent="0.35">
      <c r="H22278" s="676"/>
      <c r="I22278" s="676"/>
      <c r="J22278" s="770"/>
    </row>
    <row r="22279" spans="8:10" x14ac:dyDescent="0.35">
      <c r="H22279" s="676"/>
      <c r="I22279" s="676"/>
      <c r="J22279" s="770"/>
    </row>
    <row r="22280" spans="8:10" x14ac:dyDescent="0.35">
      <c r="H22280" s="676"/>
      <c r="I22280" s="676"/>
      <c r="J22280" s="770"/>
    </row>
    <row r="22281" spans="8:10" x14ac:dyDescent="0.35">
      <c r="H22281" s="676"/>
      <c r="I22281" s="676"/>
      <c r="J22281" s="770"/>
    </row>
    <row r="22282" spans="8:10" x14ac:dyDescent="0.35">
      <c r="H22282" s="676"/>
      <c r="I22282" s="676"/>
      <c r="J22282" s="770"/>
    </row>
    <row r="22283" spans="8:10" x14ac:dyDescent="0.35">
      <c r="H22283" s="676"/>
      <c r="I22283" s="676"/>
      <c r="J22283" s="770"/>
    </row>
    <row r="22284" spans="8:10" x14ac:dyDescent="0.35">
      <c r="H22284" s="676"/>
      <c r="I22284" s="676"/>
      <c r="J22284" s="770"/>
    </row>
    <row r="22285" spans="8:10" x14ac:dyDescent="0.35">
      <c r="H22285" s="676"/>
      <c r="I22285" s="676"/>
      <c r="J22285" s="770"/>
    </row>
    <row r="22286" spans="8:10" x14ac:dyDescent="0.35">
      <c r="H22286" s="676"/>
      <c r="I22286" s="676"/>
      <c r="J22286" s="770"/>
    </row>
    <row r="22287" spans="8:10" x14ac:dyDescent="0.35">
      <c r="H22287" s="676"/>
      <c r="I22287" s="676"/>
      <c r="J22287" s="770"/>
    </row>
    <row r="22288" spans="8:10" x14ac:dyDescent="0.35">
      <c r="H22288" s="676"/>
      <c r="I22288" s="676"/>
      <c r="J22288" s="770"/>
    </row>
    <row r="22289" spans="8:10" x14ac:dyDescent="0.35">
      <c r="H22289" s="676"/>
      <c r="I22289" s="676"/>
      <c r="J22289" s="770"/>
    </row>
    <row r="22290" spans="8:10" x14ac:dyDescent="0.35">
      <c r="H22290" s="676"/>
      <c r="I22290" s="676"/>
      <c r="J22290" s="770"/>
    </row>
    <row r="22291" spans="8:10" x14ac:dyDescent="0.35">
      <c r="H22291" s="676"/>
      <c r="I22291" s="676"/>
      <c r="J22291" s="770"/>
    </row>
    <row r="22292" spans="8:10" x14ac:dyDescent="0.35">
      <c r="H22292" s="676"/>
      <c r="I22292" s="676"/>
      <c r="J22292" s="770"/>
    </row>
    <row r="22293" spans="8:10" x14ac:dyDescent="0.35">
      <c r="H22293" s="676"/>
      <c r="I22293" s="676"/>
      <c r="J22293" s="770"/>
    </row>
    <row r="22294" spans="8:10" x14ac:dyDescent="0.35">
      <c r="H22294" s="676"/>
      <c r="I22294" s="676"/>
      <c r="J22294" s="770"/>
    </row>
    <row r="22295" spans="8:10" x14ac:dyDescent="0.35">
      <c r="H22295" s="676"/>
      <c r="I22295" s="676"/>
      <c r="J22295" s="770"/>
    </row>
    <row r="22296" spans="8:10" x14ac:dyDescent="0.35">
      <c r="H22296" s="676"/>
      <c r="I22296" s="676"/>
      <c r="J22296" s="770"/>
    </row>
    <row r="22297" spans="8:10" x14ac:dyDescent="0.35">
      <c r="H22297" s="676"/>
      <c r="I22297" s="676"/>
      <c r="J22297" s="770"/>
    </row>
    <row r="22298" spans="8:10" x14ac:dyDescent="0.35">
      <c r="H22298" s="676"/>
      <c r="I22298" s="676"/>
      <c r="J22298" s="770"/>
    </row>
    <row r="22299" spans="8:10" x14ac:dyDescent="0.35">
      <c r="H22299" s="676"/>
      <c r="I22299" s="676"/>
      <c r="J22299" s="770"/>
    </row>
    <row r="22300" spans="8:10" x14ac:dyDescent="0.35">
      <c r="H22300" s="676"/>
      <c r="I22300" s="676"/>
      <c r="J22300" s="770"/>
    </row>
    <row r="22301" spans="8:10" x14ac:dyDescent="0.35">
      <c r="H22301" s="676"/>
      <c r="I22301" s="676"/>
      <c r="J22301" s="770"/>
    </row>
    <row r="22302" spans="8:10" x14ac:dyDescent="0.35">
      <c r="H22302" s="676"/>
      <c r="I22302" s="676"/>
      <c r="J22302" s="770"/>
    </row>
    <row r="22303" spans="8:10" x14ac:dyDescent="0.35">
      <c r="H22303" s="676"/>
      <c r="I22303" s="676"/>
      <c r="J22303" s="770"/>
    </row>
    <row r="22304" spans="8:10" x14ac:dyDescent="0.35">
      <c r="H22304" s="676"/>
      <c r="I22304" s="676"/>
      <c r="J22304" s="770"/>
    </row>
    <row r="22305" spans="8:10" x14ac:dyDescent="0.35">
      <c r="H22305" s="676"/>
      <c r="I22305" s="676"/>
      <c r="J22305" s="770"/>
    </row>
    <row r="22306" spans="8:10" x14ac:dyDescent="0.35">
      <c r="H22306" s="676"/>
      <c r="I22306" s="676"/>
      <c r="J22306" s="770"/>
    </row>
    <row r="22307" spans="8:10" x14ac:dyDescent="0.35">
      <c r="H22307" s="676"/>
      <c r="I22307" s="676"/>
      <c r="J22307" s="770"/>
    </row>
    <row r="22308" spans="8:10" x14ac:dyDescent="0.35">
      <c r="H22308" s="676"/>
      <c r="I22308" s="676"/>
      <c r="J22308" s="770"/>
    </row>
    <row r="22309" spans="8:10" x14ac:dyDescent="0.35">
      <c r="H22309" s="676"/>
      <c r="I22309" s="676"/>
      <c r="J22309" s="770"/>
    </row>
    <row r="22310" spans="8:10" x14ac:dyDescent="0.35">
      <c r="H22310" s="676"/>
      <c r="I22310" s="676"/>
      <c r="J22310" s="770"/>
    </row>
    <row r="22311" spans="8:10" x14ac:dyDescent="0.35">
      <c r="H22311" s="676"/>
      <c r="I22311" s="676"/>
      <c r="J22311" s="770"/>
    </row>
    <row r="22312" spans="8:10" x14ac:dyDescent="0.35">
      <c r="H22312" s="676"/>
      <c r="I22312" s="676"/>
      <c r="J22312" s="770"/>
    </row>
    <row r="22313" spans="8:10" x14ac:dyDescent="0.35">
      <c r="H22313" s="676"/>
      <c r="I22313" s="676"/>
      <c r="J22313" s="770"/>
    </row>
    <row r="22314" spans="8:10" x14ac:dyDescent="0.35">
      <c r="H22314" s="676"/>
      <c r="I22314" s="676"/>
      <c r="J22314" s="770"/>
    </row>
    <row r="22315" spans="8:10" x14ac:dyDescent="0.35">
      <c r="H22315" s="676"/>
      <c r="I22315" s="676"/>
      <c r="J22315" s="770"/>
    </row>
    <row r="22316" spans="8:10" x14ac:dyDescent="0.35">
      <c r="H22316" s="676"/>
      <c r="I22316" s="676"/>
      <c r="J22316" s="770"/>
    </row>
    <row r="22317" spans="8:10" x14ac:dyDescent="0.35">
      <c r="H22317" s="676"/>
      <c r="I22317" s="676"/>
      <c r="J22317" s="770"/>
    </row>
    <row r="22318" spans="8:10" x14ac:dyDescent="0.35">
      <c r="H22318" s="676"/>
      <c r="I22318" s="676"/>
      <c r="J22318" s="770"/>
    </row>
    <row r="22319" spans="8:10" x14ac:dyDescent="0.35">
      <c r="H22319" s="676"/>
      <c r="I22319" s="676"/>
      <c r="J22319" s="770"/>
    </row>
    <row r="22320" spans="8:10" x14ac:dyDescent="0.35">
      <c r="H22320" s="676"/>
      <c r="I22320" s="676"/>
      <c r="J22320" s="770"/>
    </row>
    <row r="22321" spans="8:10" x14ac:dyDescent="0.35">
      <c r="H22321" s="676"/>
      <c r="I22321" s="676"/>
      <c r="J22321" s="770"/>
    </row>
    <row r="22322" spans="8:10" x14ac:dyDescent="0.35">
      <c r="H22322" s="676"/>
      <c r="I22322" s="676"/>
      <c r="J22322" s="770"/>
    </row>
    <row r="22323" spans="8:10" x14ac:dyDescent="0.35">
      <c r="H22323" s="676"/>
      <c r="I22323" s="676"/>
      <c r="J22323" s="770"/>
    </row>
    <row r="22324" spans="8:10" x14ac:dyDescent="0.35">
      <c r="H22324" s="676"/>
      <c r="I22324" s="676"/>
      <c r="J22324" s="770"/>
    </row>
    <row r="22325" spans="8:10" x14ac:dyDescent="0.35">
      <c r="H22325" s="676"/>
      <c r="I22325" s="676"/>
      <c r="J22325" s="770"/>
    </row>
    <row r="22326" spans="8:10" x14ac:dyDescent="0.35">
      <c r="H22326" s="676"/>
      <c r="I22326" s="676"/>
      <c r="J22326" s="770"/>
    </row>
    <row r="22327" spans="8:10" x14ac:dyDescent="0.35">
      <c r="H22327" s="676"/>
      <c r="I22327" s="676"/>
      <c r="J22327" s="770"/>
    </row>
    <row r="22328" spans="8:10" x14ac:dyDescent="0.35">
      <c r="H22328" s="676"/>
      <c r="I22328" s="676"/>
      <c r="J22328" s="770"/>
    </row>
    <row r="22329" spans="8:10" x14ac:dyDescent="0.35">
      <c r="H22329" s="676"/>
      <c r="I22329" s="676"/>
      <c r="J22329" s="770"/>
    </row>
    <row r="22330" spans="8:10" x14ac:dyDescent="0.35">
      <c r="H22330" s="676"/>
      <c r="I22330" s="676"/>
      <c r="J22330" s="770"/>
    </row>
    <row r="22331" spans="8:10" x14ac:dyDescent="0.35">
      <c r="H22331" s="676"/>
      <c r="I22331" s="676"/>
      <c r="J22331" s="770"/>
    </row>
    <row r="22332" spans="8:10" x14ac:dyDescent="0.35">
      <c r="H22332" s="676"/>
      <c r="I22332" s="676"/>
      <c r="J22332" s="770"/>
    </row>
    <row r="22333" spans="8:10" x14ac:dyDescent="0.35">
      <c r="H22333" s="676"/>
      <c r="I22333" s="676"/>
      <c r="J22333" s="770"/>
    </row>
    <row r="22334" spans="8:10" x14ac:dyDescent="0.35">
      <c r="H22334" s="676"/>
      <c r="I22334" s="676"/>
      <c r="J22334" s="770"/>
    </row>
    <row r="22335" spans="8:10" x14ac:dyDescent="0.35">
      <c r="H22335" s="676"/>
      <c r="I22335" s="676"/>
      <c r="J22335" s="770"/>
    </row>
    <row r="22336" spans="8:10" x14ac:dyDescent="0.35">
      <c r="H22336" s="676"/>
      <c r="I22336" s="676"/>
      <c r="J22336" s="770"/>
    </row>
    <row r="22337" spans="8:10" x14ac:dyDescent="0.35">
      <c r="H22337" s="676"/>
      <c r="I22337" s="676"/>
      <c r="J22337" s="770"/>
    </row>
    <row r="22338" spans="8:10" x14ac:dyDescent="0.35">
      <c r="H22338" s="676"/>
      <c r="I22338" s="676"/>
      <c r="J22338" s="770"/>
    </row>
    <row r="22339" spans="8:10" x14ac:dyDescent="0.35">
      <c r="H22339" s="676"/>
      <c r="I22339" s="676"/>
      <c r="J22339" s="770"/>
    </row>
    <row r="22340" spans="8:10" x14ac:dyDescent="0.35">
      <c r="H22340" s="676"/>
      <c r="I22340" s="676"/>
      <c r="J22340" s="770"/>
    </row>
    <row r="22341" spans="8:10" x14ac:dyDescent="0.35">
      <c r="H22341" s="676"/>
      <c r="I22341" s="676"/>
      <c r="J22341" s="770"/>
    </row>
    <row r="22342" spans="8:10" x14ac:dyDescent="0.35">
      <c r="H22342" s="676"/>
      <c r="I22342" s="676"/>
      <c r="J22342" s="770"/>
    </row>
    <row r="22343" spans="8:10" x14ac:dyDescent="0.35">
      <c r="H22343" s="676"/>
      <c r="I22343" s="676"/>
      <c r="J22343" s="770"/>
    </row>
    <row r="22344" spans="8:10" x14ac:dyDescent="0.35">
      <c r="H22344" s="676"/>
      <c r="I22344" s="676"/>
      <c r="J22344" s="770"/>
    </row>
    <row r="22345" spans="8:10" x14ac:dyDescent="0.35">
      <c r="H22345" s="676"/>
      <c r="I22345" s="676"/>
      <c r="J22345" s="770"/>
    </row>
    <row r="22346" spans="8:10" x14ac:dyDescent="0.35">
      <c r="H22346" s="676"/>
      <c r="I22346" s="676"/>
      <c r="J22346" s="770"/>
    </row>
    <row r="22347" spans="8:10" x14ac:dyDescent="0.35">
      <c r="H22347" s="676"/>
      <c r="I22347" s="676"/>
      <c r="J22347" s="770"/>
    </row>
    <row r="22348" spans="8:10" x14ac:dyDescent="0.35">
      <c r="H22348" s="676"/>
      <c r="I22348" s="676"/>
      <c r="J22348" s="770"/>
    </row>
    <row r="22349" spans="8:10" x14ac:dyDescent="0.35">
      <c r="H22349" s="676"/>
      <c r="I22349" s="676"/>
      <c r="J22349" s="770"/>
    </row>
    <row r="22350" spans="8:10" x14ac:dyDescent="0.35">
      <c r="H22350" s="676"/>
      <c r="I22350" s="676"/>
      <c r="J22350" s="770"/>
    </row>
    <row r="22351" spans="8:10" x14ac:dyDescent="0.35">
      <c r="H22351" s="676"/>
      <c r="I22351" s="676"/>
      <c r="J22351" s="770"/>
    </row>
    <row r="22352" spans="8:10" x14ac:dyDescent="0.35">
      <c r="H22352" s="676"/>
      <c r="I22352" s="676"/>
      <c r="J22352" s="770"/>
    </row>
    <row r="22353" spans="8:10" x14ac:dyDescent="0.35">
      <c r="H22353" s="676"/>
      <c r="I22353" s="676"/>
      <c r="J22353" s="770"/>
    </row>
    <row r="22354" spans="8:10" x14ac:dyDescent="0.35">
      <c r="H22354" s="676"/>
      <c r="I22354" s="676"/>
      <c r="J22354" s="770"/>
    </row>
    <row r="22355" spans="8:10" x14ac:dyDescent="0.35">
      <c r="H22355" s="676"/>
      <c r="I22355" s="676"/>
      <c r="J22355" s="770"/>
    </row>
    <row r="22356" spans="8:10" x14ac:dyDescent="0.35">
      <c r="H22356" s="676"/>
      <c r="I22356" s="676"/>
      <c r="J22356" s="770"/>
    </row>
    <row r="22357" spans="8:10" x14ac:dyDescent="0.35">
      <c r="H22357" s="676"/>
      <c r="I22357" s="676"/>
      <c r="J22357" s="770"/>
    </row>
    <row r="22358" spans="8:10" x14ac:dyDescent="0.35">
      <c r="H22358" s="676"/>
      <c r="I22358" s="676"/>
      <c r="J22358" s="770"/>
    </row>
    <row r="22359" spans="8:10" x14ac:dyDescent="0.35">
      <c r="H22359" s="676"/>
      <c r="I22359" s="676"/>
      <c r="J22359" s="770"/>
    </row>
    <row r="22360" spans="8:10" x14ac:dyDescent="0.35">
      <c r="H22360" s="676"/>
      <c r="I22360" s="676"/>
      <c r="J22360" s="770"/>
    </row>
    <row r="22361" spans="8:10" x14ac:dyDescent="0.35">
      <c r="H22361" s="676"/>
      <c r="I22361" s="676"/>
      <c r="J22361" s="770"/>
    </row>
    <row r="22362" spans="8:10" x14ac:dyDescent="0.35">
      <c r="H22362" s="676"/>
      <c r="I22362" s="676"/>
      <c r="J22362" s="770"/>
    </row>
    <row r="22363" spans="8:10" x14ac:dyDescent="0.35">
      <c r="H22363" s="676"/>
      <c r="I22363" s="676"/>
      <c r="J22363" s="770"/>
    </row>
    <row r="22364" spans="8:10" x14ac:dyDescent="0.35">
      <c r="H22364" s="676"/>
      <c r="I22364" s="676"/>
      <c r="J22364" s="770"/>
    </row>
    <row r="22365" spans="8:10" x14ac:dyDescent="0.35">
      <c r="H22365" s="676"/>
      <c r="I22365" s="676"/>
      <c r="J22365" s="770"/>
    </row>
    <row r="22366" spans="8:10" x14ac:dyDescent="0.35">
      <c r="H22366" s="676"/>
      <c r="I22366" s="676"/>
      <c r="J22366" s="770"/>
    </row>
    <row r="22367" spans="8:10" x14ac:dyDescent="0.35">
      <c r="H22367" s="676"/>
      <c r="I22367" s="676"/>
      <c r="J22367" s="770"/>
    </row>
    <row r="22368" spans="8:10" x14ac:dyDescent="0.35">
      <c r="H22368" s="676"/>
      <c r="I22368" s="676"/>
      <c r="J22368" s="770"/>
    </row>
    <row r="22369" spans="8:10" x14ac:dyDescent="0.35">
      <c r="H22369" s="676"/>
      <c r="I22369" s="676"/>
      <c r="J22369" s="770"/>
    </row>
    <row r="22370" spans="8:10" x14ac:dyDescent="0.35">
      <c r="H22370" s="676"/>
      <c r="I22370" s="676"/>
      <c r="J22370" s="770"/>
    </row>
    <row r="22371" spans="8:10" x14ac:dyDescent="0.35">
      <c r="H22371" s="676"/>
      <c r="I22371" s="676"/>
      <c r="J22371" s="770"/>
    </row>
    <row r="22372" spans="8:10" x14ac:dyDescent="0.35">
      <c r="H22372" s="676"/>
      <c r="I22372" s="676"/>
      <c r="J22372" s="770"/>
    </row>
    <row r="22373" spans="8:10" x14ac:dyDescent="0.35">
      <c r="H22373" s="676"/>
      <c r="I22373" s="676"/>
      <c r="J22373" s="770"/>
    </row>
    <row r="22374" spans="8:10" x14ac:dyDescent="0.35">
      <c r="H22374" s="676"/>
      <c r="I22374" s="676"/>
      <c r="J22374" s="770"/>
    </row>
    <row r="22375" spans="8:10" x14ac:dyDescent="0.35">
      <c r="H22375" s="676"/>
      <c r="I22375" s="676"/>
      <c r="J22375" s="770"/>
    </row>
    <row r="22376" spans="8:10" x14ac:dyDescent="0.35">
      <c r="H22376" s="676"/>
      <c r="I22376" s="676"/>
      <c r="J22376" s="770"/>
    </row>
    <row r="22377" spans="8:10" x14ac:dyDescent="0.35">
      <c r="H22377" s="676"/>
      <c r="I22377" s="676"/>
      <c r="J22377" s="770"/>
    </row>
    <row r="22378" spans="8:10" x14ac:dyDescent="0.35">
      <c r="H22378" s="676"/>
      <c r="I22378" s="676"/>
      <c r="J22378" s="770"/>
    </row>
    <row r="22379" spans="8:10" x14ac:dyDescent="0.35">
      <c r="H22379" s="676"/>
      <c r="I22379" s="676"/>
      <c r="J22379" s="770"/>
    </row>
    <row r="22380" spans="8:10" x14ac:dyDescent="0.35">
      <c r="H22380" s="676"/>
      <c r="I22380" s="676"/>
      <c r="J22380" s="770"/>
    </row>
    <row r="22381" spans="8:10" x14ac:dyDescent="0.35">
      <c r="H22381" s="676"/>
      <c r="I22381" s="676"/>
      <c r="J22381" s="770"/>
    </row>
    <row r="22382" spans="8:10" x14ac:dyDescent="0.35">
      <c r="H22382" s="676"/>
      <c r="I22382" s="676"/>
      <c r="J22382" s="770"/>
    </row>
    <row r="22383" spans="8:10" x14ac:dyDescent="0.35">
      <c r="H22383" s="676"/>
      <c r="I22383" s="676"/>
      <c r="J22383" s="770"/>
    </row>
    <row r="22384" spans="8:10" x14ac:dyDescent="0.35">
      <c r="H22384" s="676"/>
      <c r="I22384" s="676"/>
      <c r="J22384" s="770"/>
    </row>
    <row r="22385" spans="8:10" x14ac:dyDescent="0.35">
      <c r="H22385" s="676"/>
      <c r="I22385" s="676"/>
      <c r="J22385" s="770"/>
    </row>
    <row r="22386" spans="8:10" x14ac:dyDescent="0.35">
      <c r="H22386" s="676"/>
      <c r="I22386" s="676"/>
      <c r="J22386" s="770"/>
    </row>
    <row r="22387" spans="8:10" x14ac:dyDescent="0.35">
      <c r="H22387" s="676"/>
      <c r="I22387" s="676"/>
      <c r="J22387" s="770"/>
    </row>
    <row r="22388" spans="8:10" x14ac:dyDescent="0.35">
      <c r="H22388" s="676"/>
      <c r="I22388" s="676"/>
      <c r="J22388" s="770"/>
    </row>
    <row r="22389" spans="8:10" x14ac:dyDescent="0.35">
      <c r="H22389" s="676"/>
      <c r="I22389" s="676"/>
      <c r="J22389" s="770"/>
    </row>
    <row r="22390" spans="8:10" x14ac:dyDescent="0.35">
      <c r="H22390" s="676"/>
      <c r="I22390" s="676"/>
      <c r="J22390" s="770"/>
    </row>
    <row r="22391" spans="8:10" x14ac:dyDescent="0.35">
      <c r="H22391" s="676"/>
      <c r="I22391" s="676"/>
      <c r="J22391" s="770"/>
    </row>
    <row r="22392" spans="8:10" x14ac:dyDescent="0.35">
      <c r="H22392" s="676"/>
      <c r="I22392" s="676"/>
      <c r="J22392" s="770"/>
    </row>
    <row r="22393" spans="8:10" x14ac:dyDescent="0.35">
      <c r="H22393" s="676"/>
      <c r="I22393" s="676"/>
      <c r="J22393" s="770"/>
    </row>
    <row r="22394" spans="8:10" x14ac:dyDescent="0.35">
      <c r="H22394" s="676"/>
      <c r="I22394" s="676"/>
      <c r="J22394" s="770"/>
    </row>
    <row r="22395" spans="8:10" x14ac:dyDescent="0.35">
      <c r="H22395" s="676"/>
      <c r="I22395" s="676"/>
      <c r="J22395" s="770"/>
    </row>
    <row r="22396" spans="8:10" x14ac:dyDescent="0.35">
      <c r="H22396" s="676"/>
      <c r="I22396" s="676"/>
      <c r="J22396" s="770"/>
    </row>
    <row r="22397" spans="8:10" x14ac:dyDescent="0.35">
      <c r="H22397" s="676"/>
      <c r="I22397" s="676"/>
      <c r="J22397" s="770"/>
    </row>
    <row r="22398" spans="8:10" x14ac:dyDescent="0.35">
      <c r="H22398" s="676"/>
      <c r="I22398" s="676"/>
      <c r="J22398" s="770"/>
    </row>
    <row r="22399" spans="8:10" x14ac:dyDescent="0.35">
      <c r="H22399" s="676"/>
      <c r="I22399" s="676"/>
      <c r="J22399" s="770"/>
    </row>
    <row r="22400" spans="8:10" x14ac:dyDescent="0.35">
      <c r="H22400" s="676"/>
      <c r="I22400" s="676"/>
      <c r="J22400" s="770"/>
    </row>
    <row r="22401" spans="8:10" x14ac:dyDescent="0.35">
      <c r="H22401" s="676"/>
      <c r="I22401" s="676"/>
      <c r="J22401" s="770"/>
    </row>
    <row r="22402" spans="8:10" x14ac:dyDescent="0.35">
      <c r="H22402" s="676"/>
      <c r="I22402" s="676"/>
      <c r="J22402" s="770"/>
    </row>
    <row r="22403" spans="8:10" x14ac:dyDescent="0.35">
      <c r="H22403" s="676"/>
      <c r="I22403" s="676"/>
      <c r="J22403" s="770"/>
    </row>
    <row r="22404" spans="8:10" x14ac:dyDescent="0.35">
      <c r="H22404" s="676"/>
      <c r="I22404" s="676"/>
      <c r="J22404" s="770"/>
    </row>
    <row r="22405" spans="8:10" x14ac:dyDescent="0.35">
      <c r="H22405" s="676"/>
      <c r="I22405" s="676"/>
      <c r="J22405" s="770"/>
    </row>
    <row r="22406" spans="8:10" x14ac:dyDescent="0.35">
      <c r="H22406" s="676"/>
      <c r="I22406" s="676"/>
      <c r="J22406" s="770"/>
    </row>
    <row r="22407" spans="8:10" x14ac:dyDescent="0.35">
      <c r="H22407" s="676"/>
      <c r="I22407" s="676"/>
      <c r="J22407" s="770"/>
    </row>
    <row r="22408" spans="8:10" x14ac:dyDescent="0.35">
      <c r="H22408" s="676"/>
      <c r="I22408" s="676"/>
      <c r="J22408" s="770"/>
    </row>
    <row r="22409" spans="8:10" x14ac:dyDescent="0.35">
      <c r="H22409" s="676"/>
      <c r="I22409" s="676"/>
      <c r="J22409" s="770"/>
    </row>
    <row r="22410" spans="8:10" x14ac:dyDescent="0.35">
      <c r="H22410" s="676"/>
      <c r="I22410" s="676"/>
      <c r="J22410" s="770"/>
    </row>
    <row r="22411" spans="8:10" x14ac:dyDescent="0.35">
      <c r="H22411" s="676"/>
      <c r="I22411" s="676"/>
      <c r="J22411" s="770"/>
    </row>
    <row r="22412" spans="8:10" x14ac:dyDescent="0.35">
      <c r="H22412" s="676"/>
      <c r="I22412" s="676"/>
      <c r="J22412" s="770"/>
    </row>
    <row r="22413" spans="8:10" x14ac:dyDescent="0.35">
      <c r="H22413" s="676"/>
      <c r="I22413" s="676"/>
      <c r="J22413" s="770"/>
    </row>
    <row r="22414" spans="8:10" x14ac:dyDescent="0.35">
      <c r="H22414" s="676"/>
      <c r="I22414" s="676"/>
      <c r="J22414" s="770"/>
    </row>
    <row r="22415" spans="8:10" x14ac:dyDescent="0.35">
      <c r="H22415" s="676"/>
      <c r="I22415" s="676"/>
      <c r="J22415" s="770"/>
    </row>
    <row r="22416" spans="8:10" x14ac:dyDescent="0.35">
      <c r="H22416" s="676"/>
      <c r="I22416" s="676"/>
      <c r="J22416" s="770"/>
    </row>
    <row r="22417" spans="8:10" x14ac:dyDescent="0.35">
      <c r="H22417" s="676"/>
      <c r="I22417" s="676"/>
      <c r="J22417" s="770"/>
    </row>
    <row r="22418" spans="8:10" x14ac:dyDescent="0.35">
      <c r="H22418" s="676"/>
      <c r="I22418" s="676"/>
      <c r="J22418" s="770"/>
    </row>
    <row r="22419" spans="8:10" x14ac:dyDescent="0.35">
      <c r="H22419" s="676"/>
      <c r="I22419" s="676"/>
      <c r="J22419" s="770"/>
    </row>
    <row r="22420" spans="8:10" x14ac:dyDescent="0.35">
      <c r="H22420" s="676"/>
      <c r="I22420" s="676"/>
      <c r="J22420" s="770"/>
    </row>
    <row r="22421" spans="8:10" x14ac:dyDescent="0.35">
      <c r="H22421" s="676"/>
      <c r="I22421" s="676"/>
      <c r="J22421" s="770"/>
    </row>
    <row r="22422" spans="8:10" x14ac:dyDescent="0.35">
      <c r="H22422" s="676"/>
      <c r="I22422" s="676"/>
      <c r="J22422" s="770"/>
    </row>
    <row r="22423" spans="8:10" x14ac:dyDescent="0.35">
      <c r="H22423" s="676"/>
      <c r="I22423" s="676"/>
      <c r="J22423" s="770"/>
    </row>
    <row r="22424" spans="8:10" x14ac:dyDescent="0.35">
      <c r="H22424" s="676"/>
      <c r="I22424" s="676"/>
      <c r="J22424" s="770"/>
    </row>
    <row r="22425" spans="8:10" x14ac:dyDescent="0.35">
      <c r="H22425" s="676"/>
      <c r="I22425" s="676"/>
      <c r="J22425" s="770"/>
    </row>
    <row r="22426" spans="8:10" x14ac:dyDescent="0.35">
      <c r="H22426" s="676"/>
      <c r="I22426" s="676"/>
      <c r="J22426" s="770"/>
    </row>
    <row r="22427" spans="8:10" x14ac:dyDescent="0.35">
      <c r="H22427" s="676"/>
      <c r="I22427" s="676"/>
      <c r="J22427" s="770"/>
    </row>
    <row r="22428" spans="8:10" x14ac:dyDescent="0.35">
      <c r="H22428" s="676"/>
      <c r="I22428" s="676"/>
      <c r="J22428" s="770"/>
    </row>
    <row r="22429" spans="8:10" x14ac:dyDescent="0.35">
      <c r="H22429" s="676"/>
      <c r="I22429" s="676"/>
      <c r="J22429" s="770"/>
    </row>
    <row r="22430" spans="8:10" x14ac:dyDescent="0.35">
      <c r="H22430" s="676"/>
      <c r="I22430" s="676"/>
      <c r="J22430" s="770"/>
    </row>
    <row r="22431" spans="8:10" x14ac:dyDescent="0.35">
      <c r="H22431" s="676"/>
      <c r="I22431" s="676"/>
      <c r="J22431" s="770"/>
    </row>
    <row r="22432" spans="8:10" x14ac:dyDescent="0.35">
      <c r="H22432" s="676"/>
      <c r="I22432" s="676"/>
      <c r="J22432" s="770"/>
    </row>
    <row r="22433" spans="8:10" x14ac:dyDescent="0.35">
      <c r="H22433" s="676"/>
      <c r="I22433" s="676"/>
      <c r="J22433" s="770"/>
    </row>
    <row r="22434" spans="8:10" x14ac:dyDescent="0.35">
      <c r="H22434" s="676"/>
      <c r="I22434" s="676"/>
      <c r="J22434" s="770"/>
    </row>
    <row r="22435" spans="8:10" x14ac:dyDescent="0.35">
      <c r="H22435" s="676"/>
      <c r="I22435" s="676"/>
      <c r="J22435" s="770"/>
    </row>
    <row r="22436" spans="8:10" x14ac:dyDescent="0.35">
      <c r="H22436" s="676"/>
      <c r="I22436" s="676"/>
      <c r="J22436" s="770"/>
    </row>
    <row r="22437" spans="8:10" x14ac:dyDescent="0.35">
      <c r="H22437" s="676"/>
      <c r="I22437" s="676"/>
      <c r="J22437" s="770"/>
    </row>
    <row r="22438" spans="8:10" x14ac:dyDescent="0.35">
      <c r="H22438" s="676"/>
      <c r="I22438" s="676"/>
      <c r="J22438" s="770"/>
    </row>
    <row r="22439" spans="8:10" x14ac:dyDescent="0.35">
      <c r="H22439" s="676"/>
      <c r="I22439" s="676"/>
      <c r="J22439" s="770"/>
    </row>
    <row r="22440" spans="8:10" x14ac:dyDescent="0.35">
      <c r="H22440" s="676"/>
      <c r="I22440" s="676"/>
      <c r="J22440" s="770"/>
    </row>
    <row r="22441" spans="8:10" x14ac:dyDescent="0.35">
      <c r="H22441" s="676"/>
      <c r="I22441" s="676"/>
      <c r="J22441" s="770"/>
    </row>
    <row r="22442" spans="8:10" x14ac:dyDescent="0.35">
      <c r="H22442" s="676"/>
      <c r="I22442" s="676"/>
      <c r="J22442" s="770"/>
    </row>
    <row r="22443" spans="8:10" x14ac:dyDescent="0.35">
      <c r="H22443" s="676"/>
      <c r="I22443" s="676"/>
      <c r="J22443" s="770"/>
    </row>
    <row r="22444" spans="8:10" x14ac:dyDescent="0.35">
      <c r="H22444" s="676"/>
      <c r="I22444" s="676"/>
      <c r="J22444" s="770"/>
    </row>
    <row r="22445" spans="8:10" x14ac:dyDescent="0.35">
      <c r="H22445" s="676"/>
      <c r="I22445" s="676"/>
      <c r="J22445" s="770"/>
    </row>
    <row r="22446" spans="8:10" x14ac:dyDescent="0.35">
      <c r="H22446" s="676"/>
      <c r="I22446" s="676"/>
      <c r="J22446" s="770"/>
    </row>
    <row r="22447" spans="8:10" x14ac:dyDescent="0.35">
      <c r="H22447" s="676"/>
      <c r="I22447" s="676"/>
      <c r="J22447" s="770"/>
    </row>
    <row r="22448" spans="8:10" x14ac:dyDescent="0.35">
      <c r="H22448" s="676"/>
      <c r="I22448" s="676"/>
      <c r="J22448" s="770"/>
    </row>
    <row r="22449" spans="8:10" x14ac:dyDescent="0.35">
      <c r="H22449" s="676"/>
      <c r="I22449" s="676"/>
      <c r="J22449" s="770"/>
    </row>
    <row r="22450" spans="8:10" x14ac:dyDescent="0.35">
      <c r="H22450" s="676"/>
      <c r="I22450" s="676"/>
      <c r="J22450" s="770"/>
    </row>
    <row r="22451" spans="8:10" x14ac:dyDescent="0.35">
      <c r="H22451" s="676"/>
      <c r="I22451" s="676"/>
      <c r="J22451" s="770"/>
    </row>
    <row r="22452" spans="8:10" x14ac:dyDescent="0.35">
      <c r="H22452" s="676"/>
      <c r="I22452" s="676"/>
      <c r="J22452" s="770"/>
    </row>
    <row r="22453" spans="8:10" x14ac:dyDescent="0.35">
      <c r="H22453" s="676"/>
      <c r="I22453" s="676"/>
      <c r="J22453" s="770"/>
    </row>
    <row r="22454" spans="8:10" x14ac:dyDescent="0.35">
      <c r="H22454" s="676"/>
      <c r="I22454" s="676"/>
      <c r="J22454" s="770"/>
    </row>
    <row r="22455" spans="8:10" x14ac:dyDescent="0.35">
      <c r="H22455" s="676"/>
      <c r="I22455" s="676"/>
      <c r="J22455" s="770"/>
    </row>
    <row r="22456" spans="8:10" x14ac:dyDescent="0.35">
      <c r="H22456" s="676"/>
      <c r="I22456" s="676"/>
      <c r="J22456" s="770"/>
    </row>
    <row r="22457" spans="8:10" x14ac:dyDescent="0.35">
      <c r="H22457" s="676"/>
      <c r="I22457" s="676"/>
      <c r="J22457" s="770"/>
    </row>
    <row r="22458" spans="8:10" x14ac:dyDescent="0.35">
      <c r="H22458" s="676"/>
      <c r="I22458" s="676"/>
      <c r="J22458" s="770"/>
    </row>
    <row r="22459" spans="8:10" x14ac:dyDescent="0.35">
      <c r="H22459" s="676"/>
      <c r="I22459" s="676"/>
      <c r="J22459" s="770"/>
    </row>
    <row r="22460" spans="8:10" x14ac:dyDescent="0.35">
      <c r="H22460" s="676"/>
      <c r="I22460" s="676"/>
      <c r="J22460" s="770"/>
    </row>
    <row r="22461" spans="8:10" x14ac:dyDescent="0.35">
      <c r="H22461" s="676"/>
      <c r="I22461" s="676"/>
      <c r="J22461" s="770"/>
    </row>
    <row r="22462" spans="8:10" x14ac:dyDescent="0.35">
      <c r="H22462" s="676"/>
      <c r="I22462" s="676"/>
      <c r="J22462" s="770"/>
    </row>
    <row r="22463" spans="8:10" x14ac:dyDescent="0.35">
      <c r="H22463" s="676"/>
      <c r="I22463" s="676"/>
      <c r="J22463" s="770"/>
    </row>
    <row r="22464" spans="8:10" x14ac:dyDescent="0.35">
      <c r="H22464" s="676"/>
      <c r="I22464" s="676"/>
      <c r="J22464" s="770"/>
    </row>
    <row r="22465" spans="8:10" x14ac:dyDescent="0.35">
      <c r="H22465" s="676"/>
      <c r="I22465" s="676"/>
      <c r="J22465" s="770"/>
    </row>
    <row r="22466" spans="8:10" x14ac:dyDescent="0.35">
      <c r="H22466" s="676"/>
      <c r="I22466" s="676"/>
      <c r="J22466" s="770"/>
    </row>
    <row r="22467" spans="8:10" x14ac:dyDescent="0.35">
      <c r="H22467" s="676"/>
      <c r="I22467" s="676"/>
      <c r="J22467" s="770"/>
    </row>
    <row r="22468" spans="8:10" x14ac:dyDescent="0.35">
      <c r="H22468" s="676"/>
      <c r="I22468" s="676"/>
      <c r="J22468" s="770"/>
    </row>
    <row r="22469" spans="8:10" x14ac:dyDescent="0.35">
      <c r="H22469" s="676"/>
      <c r="I22469" s="676"/>
      <c r="J22469" s="770"/>
    </row>
    <row r="22470" spans="8:10" x14ac:dyDescent="0.35">
      <c r="H22470" s="676"/>
      <c r="I22470" s="676"/>
      <c r="J22470" s="770"/>
    </row>
    <row r="22471" spans="8:10" x14ac:dyDescent="0.35">
      <c r="H22471" s="676"/>
      <c r="I22471" s="676"/>
      <c r="J22471" s="770"/>
    </row>
    <row r="22472" spans="8:10" x14ac:dyDescent="0.35">
      <c r="H22472" s="676"/>
      <c r="I22472" s="676"/>
      <c r="J22472" s="770"/>
    </row>
    <row r="22473" spans="8:10" x14ac:dyDescent="0.35">
      <c r="H22473" s="676"/>
      <c r="I22473" s="676"/>
      <c r="J22473" s="770"/>
    </row>
    <row r="22474" spans="8:10" x14ac:dyDescent="0.35">
      <c r="H22474" s="676"/>
      <c r="I22474" s="676"/>
      <c r="J22474" s="770"/>
    </row>
    <row r="22475" spans="8:10" x14ac:dyDescent="0.35">
      <c r="H22475" s="676"/>
      <c r="I22475" s="676"/>
      <c r="J22475" s="770"/>
    </row>
    <row r="22476" spans="8:10" x14ac:dyDescent="0.35">
      <c r="H22476" s="676"/>
      <c r="I22476" s="676"/>
      <c r="J22476" s="770"/>
    </row>
    <row r="22477" spans="8:10" x14ac:dyDescent="0.35">
      <c r="H22477" s="676"/>
      <c r="I22477" s="676"/>
      <c r="J22477" s="770"/>
    </row>
    <row r="22478" spans="8:10" x14ac:dyDescent="0.35">
      <c r="H22478" s="676"/>
      <c r="I22478" s="676"/>
      <c r="J22478" s="770"/>
    </row>
    <row r="22479" spans="8:10" x14ac:dyDescent="0.35">
      <c r="H22479" s="676"/>
      <c r="I22479" s="676"/>
      <c r="J22479" s="770"/>
    </row>
    <row r="22480" spans="8:10" x14ac:dyDescent="0.35">
      <c r="H22480" s="676"/>
      <c r="I22480" s="676"/>
      <c r="J22480" s="770"/>
    </row>
    <row r="22481" spans="8:10" x14ac:dyDescent="0.35">
      <c r="H22481" s="676"/>
      <c r="I22481" s="676"/>
      <c r="J22481" s="770"/>
    </row>
    <row r="22482" spans="8:10" x14ac:dyDescent="0.35">
      <c r="H22482" s="676"/>
      <c r="I22482" s="676"/>
      <c r="J22482" s="770"/>
    </row>
    <row r="22483" spans="8:10" x14ac:dyDescent="0.35">
      <c r="H22483" s="676"/>
      <c r="I22483" s="676"/>
      <c r="J22483" s="770"/>
    </row>
    <row r="22484" spans="8:10" x14ac:dyDescent="0.35">
      <c r="H22484" s="676"/>
      <c r="I22484" s="676"/>
      <c r="J22484" s="770"/>
    </row>
    <row r="22485" spans="8:10" x14ac:dyDescent="0.35">
      <c r="H22485" s="676"/>
      <c r="I22485" s="676"/>
      <c r="J22485" s="770"/>
    </row>
    <row r="22486" spans="8:10" x14ac:dyDescent="0.35">
      <c r="H22486" s="676"/>
      <c r="I22486" s="676"/>
      <c r="J22486" s="770"/>
    </row>
    <row r="22487" spans="8:10" x14ac:dyDescent="0.35">
      <c r="H22487" s="676"/>
      <c r="I22487" s="676"/>
      <c r="J22487" s="770"/>
    </row>
    <row r="22488" spans="8:10" x14ac:dyDescent="0.35">
      <c r="H22488" s="676"/>
      <c r="I22488" s="676"/>
      <c r="J22488" s="770"/>
    </row>
    <row r="22489" spans="8:10" x14ac:dyDescent="0.35">
      <c r="H22489" s="676"/>
      <c r="I22489" s="676"/>
      <c r="J22489" s="770"/>
    </row>
    <row r="22490" spans="8:10" x14ac:dyDescent="0.35">
      <c r="H22490" s="676"/>
      <c r="I22490" s="676"/>
      <c r="J22490" s="770"/>
    </row>
    <row r="22491" spans="8:10" x14ac:dyDescent="0.35">
      <c r="H22491" s="676"/>
      <c r="I22491" s="676"/>
      <c r="J22491" s="770"/>
    </row>
    <row r="22492" spans="8:10" x14ac:dyDescent="0.35">
      <c r="H22492" s="676"/>
      <c r="I22492" s="676"/>
      <c r="J22492" s="770"/>
    </row>
    <row r="22493" spans="8:10" x14ac:dyDescent="0.35">
      <c r="H22493" s="676"/>
      <c r="I22493" s="676"/>
      <c r="J22493" s="770"/>
    </row>
    <row r="22494" spans="8:10" x14ac:dyDescent="0.35">
      <c r="H22494" s="676"/>
      <c r="I22494" s="676"/>
      <c r="J22494" s="770"/>
    </row>
    <row r="22495" spans="8:10" x14ac:dyDescent="0.35">
      <c r="H22495" s="676"/>
      <c r="I22495" s="676"/>
      <c r="J22495" s="770"/>
    </row>
    <row r="22496" spans="8:10" x14ac:dyDescent="0.35">
      <c r="H22496" s="676"/>
      <c r="I22496" s="676"/>
      <c r="J22496" s="770"/>
    </row>
    <row r="22497" spans="8:10" x14ac:dyDescent="0.35">
      <c r="H22497" s="676"/>
      <c r="I22497" s="676"/>
      <c r="J22497" s="770"/>
    </row>
    <row r="22498" spans="8:10" x14ac:dyDescent="0.35">
      <c r="H22498" s="676"/>
      <c r="I22498" s="676"/>
      <c r="J22498" s="770"/>
    </row>
    <row r="22499" spans="8:10" x14ac:dyDescent="0.35">
      <c r="H22499" s="676"/>
      <c r="I22499" s="676"/>
      <c r="J22499" s="770"/>
    </row>
    <row r="22500" spans="8:10" x14ac:dyDescent="0.35">
      <c r="H22500" s="676"/>
      <c r="I22500" s="676"/>
      <c r="J22500" s="770"/>
    </row>
    <row r="22501" spans="8:10" x14ac:dyDescent="0.35">
      <c r="H22501" s="676"/>
      <c r="I22501" s="676"/>
      <c r="J22501" s="770"/>
    </row>
    <row r="22502" spans="8:10" x14ac:dyDescent="0.35">
      <c r="H22502" s="676"/>
      <c r="I22502" s="676"/>
      <c r="J22502" s="770"/>
    </row>
    <row r="22503" spans="8:10" x14ac:dyDescent="0.35">
      <c r="H22503" s="676"/>
      <c r="I22503" s="676"/>
      <c r="J22503" s="770"/>
    </row>
    <row r="22504" spans="8:10" x14ac:dyDescent="0.35">
      <c r="H22504" s="676"/>
      <c r="I22504" s="676"/>
      <c r="J22504" s="770"/>
    </row>
    <row r="22505" spans="8:10" x14ac:dyDescent="0.35">
      <c r="H22505" s="676"/>
      <c r="I22505" s="676"/>
      <c r="J22505" s="770"/>
    </row>
    <row r="22506" spans="8:10" x14ac:dyDescent="0.35">
      <c r="H22506" s="676"/>
      <c r="I22506" s="676"/>
      <c r="J22506" s="770"/>
    </row>
    <row r="22507" spans="8:10" x14ac:dyDescent="0.35">
      <c r="H22507" s="676"/>
      <c r="I22507" s="676"/>
      <c r="J22507" s="770"/>
    </row>
    <row r="22508" spans="8:10" x14ac:dyDescent="0.35">
      <c r="H22508" s="676"/>
      <c r="I22508" s="676"/>
      <c r="J22508" s="770"/>
    </row>
    <row r="22509" spans="8:10" x14ac:dyDescent="0.35">
      <c r="H22509" s="676"/>
      <c r="I22509" s="676"/>
      <c r="J22509" s="770"/>
    </row>
    <row r="22510" spans="8:10" x14ac:dyDescent="0.35">
      <c r="H22510" s="676"/>
      <c r="I22510" s="676"/>
      <c r="J22510" s="770"/>
    </row>
    <row r="22511" spans="8:10" x14ac:dyDescent="0.35">
      <c r="H22511" s="676"/>
      <c r="I22511" s="676"/>
      <c r="J22511" s="770"/>
    </row>
    <row r="22512" spans="8:10" x14ac:dyDescent="0.35">
      <c r="H22512" s="676"/>
      <c r="I22512" s="676"/>
      <c r="J22512" s="770"/>
    </row>
    <row r="22513" spans="8:10" x14ac:dyDescent="0.35">
      <c r="H22513" s="676"/>
      <c r="I22513" s="676"/>
      <c r="J22513" s="770"/>
    </row>
    <row r="22514" spans="8:10" x14ac:dyDescent="0.35">
      <c r="H22514" s="676"/>
      <c r="I22514" s="676"/>
      <c r="J22514" s="770"/>
    </row>
    <row r="22515" spans="8:10" x14ac:dyDescent="0.35">
      <c r="H22515" s="676"/>
      <c r="I22515" s="676"/>
      <c r="J22515" s="770"/>
    </row>
    <row r="22516" spans="8:10" x14ac:dyDescent="0.35">
      <c r="H22516" s="676"/>
      <c r="I22516" s="676"/>
      <c r="J22516" s="770"/>
    </row>
    <row r="22517" spans="8:10" x14ac:dyDescent="0.35">
      <c r="H22517" s="676"/>
      <c r="I22517" s="676"/>
      <c r="J22517" s="770"/>
    </row>
    <row r="22518" spans="8:10" x14ac:dyDescent="0.35">
      <c r="H22518" s="676"/>
      <c r="I22518" s="676"/>
      <c r="J22518" s="770"/>
    </row>
    <row r="22519" spans="8:10" x14ac:dyDescent="0.35">
      <c r="H22519" s="676"/>
      <c r="I22519" s="676"/>
      <c r="J22519" s="770"/>
    </row>
    <row r="22520" spans="8:10" x14ac:dyDescent="0.35">
      <c r="H22520" s="676"/>
      <c r="I22520" s="676"/>
      <c r="J22520" s="770"/>
    </row>
    <row r="22521" spans="8:10" x14ac:dyDescent="0.35">
      <c r="H22521" s="676"/>
      <c r="I22521" s="676"/>
      <c r="J22521" s="770"/>
    </row>
    <row r="22522" spans="8:10" x14ac:dyDescent="0.35">
      <c r="H22522" s="676"/>
      <c r="I22522" s="676"/>
      <c r="J22522" s="770"/>
    </row>
    <row r="22523" spans="8:10" x14ac:dyDescent="0.35">
      <c r="H22523" s="676"/>
      <c r="I22523" s="676"/>
      <c r="J22523" s="770"/>
    </row>
    <row r="22524" spans="8:10" x14ac:dyDescent="0.35">
      <c r="H22524" s="676"/>
      <c r="I22524" s="676"/>
      <c r="J22524" s="770"/>
    </row>
    <row r="22525" spans="8:10" x14ac:dyDescent="0.35">
      <c r="H22525" s="676"/>
      <c r="I22525" s="676"/>
      <c r="J22525" s="770"/>
    </row>
    <row r="22526" spans="8:10" x14ac:dyDescent="0.35">
      <c r="H22526" s="676"/>
      <c r="I22526" s="676"/>
      <c r="J22526" s="770"/>
    </row>
    <row r="22527" spans="8:10" x14ac:dyDescent="0.35">
      <c r="H22527" s="676"/>
      <c r="I22527" s="676"/>
      <c r="J22527" s="770"/>
    </row>
    <row r="22528" spans="8:10" x14ac:dyDescent="0.35">
      <c r="H22528" s="676"/>
      <c r="I22528" s="676"/>
      <c r="J22528" s="770"/>
    </row>
    <row r="22529" spans="8:10" x14ac:dyDescent="0.35">
      <c r="H22529" s="676"/>
      <c r="I22529" s="676"/>
      <c r="J22529" s="770"/>
    </row>
    <row r="22530" spans="8:10" x14ac:dyDescent="0.35">
      <c r="H22530" s="676"/>
      <c r="I22530" s="676"/>
      <c r="J22530" s="770"/>
    </row>
    <row r="22531" spans="8:10" x14ac:dyDescent="0.35">
      <c r="H22531" s="676"/>
      <c r="I22531" s="676"/>
      <c r="J22531" s="770"/>
    </row>
    <row r="22532" spans="8:10" x14ac:dyDescent="0.35">
      <c r="H22532" s="676"/>
      <c r="I22532" s="676"/>
      <c r="J22532" s="770"/>
    </row>
    <row r="22533" spans="8:10" x14ac:dyDescent="0.35">
      <c r="H22533" s="676"/>
      <c r="I22533" s="676"/>
      <c r="J22533" s="770"/>
    </row>
    <row r="22534" spans="8:10" x14ac:dyDescent="0.35">
      <c r="H22534" s="676"/>
      <c r="I22534" s="676"/>
      <c r="J22534" s="770"/>
    </row>
    <row r="22535" spans="8:10" x14ac:dyDescent="0.35">
      <c r="H22535" s="676"/>
      <c r="I22535" s="676"/>
      <c r="J22535" s="770"/>
    </row>
    <row r="22536" spans="8:10" x14ac:dyDescent="0.35">
      <c r="H22536" s="676"/>
      <c r="I22536" s="676"/>
      <c r="J22536" s="770"/>
    </row>
    <row r="22537" spans="8:10" x14ac:dyDescent="0.35">
      <c r="H22537" s="676"/>
      <c r="I22537" s="676"/>
      <c r="J22537" s="770"/>
    </row>
    <row r="22538" spans="8:10" x14ac:dyDescent="0.35">
      <c r="H22538" s="676"/>
      <c r="I22538" s="676"/>
      <c r="J22538" s="770"/>
    </row>
    <row r="22539" spans="8:10" x14ac:dyDescent="0.35">
      <c r="H22539" s="676"/>
      <c r="I22539" s="676"/>
      <c r="J22539" s="770"/>
    </row>
    <row r="22540" spans="8:10" x14ac:dyDescent="0.35">
      <c r="H22540" s="676"/>
      <c r="I22540" s="676"/>
      <c r="J22540" s="770"/>
    </row>
    <row r="22541" spans="8:10" x14ac:dyDescent="0.35">
      <c r="H22541" s="676"/>
      <c r="I22541" s="676"/>
      <c r="J22541" s="770"/>
    </row>
    <row r="22542" spans="8:10" x14ac:dyDescent="0.35">
      <c r="H22542" s="676"/>
      <c r="I22542" s="676"/>
      <c r="J22542" s="770"/>
    </row>
    <row r="22543" spans="8:10" x14ac:dyDescent="0.35">
      <c r="H22543" s="676"/>
      <c r="I22543" s="676"/>
      <c r="J22543" s="770"/>
    </row>
    <row r="22544" spans="8:10" x14ac:dyDescent="0.35">
      <c r="H22544" s="676"/>
      <c r="I22544" s="676"/>
      <c r="J22544" s="770"/>
    </row>
    <row r="22545" spans="8:10" x14ac:dyDescent="0.35">
      <c r="H22545" s="676"/>
      <c r="I22545" s="676"/>
      <c r="J22545" s="770"/>
    </row>
    <row r="22546" spans="8:10" x14ac:dyDescent="0.35">
      <c r="H22546" s="676"/>
      <c r="I22546" s="676"/>
      <c r="J22546" s="770"/>
    </row>
    <row r="22547" spans="8:10" x14ac:dyDescent="0.35">
      <c r="H22547" s="676"/>
      <c r="I22547" s="676"/>
      <c r="J22547" s="770"/>
    </row>
    <row r="22548" spans="8:10" x14ac:dyDescent="0.35">
      <c r="H22548" s="676"/>
      <c r="I22548" s="676"/>
      <c r="J22548" s="770"/>
    </row>
    <row r="22549" spans="8:10" x14ac:dyDescent="0.35">
      <c r="H22549" s="676"/>
      <c r="I22549" s="676"/>
      <c r="J22549" s="770"/>
    </row>
    <row r="22550" spans="8:10" x14ac:dyDescent="0.35">
      <c r="H22550" s="676"/>
      <c r="I22550" s="676"/>
      <c r="J22550" s="770"/>
    </row>
    <row r="22551" spans="8:10" x14ac:dyDescent="0.35">
      <c r="H22551" s="676"/>
      <c r="I22551" s="676"/>
      <c r="J22551" s="770"/>
    </row>
    <row r="22552" spans="8:10" x14ac:dyDescent="0.35">
      <c r="H22552" s="676"/>
      <c r="I22552" s="676"/>
      <c r="J22552" s="770"/>
    </row>
    <row r="22553" spans="8:10" x14ac:dyDescent="0.35">
      <c r="H22553" s="676"/>
      <c r="I22553" s="676"/>
      <c r="J22553" s="770"/>
    </row>
    <row r="22554" spans="8:10" x14ac:dyDescent="0.35">
      <c r="H22554" s="676"/>
      <c r="I22554" s="676"/>
      <c r="J22554" s="770"/>
    </row>
    <row r="22555" spans="8:10" x14ac:dyDescent="0.35">
      <c r="H22555" s="676"/>
      <c r="I22555" s="676"/>
      <c r="J22555" s="770"/>
    </row>
    <row r="22556" spans="8:10" x14ac:dyDescent="0.35">
      <c r="H22556" s="676"/>
      <c r="I22556" s="676"/>
      <c r="J22556" s="770"/>
    </row>
    <row r="22557" spans="8:10" x14ac:dyDescent="0.35">
      <c r="H22557" s="676"/>
      <c r="I22557" s="676"/>
      <c r="J22557" s="770"/>
    </row>
    <row r="22558" spans="8:10" x14ac:dyDescent="0.35">
      <c r="H22558" s="676"/>
      <c r="I22558" s="676"/>
      <c r="J22558" s="770"/>
    </row>
    <row r="22559" spans="8:10" x14ac:dyDescent="0.35">
      <c r="H22559" s="676"/>
      <c r="I22559" s="676"/>
      <c r="J22559" s="770"/>
    </row>
    <row r="22560" spans="8:10" x14ac:dyDescent="0.35">
      <c r="H22560" s="676"/>
      <c r="I22560" s="676"/>
      <c r="J22560" s="770"/>
    </row>
    <row r="22561" spans="8:10" x14ac:dyDescent="0.35">
      <c r="H22561" s="676"/>
      <c r="I22561" s="676"/>
      <c r="J22561" s="770"/>
    </row>
    <row r="22562" spans="8:10" x14ac:dyDescent="0.35">
      <c r="H22562" s="676"/>
      <c r="I22562" s="676"/>
      <c r="J22562" s="770"/>
    </row>
    <row r="22563" spans="8:10" x14ac:dyDescent="0.35">
      <c r="H22563" s="676"/>
      <c r="I22563" s="676"/>
      <c r="J22563" s="770"/>
    </row>
    <row r="22564" spans="8:10" x14ac:dyDescent="0.35">
      <c r="H22564" s="676"/>
      <c r="I22564" s="676"/>
      <c r="J22564" s="770"/>
    </row>
    <row r="22565" spans="8:10" x14ac:dyDescent="0.35">
      <c r="H22565" s="676"/>
      <c r="I22565" s="676"/>
      <c r="J22565" s="770"/>
    </row>
    <row r="22566" spans="8:10" x14ac:dyDescent="0.35">
      <c r="H22566" s="676"/>
      <c r="I22566" s="676"/>
      <c r="J22566" s="770"/>
    </row>
    <row r="22567" spans="8:10" x14ac:dyDescent="0.35">
      <c r="H22567" s="676"/>
      <c r="I22567" s="676"/>
      <c r="J22567" s="770"/>
    </row>
    <row r="22568" spans="8:10" x14ac:dyDescent="0.35">
      <c r="H22568" s="676"/>
      <c r="I22568" s="676"/>
      <c r="J22568" s="770"/>
    </row>
    <row r="22569" spans="8:10" x14ac:dyDescent="0.35">
      <c r="H22569" s="676"/>
      <c r="I22569" s="676"/>
      <c r="J22569" s="770"/>
    </row>
    <row r="22570" spans="8:10" x14ac:dyDescent="0.35">
      <c r="H22570" s="676"/>
      <c r="I22570" s="676"/>
      <c r="J22570" s="770"/>
    </row>
    <row r="22571" spans="8:10" x14ac:dyDescent="0.35">
      <c r="H22571" s="676"/>
      <c r="I22571" s="676"/>
      <c r="J22571" s="770"/>
    </row>
    <row r="22572" spans="8:10" x14ac:dyDescent="0.35">
      <c r="H22572" s="676"/>
      <c r="I22572" s="676"/>
      <c r="J22572" s="770"/>
    </row>
    <row r="22573" spans="8:10" x14ac:dyDescent="0.35">
      <c r="H22573" s="676"/>
      <c r="I22573" s="676"/>
      <c r="J22573" s="770"/>
    </row>
    <row r="22574" spans="8:10" x14ac:dyDescent="0.35">
      <c r="H22574" s="676"/>
      <c r="I22574" s="676"/>
      <c r="J22574" s="770"/>
    </row>
    <row r="22575" spans="8:10" x14ac:dyDescent="0.35">
      <c r="H22575" s="676"/>
      <c r="I22575" s="676"/>
      <c r="J22575" s="770"/>
    </row>
    <row r="22576" spans="8:10" x14ac:dyDescent="0.35">
      <c r="H22576" s="676"/>
      <c r="I22576" s="676"/>
      <c r="J22576" s="770"/>
    </row>
    <row r="22577" spans="8:10" x14ac:dyDescent="0.35">
      <c r="H22577" s="676"/>
      <c r="I22577" s="676"/>
      <c r="J22577" s="770"/>
    </row>
    <row r="22578" spans="8:10" x14ac:dyDescent="0.35">
      <c r="H22578" s="676"/>
      <c r="I22578" s="676"/>
      <c r="J22578" s="770"/>
    </row>
    <row r="22579" spans="8:10" x14ac:dyDescent="0.35">
      <c r="H22579" s="676"/>
      <c r="I22579" s="676"/>
      <c r="J22579" s="770"/>
    </row>
    <row r="22580" spans="8:10" x14ac:dyDescent="0.35">
      <c r="H22580" s="676"/>
      <c r="I22580" s="676"/>
      <c r="J22580" s="770"/>
    </row>
    <row r="22581" spans="8:10" x14ac:dyDescent="0.35">
      <c r="H22581" s="676"/>
      <c r="I22581" s="676"/>
      <c r="J22581" s="770"/>
    </row>
    <row r="22582" spans="8:10" x14ac:dyDescent="0.35">
      <c r="H22582" s="676"/>
      <c r="I22582" s="676"/>
      <c r="J22582" s="770"/>
    </row>
    <row r="22583" spans="8:10" x14ac:dyDescent="0.35">
      <c r="H22583" s="676"/>
      <c r="I22583" s="676"/>
      <c r="J22583" s="770"/>
    </row>
    <row r="22584" spans="8:10" x14ac:dyDescent="0.35">
      <c r="H22584" s="676"/>
      <c r="I22584" s="676"/>
      <c r="J22584" s="770"/>
    </row>
    <row r="22585" spans="8:10" x14ac:dyDescent="0.35">
      <c r="H22585" s="676"/>
      <c r="I22585" s="676"/>
      <c r="J22585" s="770"/>
    </row>
    <row r="22586" spans="8:10" x14ac:dyDescent="0.35">
      <c r="H22586" s="676"/>
      <c r="I22586" s="676"/>
      <c r="J22586" s="770"/>
    </row>
    <row r="22587" spans="8:10" x14ac:dyDescent="0.35">
      <c r="H22587" s="676"/>
      <c r="I22587" s="676"/>
      <c r="J22587" s="770"/>
    </row>
    <row r="22588" spans="8:10" x14ac:dyDescent="0.35">
      <c r="H22588" s="676"/>
      <c r="I22588" s="676"/>
      <c r="J22588" s="770"/>
    </row>
    <row r="22589" spans="8:10" x14ac:dyDescent="0.35">
      <c r="H22589" s="676"/>
      <c r="I22589" s="676"/>
      <c r="J22589" s="770"/>
    </row>
    <row r="22590" spans="8:10" x14ac:dyDescent="0.35">
      <c r="H22590" s="676"/>
      <c r="I22590" s="676"/>
      <c r="J22590" s="770"/>
    </row>
    <row r="22591" spans="8:10" x14ac:dyDescent="0.35">
      <c r="H22591" s="676"/>
      <c r="I22591" s="676"/>
      <c r="J22591" s="770"/>
    </row>
    <row r="22592" spans="8:10" x14ac:dyDescent="0.35">
      <c r="H22592" s="676"/>
      <c r="I22592" s="676"/>
      <c r="J22592" s="770"/>
    </row>
    <row r="22593" spans="8:10" x14ac:dyDescent="0.35">
      <c r="H22593" s="676"/>
      <c r="I22593" s="676"/>
      <c r="J22593" s="770"/>
    </row>
    <row r="22594" spans="8:10" x14ac:dyDescent="0.35">
      <c r="H22594" s="676"/>
      <c r="I22594" s="676"/>
      <c r="J22594" s="770"/>
    </row>
    <row r="22595" spans="8:10" x14ac:dyDescent="0.35">
      <c r="H22595" s="676"/>
      <c r="I22595" s="676"/>
      <c r="J22595" s="770"/>
    </row>
    <row r="22596" spans="8:10" x14ac:dyDescent="0.35">
      <c r="H22596" s="676"/>
      <c r="I22596" s="676"/>
      <c r="J22596" s="770"/>
    </row>
    <row r="22597" spans="8:10" x14ac:dyDescent="0.35">
      <c r="H22597" s="676"/>
      <c r="I22597" s="676"/>
      <c r="J22597" s="770"/>
    </row>
    <row r="22598" spans="8:10" x14ac:dyDescent="0.35">
      <c r="H22598" s="676"/>
      <c r="I22598" s="676"/>
      <c r="J22598" s="770"/>
    </row>
    <row r="22599" spans="8:10" x14ac:dyDescent="0.35">
      <c r="H22599" s="676"/>
      <c r="I22599" s="676"/>
      <c r="J22599" s="770"/>
    </row>
    <row r="22600" spans="8:10" x14ac:dyDescent="0.35">
      <c r="H22600" s="676"/>
      <c r="I22600" s="676"/>
      <c r="J22600" s="770"/>
    </row>
    <row r="22601" spans="8:10" x14ac:dyDescent="0.35">
      <c r="H22601" s="676"/>
      <c r="I22601" s="676"/>
      <c r="J22601" s="770"/>
    </row>
    <row r="22602" spans="8:10" x14ac:dyDescent="0.35">
      <c r="H22602" s="676"/>
      <c r="I22602" s="676"/>
      <c r="J22602" s="770"/>
    </row>
    <row r="22603" spans="8:10" x14ac:dyDescent="0.35">
      <c r="H22603" s="676"/>
      <c r="I22603" s="676"/>
      <c r="J22603" s="770"/>
    </row>
    <row r="22604" spans="8:10" x14ac:dyDescent="0.35">
      <c r="H22604" s="676"/>
      <c r="I22604" s="676"/>
      <c r="J22604" s="770"/>
    </row>
    <row r="22605" spans="8:10" x14ac:dyDescent="0.35">
      <c r="H22605" s="676"/>
      <c r="I22605" s="676"/>
      <c r="J22605" s="770"/>
    </row>
    <row r="22606" spans="8:10" x14ac:dyDescent="0.35">
      <c r="H22606" s="676"/>
      <c r="I22606" s="676"/>
      <c r="J22606" s="770"/>
    </row>
    <row r="22607" spans="8:10" x14ac:dyDescent="0.35">
      <c r="H22607" s="676"/>
      <c r="I22607" s="676"/>
      <c r="J22607" s="770"/>
    </row>
    <row r="22608" spans="8:10" x14ac:dyDescent="0.35">
      <c r="H22608" s="676"/>
      <c r="I22608" s="676"/>
      <c r="J22608" s="770"/>
    </row>
    <row r="22609" spans="8:10" x14ac:dyDescent="0.35">
      <c r="H22609" s="676"/>
      <c r="I22609" s="676"/>
      <c r="J22609" s="770"/>
    </row>
    <row r="22610" spans="8:10" x14ac:dyDescent="0.35">
      <c r="H22610" s="676"/>
      <c r="I22610" s="676"/>
      <c r="J22610" s="770"/>
    </row>
    <row r="22611" spans="8:10" x14ac:dyDescent="0.35">
      <c r="H22611" s="676"/>
      <c r="I22611" s="676"/>
      <c r="J22611" s="770"/>
    </row>
    <row r="22612" spans="8:10" x14ac:dyDescent="0.35">
      <c r="H22612" s="676"/>
      <c r="I22612" s="676"/>
      <c r="J22612" s="770"/>
    </row>
    <row r="22613" spans="8:10" x14ac:dyDescent="0.35">
      <c r="H22613" s="676"/>
      <c r="I22613" s="676"/>
      <c r="J22613" s="770"/>
    </row>
    <row r="22614" spans="8:10" x14ac:dyDescent="0.35">
      <c r="H22614" s="676"/>
      <c r="I22614" s="676"/>
      <c r="J22614" s="770"/>
    </row>
    <row r="22615" spans="8:10" x14ac:dyDescent="0.35">
      <c r="H22615" s="676"/>
      <c r="I22615" s="676"/>
      <c r="J22615" s="770"/>
    </row>
    <row r="22616" spans="8:10" x14ac:dyDescent="0.35">
      <c r="H22616" s="676"/>
      <c r="I22616" s="676"/>
      <c r="J22616" s="770"/>
    </row>
    <row r="22617" spans="8:10" x14ac:dyDescent="0.35">
      <c r="H22617" s="676"/>
      <c r="I22617" s="676"/>
      <c r="J22617" s="770"/>
    </row>
    <row r="22618" spans="8:10" x14ac:dyDescent="0.35">
      <c r="H22618" s="676"/>
      <c r="I22618" s="676"/>
      <c r="J22618" s="770"/>
    </row>
    <row r="22619" spans="8:10" x14ac:dyDescent="0.35">
      <c r="H22619" s="676"/>
      <c r="I22619" s="676"/>
      <c r="J22619" s="770"/>
    </row>
    <row r="22620" spans="8:10" x14ac:dyDescent="0.35">
      <c r="H22620" s="676"/>
      <c r="I22620" s="676"/>
      <c r="J22620" s="770"/>
    </row>
    <row r="22621" spans="8:10" x14ac:dyDescent="0.35">
      <c r="H22621" s="676"/>
      <c r="I22621" s="676"/>
      <c r="J22621" s="770"/>
    </row>
    <row r="22622" spans="8:10" x14ac:dyDescent="0.35">
      <c r="H22622" s="676"/>
      <c r="I22622" s="676"/>
      <c r="J22622" s="770"/>
    </row>
    <row r="22623" spans="8:10" x14ac:dyDescent="0.35">
      <c r="H22623" s="676"/>
      <c r="I22623" s="676"/>
      <c r="J22623" s="770"/>
    </row>
    <row r="22624" spans="8:10" x14ac:dyDescent="0.35">
      <c r="H22624" s="676"/>
      <c r="I22624" s="676"/>
      <c r="J22624" s="770"/>
    </row>
    <row r="22625" spans="8:10" x14ac:dyDescent="0.35">
      <c r="H22625" s="676"/>
      <c r="I22625" s="676"/>
      <c r="J22625" s="770"/>
    </row>
    <row r="22626" spans="8:10" x14ac:dyDescent="0.35">
      <c r="H22626" s="676"/>
      <c r="I22626" s="676"/>
      <c r="J22626" s="770"/>
    </row>
    <row r="22627" spans="8:10" x14ac:dyDescent="0.35">
      <c r="H22627" s="676"/>
      <c r="I22627" s="676"/>
      <c r="J22627" s="770"/>
    </row>
    <row r="22628" spans="8:10" x14ac:dyDescent="0.35">
      <c r="H22628" s="676"/>
      <c r="I22628" s="676"/>
      <c r="J22628" s="770"/>
    </row>
    <row r="22629" spans="8:10" x14ac:dyDescent="0.35">
      <c r="H22629" s="676"/>
      <c r="I22629" s="676"/>
      <c r="J22629" s="770"/>
    </row>
    <row r="22630" spans="8:10" x14ac:dyDescent="0.35">
      <c r="H22630" s="676"/>
      <c r="I22630" s="676"/>
      <c r="J22630" s="770"/>
    </row>
    <row r="22631" spans="8:10" x14ac:dyDescent="0.35">
      <c r="H22631" s="676"/>
      <c r="I22631" s="676"/>
      <c r="J22631" s="770"/>
    </row>
    <row r="22632" spans="8:10" x14ac:dyDescent="0.35">
      <c r="H22632" s="676"/>
      <c r="I22632" s="676"/>
      <c r="J22632" s="770"/>
    </row>
    <row r="22633" spans="8:10" x14ac:dyDescent="0.35">
      <c r="H22633" s="676"/>
      <c r="I22633" s="676"/>
      <c r="J22633" s="770"/>
    </row>
    <row r="22634" spans="8:10" x14ac:dyDescent="0.35">
      <c r="H22634" s="676"/>
      <c r="I22634" s="676"/>
      <c r="J22634" s="770"/>
    </row>
    <row r="22635" spans="8:10" x14ac:dyDescent="0.35">
      <c r="H22635" s="676"/>
      <c r="I22635" s="676"/>
      <c r="J22635" s="770"/>
    </row>
    <row r="22636" spans="8:10" x14ac:dyDescent="0.35">
      <c r="H22636" s="676"/>
      <c r="I22636" s="676"/>
      <c r="J22636" s="770"/>
    </row>
    <row r="22637" spans="8:10" x14ac:dyDescent="0.35">
      <c r="H22637" s="676"/>
      <c r="I22637" s="676"/>
      <c r="J22637" s="770"/>
    </row>
    <row r="22638" spans="8:10" x14ac:dyDescent="0.35">
      <c r="H22638" s="676"/>
      <c r="I22638" s="676"/>
      <c r="J22638" s="770"/>
    </row>
    <row r="22639" spans="8:10" x14ac:dyDescent="0.35">
      <c r="H22639" s="676"/>
      <c r="I22639" s="676"/>
      <c r="J22639" s="770"/>
    </row>
    <row r="22640" spans="8:10" x14ac:dyDescent="0.35">
      <c r="H22640" s="676"/>
      <c r="I22640" s="676"/>
      <c r="J22640" s="770"/>
    </row>
    <row r="22641" spans="8:10" x14ac:dyDescent="0.35">
      <c r="H22641" s="676"/>
      <c r="I22641" s="676"/>
      <c r="J22641" s="770"/>
    </row>
    <row r="22642" spans="8:10" x14ac:dyDescent="0.35">
      <c r="H22642" s="676"/>
      <c r="I22642" s="676"/>
      <c r="J22642" s="770"/>
    </row>
    <row r="22643" spans="8:10" x14ac:dyDescent="0.35">
      <c r="H22643" s="676"/>
      <c r="I22643" s="676"/>
      <c r="J22643" s="770"/>
    </row>
    <row r="22644" spans="8:10" x14ac:dyDescent="0.35">
      <c r="H22644" s="676"/>
      <c r="I22644" s="676"/>
      <c r="J22644" s="770"/>
    </row>
    <row r="22645" spans="8:10" x14ac:dyDescent="0.35">
      <c r="H22645" s="676"/>
      <c r="I22645" s="676"/>
      <c r="J22645" s="770"/>
    </row>
    <row r="22646" spans="8:10" x14ac:dyDescent="0.35">
      <c r="H22646" s="676"/>
      <c r="I22646" s="676"/>
      <c r="J22646" s="770"/>
    </row>
    <row r="22647" spans="8:10" x14ac:dyDescent="0.35">
      <c r="H22647" s="676"/>
      <c r="I22647" s="676"/>
      <c r="J22647" s="770"/>
    </row>
    <row r="22648" spans="8:10" x14ac:dyDescent="0.35">
      <c r="H22648" s="676"/>
      <c r="I22648" s="676"/>
      <c r="J22648" s="770"/>
    </row>
    <row r="22649" spans="8:10" x14ac:dyDescent="0.35">
      <c r="H22649" s="676"/>
      <c r="I22649" s="676"/>
      <c r="J22649" s="770"/>
    </row>
    <row r="22650" spans="8:10" x14ac:dyDescent="0.35">
      <c r="H22650" s="676"/>
      <c r="I22650" s="676"/>
      <c r="J22650" s="770"/>
    </row>
    <row r="22651" spans="8:10" x14ac:dyDescent="0.35">
      <c r="H22651" s="676"/>
      <c r="I22651" s="676"/>
      <c r="J22651" s="770"/>
    </row>
    <row r="22652" spans="8:10" x14ac:dyDescent="0.35">
      <c r="H22652" s="676"/>
      <c r="I22652" s="676"/>
      <c r="J22652" s="770"/>
    </row>
    <row r="22653" spans="8:10" x14ac:dyDescent="0.35">
      <c r="H22653" s="676"/>
      <c r="I22653" s="676"/>
      <c r="J22653" s="770"/>
    </row>
    <row r="22654" spans="8:10" x14ac:dyDescent="0.35">
      <c r="H22654" s="676"/>
      <c r="I22654" s="676"/>
      <c r="J22654" s="770"/>
    </row>
    <row r="22655" spans="8:10" x14ac:dyDescent="0.35">
      <c r="H22655" s="676"/>
      <c r="I22655" s="676"/>
      <c r="J22655" s="770"/>
    </row>
    <row r="22656" spans="8:10" x14ac:dyDescent="0.35">
      <c r="H22656" s="676"/>
      <c r="I22656" s="676"/>
      <c r="J22656" s="770"/>
    </row>
    <row r="22657" spans="8:10" x14ac:dyDescent="0.35">
      <c r="H22657" s="676"/>
      <c r="I22657" s="676"/>
      <c r="J22657" s="770"/>
    </row>
    <row r="22658" spans="8:10" x14ac:dyDescent="0.35">
      <c r="H22658" s="676"/>
      <c r="I22658" s="676"/>
      <c r="J22658" s="770"/>
    </row>
    <row r="22659" spans="8:10" x14ac:dyDescent="0.35">
      <c r="H22659" s="676"/>
      <c r="I22659" s="676"/>
      <c r="J22659" s="770"/>
    </row>
    <row r="22660" spans="8:10" x14ac:dyDescent="0.35">
      <c r="H22660" s="676"/>
      <c r="I22660" s="676"/>
      <c r="J22660" s="770"/>
    </row>
    <row r="22661" spans="8:10" x14ac:dyDescent="0.35">
      <c r="H22661" s="676"/>
      <c r="I22661" s="676"/>
      <c r="J22661" s="770"/>
    </row>
    <row r="22662" spans="8:10" x14ac:dyDescent="0.35">
      <c r="H22662" s="676"/>
      <c r="I22662" s="676"/>
      <c r="J22662" s="770"/>
    </row>
    <row r="22663" spans="8:10" x14ac:dyDescent="0.35">
      <c r="H22663" s="676"/>
      <c r="I22663" s="676"/>
      <c r="J22663" s="770"/>
    </row>
    <row r="22664" spans="8:10" x14ac:dyDescent="0.35">
      <c r="H22664" s="676"/>
      <c r="I22664" s="676"/>
      <c r="J22664" s="770"/>
    </row>
    <row r="22665" spans="8:10" x14ac:dyDescent="0.35">
      <c r="H22665" s="676"/>
      <c r="I22665" s="676"/>
      <c r="J22665" s="770"/>
    </row>
    <row r="22666" spans="8:10" x14ac:dyDescent="0.35">
      <c r="H22666" s="676"/>
      <c r="I22666" s="676"/>
      <c r="J22666" s="770"/>
    </row>
    <row r="22667" spans="8:10" x14ac:dyDescent="0.35">
      <c r="H22667" s="676"/>
      <c r="I22667" s="676"/>
      <c r="J22667" s="770"/>
    </row>
    <row r="22668" spans="8:10" x14ac:dyDescent="0.35">
      <c r="H22668" s="676"/>
      <c r="I22668" s="676"/>
      <c r="J22668" s="770"/>
    </row>
    <row r="22669" spans="8:10" x14ac:dyDescent="0.35">
      <c r="H22669" s="676"/>
      <c r="I22669" s="676"/>
      <c r="J22669" s="770"/>
    </row>
    <row r="22670" spans="8:10" x14ac:dyDescent="0.35">
      <c r="H22670" s="676"/>
      <c r="I22670" s="676"/>
      <c r="J22670" s="770"/>
    </row>
    <row r="22671" spans="8:10" x14ac:dyDescent="0.35">
      <c r="H22671" s="676"/>
      <c r="I22671" s="676"/>
      <c r="J22671" s="770"/>
    </row>
    <row r="22672" spans="8:10" x14ac:dyDescent="0.35">
      <c r="H22672" s="676"/>
      <c r="I22672" s="676"/>
      <c r="J22672" s="770"/>
    </row>
    <row r="22673" spans="8:10" x14ac:dyDescent="0.35">
      <c r="H22673" s="676"/>
      <c r="I22673" s="676"/>
      <c r="J22673" s="770"/>
    </row>
    <row r="22674" spans="8:10" x14ac:dyDescent="0.35">
      <c r="H22674" s="676"/>
      <c r="I22674" s="676"/>
      <c r="J22674" s="770"/>
    </row>
    <row r="22675" spans="8:10" x14ac:dyDescent="0.35">
      <c r="H22675" s="676"/>
      <c r="I22675" s="676"/>
      <c r="J22675" s="770"/>
    </row>
    <row r="22676" spans="8:10" x14ac:dyDescent="0.35">
      <c r="H22676" s="676"/>
      <c r="I22676" s="676"/>
      <c r="J22676" s="770"/>
    </row>
    <row r="22677" spans="8:10" x14ac:dyDescent="0.35">
      <c r="H22677" s="676"/>
      <c r="I22677" s="676"/>
      <c r="J22677" s="770"/>
    </row>
    <row r="22678" spans="8:10" x14ac:dyDescent="0.35">
      <c r="H22678" s="676"/>
      <c r="I22678" s="676"/>
      <c r="J22678" s="770"/>
    </row>
    <row r="22679" spans="8:10" x14ac:dyDescent="0.35">
      <c r="H22679" s="676"/>
      <c r="I22679" s="676"/>
      <c r="J22679" s="770"/>
    </row>
    <row r="22680" spans="8:10" x14ac:dyDescent="0.35">
      <c r="H22680" s="676"/>
      <c r="I22680" s="676"/>
      <c r="J22680" s="770"/>
    </row>
    <row r="22681" spans="8:10" x14ac:dyDescent="0.35">
      <c r="H22681" s="676"/>
      <c r="I22681" s="676"/>
      <c r="J22681" s="770"/>
    </row>
    <row r="22682" spans="8:10" x14ac:dyDescent="0.35">
      <c r="H22682" s="676"/>
      <c r="I22682" s="676"/>
      <c r="J22682" s="770"/>
    </row>
    <row r="22683" spans="8:10" x14ac:dyDescent="0.35">
      <c r="H22683" s="676"/>
      <c r="I22683" s="676"/>
      <c r="J22683" s="770"/>
    </row>
    <row r="22684" spans="8:10" x14ac:dyDescent="0.35">
      <c r="H22684" s="676"/>
      <c r="I22684" s="676"/>
      <c r="J22684" s="770"/>
    </row>
    <row r="22685" spans="8:10" x14ac:dyDescent="0.35">
      <c r="H22685" s="676"/>
      <c r="I22685" s="676"/>
      <c r="J22685" s="770"/>
    </row>
    <row r="22686" spans="8:10" x14ac:dyDescent="0.35">
      <c r="H22686" s="676"/>
      <c r="I22686" s="676"/>
      <c r="J22686" s="770"/>
    </row>
    <row r="22687" spans="8:10" x14ac:dyDescent="0.35">
      <c r="H22687" s="676"/>
      <c r="I22687" s="676"/>
      <c r="J22687" s="770"/>
    </row>
    <row r="22688" spans="8:10" x14ac:dyDescent="0.35">
      <c r="H22688" s="676"/>
      <c r="I22688" s="676"/>
      <c r="J22688" s="770"/>
    </row>
    <row r="22689" spans="8:10" x14ac:dyDescent="0.35">
      <c r="H22689" s="676"/>
      <c r="I22689" s="676"/>
      <c r="J22689" s="770"/>
    </row>
    <row r="22690" spans="8:10" x14ac:dyDescent="0.35">
      <c r="H22690" s="676"/>
      <c r="I22690" s="676"/>
      <c r="J22690" s="770"/>
    </row>
    <row r="22691" spans="8:10" x14ac:dyDescent="0.35">
      <c r="H22691" s="676"/>
      <c r="I22691" s="676"/>
      <c r="J22691" s="770"/>
    </row>
    <row r="22692" spans="8:10" x14ac:dyDescent="0.35">
      <c r="H22692" s="676"/>
      <c r="I22692" s="676"/>
      <c r="J22692" s="770"/>
    </row>
    <row r="22693" spans="8:10" x14ac:dyDescent="0.35">
      <c r="H22693" s="676"/>
      <c r="I22693" s="676"/>
      <c r="J22693" s="770"/>
    </row>
    <row r="22694" spans="8:10" x14ac:dyDescent="0.35">
      <c r="H22694" s="676"/>
      <c r="I22694" s="676"/>
      <c r="J22694" s="770"/>
    </row>
    <row r="22695" spans="8:10" x14ac:dyDescent="0.35">
      <c r="H22695" s="676"/>
      <c r="I22695" s="676"/>
      <c r="J22695" s="770"/>
    </row>
    <row r="22696" spans="8:10" x14ac:dyDescent="0.35">
      <c r="H22696" s="676"/>
      <c r="I22696" s="676"/>
      <c r="J22696" s="770"/>
    </row>
    <row r="22697" spans="8:10" x14ac:dyDescent="0.35">
      <c r="H22697" s="676"/>
      <c r="I22697" s="676"/>
      <c r="J22697" s="770"/>
    </row>
    <row r="22698" spans="8:10" x14ac:dyDescent="0.35">
      <c r="H22698" s="676"/>
      <c r="I22698" s="676"/>
      <c r="J22698" s="770"/>
    </row>
    <row r="22699" spans="8:10" x14ac:dyDescent="0.35">
      <c r="H22699" s="676"/>
      <c r="I22699" s="676"/>
      <c r="J22699" s="770"/>
    </row>
    <row r="22700" spans="8:10" x14ac:dyDescent="0.35">
      <c r="H22700" s="676"/>
      <c r="I22700" s="676"/>
      <c r="J22700" s="770"/>
    </row>
    <row r="22701" spans="8:10" x14ac:dyDescent="0.35">
      <c r="H22701" s="676"/>
      <c r="I22701" s="676"/>
      <c r="J22701" s="770"/>
    </row>
    <row r="22702" spans="8:10" x14ac:dyDescent="0.35">
      <c r="H22702" s="676"/>
      <c r="I22702" s="676"/>
      <c r="J22702" s="770"/>
    </row>
    <row r="22703" spans="8:10" x14ac:dyDescent="0.35">
      <c r="H22703" s="676"/>
      <c r="I22703" s="676"/>
      <c r="J22703" s="770"/>
    </row>
    <row r="22704" spans="8:10" x14ac:dyDescent="0.35">
      <c r="H22704" s="676"/>
      <c r="I22704" s="676"/>
      <c r="J22704" s="770"/>
    </row>
    <row r="22705" spans="8:10" x14ac:dyDescent="0.35">
      <c r="H22705" s="676"/>
      <c r="I22705" s="676"/>
      <c r="J22705" s="770"/>
    </row>
    <row r="22706" spans="8:10" x14ac:dyDescent="0.35">
      <c r="H22706" s="676"/>
      <c r="I22706" s="676"/>
      <c r="J22706" s="770"/>
    </row>
    <row r="22707" spans="8:10" x14ac:dyDescent="0.35">
      <c r="H22707" s="676"/>
      <c r="I22707" s="676"/>
      <c r="J22707" s="770"/>
    </row>
    <row r="22708" spans="8:10" x14ac:dyDescent="0.35">
      <c r="H22708" s="676"/>
      <c r="I22708" s="676"/>
      <c r="J22708" s="770"/>
    </row>
    <row r="22709" spans="8:10" x14ac:dyDescent="0.35">
      <c r="H22709" s="676"/>
      <c r="I22709" s="676"/>
      <c r="J22709" s="770"/>
    </row>
    <row r="22710" spans="8:10" x14ac:dyDescent="0.35">
      <c r="H22710" s="676"/>
      <c r="I22710" s="676"/>
      <c r="J22710" s="770"/>
    </row>
    <row r="22711" spans="8:10" x14ac:dyDescent="0.35">
      <c r="H22711" s="676"/>
      <c r="I22711" s="676"/>
      <c r="J22711" s="770"/>
    </row>
    <row r="22712" spans="8:10" x14ac:dyDescent="0.35">
      <c r="H22712" s="676"/>
      <c r="I22712" s="676"/>
      <c r="J22712" s="770"/>
    </row>
    <row r="22713" spans="8:10" x14ac:dyDescent="0.35">
      <c r="H22713" s="676"/>
      <c r="I22713" s="676"/>
      <c r="J22713" s="770"/>
    </row>
    <row r="22714" spans="8:10" x14ac:dyDescent="0.35">
      <c r="H22714" s="676"/>
      <c r="I22714" s="676"/>
      <c r="J22714" s="770"/>
    </row>
    <row r="22715" spans="8:10" x14ac:dyDescent="0.35">
      <c r="H22715" s="676"/>
      <c r="I22715" s="676"/>
      <c r="J22715" s="770"/>
    </row>
    <row r="22716" spans="8:10" x14ac:dyDescent="0.35">
      <c r="H22716" s="676"/>
      <c r="I22716" s="676"/>
      <c r="J22716" s="770"/>
    </row>
    <row r="22717" spans="8:10" x14ac:dyDescent="0.35">
      <c r="H22717" s="676"/>
      <c r="I22717" s="676"/>
      <c r="J22717" s="770"/>
    </row>
    <row r="22718" spans="8:10" x14ac:dyDescent="0.35">
      <c r="H22718" s="676"/>
      <c r="I22718" s="676"/>
      <c r="J22718" s="770"/>
    </row>
    <row r="22719" spans="8:10" x14ac:dyDescent="0.35">
      <c r="H22719" s="676"/>
      <c r="I22719" s="676"/>
      <c r="J22719" s="770"/>
    </row>
    <row r="22720" spans="8:10" x14ac:dyDescent="0.35">
      <c r="H22720" s="676"/>
      <c r="I22720" s="676"/>
      <c r="J22720" s="770"/>
    </row>
    <row r="22721" spans="8:10" x14ac:dyDescent="0.35">
      <c r="H22721" s="676"/>
      <c r="I22721" s="676"/>
      <c r="J22721" s="770"/>
    </row>
    <row r="22722" spans="8:10" x14ac:dyDescent="0.35">
      <c r="H22722" s="676"/>
      <c r="I22722" s="676"/>
      <c r="J22722" s="770"/>
    </row>
    <row r="22723" spans="8:10" x14ac:dyDescent="0.35">
      <c r="H22723" s="676"/>
      <c r="I22723" s="676"/>
      <c r="J22723" s="770"/>
    </row>
    <row r="22724" spans="8:10" x14ac:dyDescent="0.35">
      <c r="H22724" s="676"/>
      <c r="I22724" s="676"/>
      <c r="J22724" s="770"/>
    </row>
    <row r="22725" spans="8:10" x14ac:dyDescent="0.35">
      <c r="H22725" s="676"/>
      <c r="I22725" s="676"/>
      <c r="J22725" s="770"/>
    </row>
    <row r="22726" spans="8:10" x14ac:dyDescent="0.35">
      <c r="H22726" s="676"/>
      <c r="I22726" s="676"/>
      <c r="J22726" s="770"/>
    </row>
    <row r="22727" spans="8:10" x14ac:dyDescent="0.35">
      <c r="H22727" s="676"/>
      <c r="I22727" s="676"/>
      <c r="J22727" s="770"/>
    </row>
    <row r="22728" spans="8:10" x14ac:dyDescent="0.35">
      <c r="H22728" s="676"/>
      <c r="I22728" s="676"/>
      <c r="J22728" s="770"/>
    </row>
    <row r="22729" spans="8:10" x14ac:dyDescent="0.35">
      <c r="H22729" s="676"/>
      <c r="I22729" s="676"/>
      <c r="J22729" s="770"/>
    </row>
    <row r="22730" spans="8:10" x14ac:dyDescent="0.35">
      <c r="H22730" s="676"/>
      <c r="I22730" s="676"/>
      <c r="J22730" s="770"/>
    </row>
    <row r="22731" spans="8:10" x14ac:dyDescent="0.35">
      <c r="H22731" s="676"/>
      <c r="I22731" s="676"/>
      <c r="J22731" s="770"/>
    </row>
    <row r="22732" spans="8:10" x14ac:dyDescent="0.35">
      <c r="H22732" s="676"/>
      <c r="I22732" s="676"/>
      <c r="J22732" s="770"/>
    </row>
    <row r="22733" spans="8:10" x14ac:dyDescent="0.35">
      <c r="H22733" s="676"/>
      <c r="I22733" s="676"/>
      <c r="J22733" s="770"/>
    </row>
    <row r="22734" spans="8:10" x14ac:dyDescent="0.35">
      <c r="H22734" s="676"/>
      <c r="I22734" s="676"/>
      <c r="J22734" s="770"/>
    </row>
    <row r="22735" spans="8:10" x14ac:dyDescent="0.35">
      <c r="H22735" s="676"/>
      <c r="I22735" s="676"/>
      <c r="J22735" s="770"/>
    </row>
    <row r="22736" spans="8:10" x14ac:dyDescent="0.35">
      <c r="H22736" s="676"/>
      <c r="I22736" s="676"/>
      <c r="J22736" s="770"/>
    </row>
    <row r="22737" spans="8:10" x14ac:dyDescent="0.35">
      <c r="H22737" s="676"/>
      <c r="I22737" s="676"/>
      <c r="J22737" s="770"/>
    </row>
    <row r="22738" spans="8:10" x14ac:dyDescent="0.35">
      <c r="H22738" s="676"/>
      <c r="I22738" s="676"/>
      <c r="J22738" s="770"/>
    </row>
    <row r="22739" spans="8:10" x14ac:dyDescent="0.35">
      <c r="H22739" s="676"/>
      <c r="I22739" s="676"/>
      <c r="J22739" s="770"/>
    </row>
    <row r="22740" spans="8:10" x14ac:dyDescent="0.35">
      <c r="H22740" s="676"/>
      <c r="I22740" s="676"/>
      <c r="J22740" s="770"/>
    </row>
    <row r="22741" spans="8:10" x14ac:dyDescent="0.35">
      <c r="H22741" s="676"/>
      <c r="I22741" s="676"/>
      <c r="J22741" s="770"/>
    </row>
    <row r="22742" spans="8:10" x14ac:dyDescent="0.35">
      <c r="H22742" s="676"/>
      <c r="I22742" s="676"/>
      <c r="J22742" s="770"/>
    </row>
    <row r="22743" spans="8:10" x14ac:dyDescent="0.35">
      <c r="H22743" s="676"/>
      <c r="I22743" s="676"/>
      <c r="J22743" s="770"/>
    </row>
    <row r="22744" spans="8:10" x14ac:dyDescent="0.35">
      <c r="H22744" s="676"/>
      <c r="I22744" s="676"/>
      <c r="J22744" s="770"/>
    </row>
    <row r="22745" spans="8:10" x14ac:dyDescent="0.35">
      <c r="H22745" s="676"/>
      <c r="I22745" s="676"/>
      <c r="J22745" s="770"/>
    </row>
    <row r="22746" spans="8:10" x14ac:dyDescent="0.35">
      <c r="H22746" s="676"/>
      <c r="I22746" s="676"/>
      <c r="J22746" s="770"/>
    </row>
    <row r="22747" spans="8:10" x14ac:dyDescent="0.35">
      <c r="H22747" s="676"/>
      <c r="I22747" s="676"/>
      <c r="J22747" s="770"/>
    </row>
    <row r="22748" spans="8:10" x14ac:dyDescent="0.35">
      <c r="H22748" s="676"/>
      <c r="I22748" s="676"/>
      <c r="J22748" s="770"/>
    </row>
    <row r="22749" spans="8:10" x14ac:dyDescent="0.35">
      <c r="H22749" s="676"/>
      <c r="I22749" s="676"/>
      <c r="J22749" s="770"/>
    </row>
    <row r="22750" spans="8:10" x14ac:dyDescent="0.35">
      <c r="H22750" s="676"/>
      <c r="I22750" s="676"/>
      <c r="J22750" s="770"/>
    </row>
    <row r="22751" spans="8:10" x14ac:dyDescent="0.35">
      <c r="H22751" s="676"/>
      <c r="I22751" s="676"/>
      <c r="J22751" s="770"/>
    </row>
    <row r="22752" spans="8:10" x14ac:dyDescent="0.35">
      <c r="H22752" s="676"/>
      <c r="I22752" s="676"/>
      <c r="J22752" s="770"/>
    </row>
    <row r="22753" spans="8:10" x14ac:dyDescent="0.35">
      <c r="H22753" s="676"/>
      <c r="I22753" s="676"/>
      <c r="J22753" s="770"/>
    </row>
    <row r="22754" spans="8:10" x14ac:dyDescent="0.35">
      <c r="H22754" s="676"/>
      <c r="I22754" s="676"/>
      <c r="J22754" s="770"/>
    </row>
    <row r="22755" spans="8:10" x14ac:dyDescent="0.35">
      <c r="H22755" s="676"/>
      <c r="I22755" s="676"/>
      <c r="J22755" s="770"/>
    </row>
    <row r="22756" spans="8:10" x14ac:dyDescent="0.35">
      <c r="H22756" s="676"/>
      <c r="I22756" s="676"/>
      <c r="J22756" s="770"/>
    </row>
    <row r="22757" spans="8:10" x14ac:dyDescent="0.35">
      <c r="H22757" s="676"/>
      <c r="I22757" s="676"/>
      <c r="J22757" s="770"/>
    </row>
    <row r="22758" spans="8:10" x14ac:dyDescent="0.35">
      <c r="H22758" s="676"/>
      <c r="I22758" s="676"/>
      <c r="J22758" s="770"/>
    </row>
    <row r="22759" spans="8:10" x14ac:dyDescent="0.35">
      <c r="H22759" s="676"/>
      <c r="I22759" s="676"/>
      <c r="J22759" s="770"/>
    </row>
    <row r="22760" spans="8:10" x14ac:dyDescent="0.35">
      <c r="H22760" s="676"/>
      <c r="I22760" s="676"/>
      <c r="J22760" s="770"/>
    </row>
    <row r="22761" spans="8:10" x14ac:dyDescent="0.35">
      <c r="H22761" s="676"/>
      <c r="I22761" s="676"/>
      <c r="J22761" s="770"/>
    </row>
    <row r="22762" spans="8:10" x14ac:dyDescent="0.35">
      <c r="H22762" s="676"/>
      <c r="I22762" s="676"/>
      <c r="J22762" s="770"/>
    </row>
    <row r="22763" spans="8:10" x14ac:dyDescent="0.35">
      <c r="H22763" s="676"/>
      <c r="I22763" s="676"/>
      <c r="J22763" s="770"/>
    </row>
    <row r="22764" spans="8:10" x14ac:dyDescent="0.35">
      <c r="H22764" s="676"/>
      <c r="I22764" s="676"/>
      <c r="J22764" s="770"/>
    </row>
    <row r="22765" spans="8:10" x14ac:dyDescent="0.35">
      <c r="H22765" s="676"/>
      <c r="I22765" s="676"/>
      <c r="J22765" s="770"/>
    </row>
    <row r="22766" spans="8:10" x14ac:dyDescent="0.35">
      <c r="H22766" s="676"/>
      <c r="I22766" s="676"/>
      <c r="J22766" s="770"/>
    </row>
    <row r="22767" spans="8:10" x14ac:dyDescent="0.35">
      <c r="H22767" s="676"/>
      <c r="I22767" s="676"/>
      <c r="J22767" s="770"/>
    </row>
    <row r="22768" spans="8:10" x14ac:dyDescent="0.35">
      <c r="H22768" s="676"/>
      <c r="I22768" s="676"/>
      <c r="J22768" s="770"/>
    </row>
    <row r="22769" spans="8:10" x14ac:dyDescent="0.35">
      <c r="H22769" s="676"/>
      <c r="I22769" s="676"/>
      <c r="J22769" s="770"/>
    </row>
    <row r="22770" spans="8:10" x14ac:dyDescent="0.35">
      <c r="H22770" s="676"/>
      <c r="I22770" s="676"/>
      <c r="J22770" s="770"/>
    </row>
    <row r="22771" spans="8:10" x14ac:dyDescent="0.35">
      <c r="H22771" s="676"/>
      <c r="I22771" s="676"/>
      <c r="J22771" s="770"/>
    </row>
    <row r="22772" spans="8:10" x14ac:dyDescent="0.35">
      <c r="H22772" s="676"/>
      <c r="I22772" s="676"/>
      <c r="J22772" s="770"/>
    </row>
    <row r="22773" spans="8:10" x14ac:dyDescent="0.35">
      <c r="H22773" s="676"/>
      <c r="I22773" s="676"/>
      <c r="J22773" s="770"/>
    </row>
    <row r="22774" spans="8:10" x14ac:dyDescent="0.35">
      <c r="H22774" s="676"/>
      <c r="I22774" s="676"/>
      <c r="J22774" s="770"/>
    </row>
    <row r="22775" spans="8:10" x14ac:dyDescent="0.35">
      <c r="H22775" s="676"/>
      <c r="I22775" s="676"/>
      <c r="J22775" s="770"/>
    </row>
    <row r="22776" spans="8:10" x14ac:dyDescent="0.35">
      <c r="H22776" s="676"/>
      <c r="I22776" s="676"/>
      <c r="J22776" s="770"/>
    </row>
    <row r="22777" spans="8:10" x14ac:dyDescent="0.35">
      <c r="H22777" s="676"/>
      <c r="I22777" s="676"/>
      <c r="J22777" s="770"/>
    </row>
    <row r="22778" spans="8:10" x14ac:dyDescent="0.35">
      <c r="H22778" s="676"/>
      <c r="I22778" s="676"/>
      <c r="J22778" s="770"/>
    </row>
    <row r="22779" spans="8:10" x14ac:dyDescent="0.35">
      <c r="H22779" s="676"/>
      <c r="I22779" s="676"/>
      <c r="J22779" s="770"/>
    </row>
    <row r="22780" spans="8:10" x14ac:dyDescent="0.35">
      <c r="H22780" s="676"/>
      <c r="I22780" s="676"/>
      <c r="J22780" s="770"/>
    </row>
    <row r="22781" spans="8:10" x14ac:dyDescent="0.35">
      <c r="H22781" s="676"/>
      <c r="I22781" s="676"/>
      <c r="J22781" s="770"/>
    </row>
    <row r="22782" spans="8:10" x14ac:dyDescent="0.35">
      <c r="H22782" s="676"/>
      <c r="I22782" s="676"/>
      <c r="J22782" s="770"/>
    </row>
    <row r="22783" spans="8:10" x14ac:dyDescent="0.35">
      <c r="H22783" s="676"/>
      <c r="I22783" s="676"/>
      <c r="J22783" s="770"/>
    </row>
    <row r="22784" spans="8:10" x14ac:dyDescent="0.35">
      <c r="H22784" s="676"/>
      <c r="I22784" s="676"/>
      <c r="J22784" s="770"/>
    </row>
    <row r="22785" spans="8:10" x14ac:dyDescent="0.35">
      <c r="H22785" s="676"/>
      <c r="I22785" s="676"/>
      <c r="J22785" s="770"/>
    </row>
    <row r="22786" spans="8:10" x14ac:dyDescent="0.35">
      <c r="H22786" s="676"/>
      <c r="I22786" s="676"/>
      <c r="J22786" s="770"/>
    </row>
    <row r="22787" spans="8:10" x14ac:dyDescent="0.35">
      <c r="H22787" s="676"/>
      <c r="I22787" s="676"/>
      <c r="J22787" s="770"/>
    </row>
    <row r="22788" spans="8:10" x14ac:dyDescent="0.35">
      <c r="H22788" s="676"/>
      <c r="I22788" s="676"/>
      <c r="J22788" s="770"/>
    </row>
    <row r="22789" spans="8:10" x14ac:dyDescent="0.35">
      <c r="H22789" s="676"/>
      <c r="I22789" s="676"/>
      <c r="J22789" s="770"/>
    </row>
    <row r="22790" spans="8:10" x14ac:dyDescent="0.35">
      <c r="H22790" s="676"/>
      <c r="I22790" s="676"/>
      <c r="J22790" s="770"/>
    </row>
    <row r="22791" spans="8:10" x14ac:dyDescent="0.35">
      <c r="H22791" s="676"/>
      <c r="I22791" s="676"/>
      <c r="J22791" s="770"/>
    </row>
    <row r="22792" spans="8:10" x14ac:dyDescent="0.35">
      <c r="H22792" s="676"/>
      <c r="I22792" s="676"/>
      <c r="J22792" s="770"/>
    </row>
    <row r="22793" spans="8:10" x14ac:dyDescent="0.35">
      <c r="H22793" s="676"/>
      <c r="I22793" s="676"/>
      <c r="J22793" s="770"/>
    </row>
    <row r="22794" spans="8:10" x14ac:dyDescent="0.35">
      <c r="H22794" s="676"/>
      <c r="I22794" s="676"/>
      <c r="J22794" s="770"/>
    </row>
    <row r="22795" spans="8:10" x14ac:dyDescent="0.35">
      <c r="H22795" s="676"/>
      <c r="I22795" s="676"/>
      <c r="J22795" s="770"/>
    </row>
    <row r="22796" spans="8:10" x14ac:dyDescent="0.35">
      <c r="H22796" s="676"/>
      <c r="I22796" s="676"/>
      <c r="J22796" s="770"/>
    </row>
    <row r="22797" spans="8:10" x14ac:dyDescent="0.35">
      <c r="H22797" s="676"/>
      <c r="I22797" s="676"/>
      <c r="J22797" s="770"/>
    </row>
    <row r="22798" spans="8:10" x14ac:dyDescent="0.35">
      <c r="H22798" s="676"/>
      <c r="I22798" s="676"/>
      <c r="J22798" s="770"/>
    </row>
    <row r="22799" spans="8:10" x14ac:dyDescent="0.35">
      <c r="H22799" s="676"/>
      <c r="I22799" s="676"/>
      <c r="J22799" s="770"/>
    </row>
    <row r="22800" spans="8:10" x14ac:dyDescent="0.35">
      <c r="H22800" s="676"/>
      <c r="I22800" s="676"/>
      <c r="J22800" s="770"/>
    </row>
    <row r="22801" spans="8:10" x14ac:dyDescent="0.35">
      <c r="H22801" s="676"/>
      <c r="I22801" s="676"/>
      <c r="J22801" s="770"/>
    </row>
    <row r="22802" spans="8:10" x14ac:dyDescent="0.35">
      <c r="H22802" s="676"/>
      <c r="I22802" s="676"/>
      <c r="J22802" s="770"/>
    </row>
    <row r="22803" spans="8:10" x14ac:dyDescent="0.35">
      <c r="H22803" s="676"/>
      <c r="I22803" s="676"/>
      <c r="J22803" s="770"/>
    </row>
    <row r="22804" spans="8:10" x14ac:dyDescent="0.35">
      <c r="H22804" s="676"/>
      <c r="I22804" s="676"/>
      <c r="J22804" s="770"/>
    </row>
    <row r="22805" spans="8:10" x14ac:dyDescent="0.35">
      <c r="H22805" s="676"/>
      <c r="I22805" s="676"/>
      <c r="J22805" s="770"/>
    </row>
    <row r="22806" spans="8:10" x14ac:dyDescent="0.35">
      <c r="H22806" s="676"/>
      <c r="I22806" s="676"/>
      <c r="J22806" s="770"/>
    </row>
    <row r="22807" spans="8:10" x14ac:dyDescent="0.35">
      <c r="H22807" s="676"/>
      <c r="I22807" s="676"/>
      <c r="J22807" s="770"/>
    </row>
    <row r="22808" spans="8:10" x14ac:dyDescent="0.35">
      <c r="H22808" s="676"/>
      <c r="I22808" s="676"/>
      <c r="J22808" s="770"/>
    </row>
    <row r="22809" spans="8:10" x14ac:dyDescent="0.35">
      <c r="H22809" s="676"/>
      <c r="I22809" s="676"/>
      <c r="J22809" s="770"/>
    </row>
    <row r="22810" spans="8:10" x14ac:dyDescent="0.35">
      <c r="H22810" s="676"/>
      <c r="I22810" s="676"/>
      <c r="J22810" s="770"/>
    </row>
    <row r="22811" spans="8:10" x14ac:dyDescent="0.35">
      <c r="H22811" s="676"/>
      <c r="I22811" s="676"/>
      <c r="J22811" s="770"/>
    </row>
    <row r="22812" spans="8:10" x14ac:dyDescent="0.35">
      <c r="H22812" s="676"/>
      <c r="I22812" s="676"/>
      <c r="J22812" s="770"/>
    </row>
    <row r="22813" spans="8:10" x14ac:dyDescent="0.35">
      <c r="H22813" s="676"/>
      <c r="I22813" s="676"/>
      <c r="J22813" s="770"/>
    </row>
    <row r="22814" spans="8:10" x14ac:dyDescent="0.35">
      <c r="H22814" s="676"/>
      <c r="I22814" s="676"/>
      <c r="J22814" s="770"/>
    </row>
    <row r="22815" spans="8:10" x14ac:dyDescent="0.35">
      <c r="H22815" s="676"/>
      <c r="I22815" s="676"/>
      <c r="J22815" s="770"/>
    </row>
    <row r="22816" spans="8:10" x14ac:dyDescent="0.35">
      <c r="H22816" s="676"/>
      <c r="I22816" s="676"/>
      <c r="J22816" s="770"/>
    </row>
    <row r="22817" spans="8:10" x14ac:dyDescent="0.35">
      <c r="H22817" s="676"/>
      <c r="I22817" s="676"/>
      <c r="J22817" s="770"/>
    </row>
    <row r="22818" spans="8:10" x14ac:dyDescent="0.35">
      <c r="H22818" s="676"/>
      <c r="I22818" s="676"/>
      <c r="J22818" s="770"/>
    </row>
    <row r="22819" spans="8:10" x14ac:dyDescent="0.35">
      <c r="H22819" s="676"/>
      <c r="I22819" s="676"/>
      <c r="J22819" s="770"/>
    </row>
    <row r="22820" spans="8:10" x14ac:dyDescent="0.35">
      <c r="H22820" s="676"/>
      <c r="I22820" s="676"/>
      <c r="J22820" s="770"/>
    </row>
    <row r="22821" spans="8:10" x14ac:dyDescent="0.35">
      <c r="H22821" s="676"/>
      <c r="I22821" s="676"/>
      <c r="J22821" s="770"/>
    </row>
    <row r="22822" spans="8:10" x14ac:dyDescent="0.35">
      <c r="H22822" s="676"/>
      <c r="I22822" s="676"/>
      <c r="J22822" s="770"/>
    </row>
    <row r="22823" spans="8:10" x14ac:dyDescent="0.35">
      <c r="H22823" s="676"/>
      <c r="I22823" s="676"/>
      <c r="J22823" s="770"/>
    </row>
    <row r="22824" spans="8:10" x14ac:dyDescent="0.35">
      <c r="H22824" s="676"/>
      <c r="I22824" s="676"/>
      <c r="J22824" s="770"/>
    </row>
    <row r="22825" spans="8:10" x14ac:dyDescent="0.35">
      <c r="H22825" s="676"/>
      <c r="I22825" s="676"/>
      <c r="J22825" s="770"/>
    </row>
    <row r="22826" spans="8:10" x14ac:dyDescent="0.35">
      <c r="H22826" s="676"/>
      <c r="I22826" s="676"/>
      <c r="J22826" s="770"/>
    </row>
    <row r="22827" spans="8:10" x14ac:dyDescent="0.35">
      <c r="H22827" s="676"/>
      <c r="I22827" s="676"/>
      <c r="J22827" s="770"/>
    </row>
    <row r="22828" spans="8:10" x14ac:dyDescent="0.35">
      <c r="H22828" s="676"/>
      <c r="I22828" s="676"/>
      <c r="J22828" s="770"/>
    </row>
    <row r="22829" spans="8:10" x14ac:dyDescent="0.35">
      <c r="H22829" s="676"/>
      <c r="I22829" s="676"/>
      <c r="J22829" s="770"/>
    </row>
    <row r="22830" spans="8:10" x14ac:dyDescent="0.35">
      <c r="H22830" s="676"/>
      <c r="I22830" s="676"/>
      <c r="J22830" s="770"/>
    </row>
    <row r="22831" spans="8:10" x14ac:dyDescent="0.35">
      <c r="H22831" s="676"/>
      <c r="I22831" s="676"/>
      <c r="J22831" s="770"/>
    </row>
    <row r="22832" spans="8:10" x14ac:dyDescent="0.35">
      <c r="H22832" s="676"/>
      <c r="I22832" s="676"/>
      <c r="J22832" s="770"/>
    </row>
    <row r="22833" spans="8:10" x14ac:dyDescent="0.35">
      <c r="H22833" s="676"/>
      <c r="I22833" s="676"/>
      <c r="J22833" s="770"/>
    </row>
    <row r="22834" spans="8:10" x14ac:dyDescent="0.35">
      <c r="H22834" s="676"/>
      <c r="I22834" s="676"/>
      <c r="J22834" s="770"/>
    </row>
    <row r="22835" spans="8:10" x14ac:dyDescent="0.35">
      <c r="H22835" s="676"/>
      <c r="I22835" s="676"/>
      <c r="J22835" s="770"/>
    </row>
    <row r="22836" spans="8:10" x14ac:dyDescent="0.35">
      <c r="H22836" s="676"/>
      <c r="I22836" s="676"/>
      <c r="J22836" s="770"/>
    </row>
    <row r="22837" spans="8:10" x14ac:dyDescent="0.35">
      <c r="H22837" s="676"/>
      <c r="I22837" s="676"/>
      <c r="J22837" s="770"/>
    </row>
    <row r="22838" spans="8:10" x14ac:dyDescent="0.35">
      <c r="H22838" s="676"/>
      <c r="I22838" s="676"/>
      <c r="J22838" s="770"/>
    </row>
    <row r="22839" spans="8:10" x14ac:dyDescent="0.35">
      <c r="H22839" s="676"/>
      <c r="I22839" s="676"/>
      <c r="J22839" s="770"/>
    </row>
    <row r="22840" spans="8:10" x14ac:dyDescent="0.35">
      <c r="H22840" s="676"/>
      <c r="I22840" s="676"/>
      <c r="J22840" s="770"/>
    </row>
    <row r="22841" spans="8:10" x14ac:dyDescent="0.35">
      <c r="H22841" s="676"/>
      <c r="I22841" s="676"/>
      <c r="J22841" s="770"/>
    </row>
    <row r="22842" spans="8:10" x14ac:dyDescent="0.35">
      <c r="H22842" s="676"/>
      <c r="I22842" s="676"/>
      <c r="J22842" s="770"/>
    </row>
    <row r="22843" spans="8:10" x14ac:dyDescent="0.35">
      <c r="H22843" s="676"/>
      <c r="I22843" s="676"/>
      <c r="J22843" s="770"/>
    </row>
    <row r="22844" spans="8:10" x14ac:dyDescent="0.35">
      <c r="H22844" s="676"/>
      <c r="I22844" s="676"/>
      <c r="J22844" s="770"/>
    </row>
    <row r="22845" spans="8:10" x14ac:dyDescent="0.35">
      <c r="H22845" s="676"/>
      <c r="I22845" s="676"/>
      <c r="J22845" s="770"/>
    </row>
    <row r="22846" spans="8:10" x14ac:dyDescent="0.35">
      <c r="H22846" s="676"/>
      <c r="I22846" s="676"/>
      <c r="J22846" s="770"/>
    </row>
    <row r="22847" spans="8:10" x14ac:dyDescent="0.35">
      <c r="H22847" s="676"/>
      <c r="I22847" s="676"/>
      <c r="J22847" s="770"/>
    </row>
    <row r="22848" spans="8:10" x14ac:dyDescent="0.35">
      <c r="H22848" s="676"/>
      <c r="I22848" s="676"/>
      <c r="J22848" s="770"/>
    </row>
    <row r="22849" spans="8:10" x14ac:dyDescent="0.35">
      <c r="H22849" s="676"/>
      <c r="I22849" s="676"/>
      <c r="J22849" s="770"/>
    </row>
    <row r="22850" spans="8:10" x14ac:dyDescent="0.35">
      <c r="H22850" s="676"/>
      <c r="I22850" s="676"/>
      <c r="J22850" s="770"/>
    </row>
    <row r="22851" spans="8:10" x14ac:dyDescent="0.35">
      <c r="H22851" s="676"/>
      <c r="I22851" s="676"/>
      <c r="J22851" s="770"/>
    </row>
    <row r="22852" spans="8:10" x14ac:dyDescent="0.35">
      <c r="H22852" s="676"/>
      <c r="I22852" s="676"/>
      <c r="J22852" s="770"/>
    </row>
    <row r="22853" spans="8:10" x14ac:dyDescent="0.35">
      <c r="H22853" s="676"/>
      <c r="I22853" s="676"/>
      <c r="J22853" s="770"/>
    </row>
    <row r="22854" spans="8:10" x14ac:dyDescent="0.35">
      <c r="H22854" s="676"/>
      <c r="I22854" s="676"/>
      <c r="J22854" s="770"/>
    </row>
    <row r="22855" spans="8:10" x14ac:dyDescent="0.35">
      <c r="H22855" s="676"/>
      <c r="I22855" s="676"/>
      <c r="J22855" s="770"/>
    </row>
    <row r="22856" spans="8:10" x14ac:dyDescent="0.35">
      <c r="H22856" s="676"/>
      <c r="I22856" s="676"/>
      <c r="J22856" s="770"/>
    </row>
    <row r="22857" spans="8:10" x14ac:dyDescent="0.35">
      <c r="H22857" s="676"/>
      <c r="I22857" s="676"/>
      <c r="J22857" s="770"/>
    </row>
    <row r="22858" spans="8:10" x14ac:dyDescent="0.35">
      <c r="H22858" s="676"/>
      <c r="I22858" s="676"/>
      <c r="J22858" s="770"/>
    </row>
    <row r="22859" spans="8:10" x14ac:dyDescent="0.35">
      <c r="H22859" s="676"/>
      <c r="I22859" s="676"/>
      <c r="J22859" s="770"/>
    </row>
    <row r="22860" spans="8:10" x14ac:dyDescent="0.35">
      <c r="H22860" s="676"/>
      <c r="I22860" s="676"/>
      <c r="J22860" s="770"/>
    </row>
    <row r="22861" spans="8:10" x14ac:dyDescent="0.35">
      <c r="H22861" s="676"/>
      <c r="I22861" s="676"/>
      <c r="J22861" s="770"/>
    </row>
    <row r="22862" spans="8:10" x14ac:dyDescent="0.35">
      <c r="H22862" s="676"/>
      <c r="I22862" s="676"/>
      <c r="J22862" s="770"/>
    </row>
    <row r="22863" spans="8:10" x14ac:dyDescent="0.35">
      <c r="H22863" s="676"/>
      <c r="I22863" s="676"/>
      <c r="J22863" s="770"/>
    </row>
    <row r="22864" spans="8:10" x14ac:dyDescent="0.35">
      <c r="H22864" s="676"/>
      <c r="I22864" s="676"/>
      <c r="J22864" s="770"/>
    </row>
    <row r="22865" spans="8:10" x14ac:dyDescent="0.35">
      <c r="H22865" s="676"/>
      <c r="I22865" s="676"/>
      <c r="J22865" s="770"/>
    </row>
    <row r="22866" spans="8:10" x14ac:dyDescent="0.35">
      <c r="H22866" s="676"/>
      <c r="I22866" s="676"/>
      <c r="J22866" s="770"/>
    </row>
    <row r="22867" spans="8:10" x14ac:dyDescent="0.35">
      <c r="H22867" s="676"/>
      <c r="I22867" s="676"/>
      <c r="J22867" s="770"/>
    </row>
    <row r="22868" spans="8:10" x14ac:dyDescent="0.35">
      <c r="H22868" s="676"/>
      <c r="I22868" s="676"/>
      <c r="J22868" s="770"/>
    </row>
    <row r="22869" spans="8:10" x14ac:dyDescent="0.35">
      <c r="H22869" s="676"/>
      <c r="I22869" s="676"/>
      <c r="J22869" s="770"/>
    </row>
    <row r="22870" spans="8:10" x14ac:dyDescent="0.35">
      <c r="H22870" s="676"/>
      <c r="I22870" s="676"/>
      <c r="J22870" s="770"/>
    </row>
    <row r="22871" spans="8:10" x14ac:dyDescent="0.35">
      <c r="H22871" s="676"/>
      <c r="I22871" s="676"/>
      <c r="J22871" s="770"/>
    </row>
    <row r="22872" spans="8:10" x14ac:dyDescent="0.35">
      <c r="H22872" s="676"/>
      <c r="I22872" s="676"/>
      <c r="J22872" s="770"/>
    </row>
    <row r="22873" spans="8:10" x14ac:dyDescent="0.35">
      <c r="H22873" s="676"/>
      <c r="I22873" s="676"/>
      <c r="J22873" s="770"/>
    </row>
    <row r="22874" spans="8:10" x14ac:dyDescent="0.35">
      <c r="H22874" s="676"/>
      <c r="I22874" s="676"/>
      <c r="J22874" s="770"/>
    </row>
    <row r="22875" spans="8:10" x14ac:dyDescent="0.35">
      <c r="H22875" s="676"/>
      <c r="I22875" s="676"/>
      <c r="J22875" s="770"/>
    </row>
    <row r="22876" spans="8:10" x14ac:dyDescent="0.35">
      <c r="H22876" s="676"/>
      <c r="I22876" s="676"/>
      <c r="J22876" s="770"/>
    </row>
    <row r="22877" spans="8:10" x14ac:dyDescent="0.35">
      <c r="H22877" s="676"/>
      <c r="I22877" s="676"/>
      <c r="J22877" s="770"/>
    </row>
    <row r="22878" spans="8:10" x14ac:dyDescent="0.35">
      <c r="H22878" s="676"/>
      <c r="I22878" s="676"/>
      <c r="J22878" s="770"/>
    </row>
    <row r="22879" spans="8:10" x14ac:dyDescent="0.35">
      <c r="H22879" s="676"/>
      <c r="I22879" s="676"/>
      <c r="J22879" s="770"/>
    </row>
    <row r="22880" spans="8:10" x14ac:dyDescent="0.35">
      <c r="H22880" s="676"/>
      <c r="I22880" s="676"/>
      <c r="J22880" s="770"/>
    </row>
    <row r="22881" spans="8:10" x14ac:dyDescent="0.35">
      <c r="H22881" s="676"/>
      <c r="I22881" s="676"/>
      <c r="J22881" s="770"/>
    </row>
    <row r="22882" spans="8:10" x14ac:dyDescent="0.35">
      <c r="H22882" s="676"/>
      <c r="I22882" s="676"/>
      <c r="J22882" s="770"/>
    </row>
    <row r="22883" spans="8:10" x14ac:dyDescent="0.35">
      <c r="H22883" s="676"/>
      <c r="I22883" s="676"/>
      <c r="J22883" s="770"/>
    </row>
    <row r="22884" spans="8:10" x14ac:dyDescent="0.35">
      <c r="H22884" s="676"/>
      <c r="I22884" s="676"/>
      <c r="J22884" s="770"/>
    </row>
    <row r="22885" spans="8:10" x14ac:dyDescent="0.35">
      <c r="H22885" s="676"/>
      <c r="I22885" s="676"/>
      <c r="J22885" s="770"/>
    </row>
    <row r="22886" spans="8:10" x14ac:dyDescent="0.35">
      <c r="H22886" s="676"/>
      <c r="I22886" s="676"/>
      <c r="J22886" s="770"/>
    </row>
    <row r="22887" spans="8:10" x14ac:dyDescent="0.35">
      <c r="H22887" s="676"/>
      <c r="I22887" s="676"/>
      <c r="J22887" s="770"/>
    </row>
    <row r="22888" spans="8:10" x14ac:dyDescent="0.35">
      <c r="H22888" s="676"/>
      <c r="I22888" s="676"/>
      <c r="J22888" s="770"/>
    </row>
    <row r="22889" spans="8:10" x14ac:dyDescent="0.35">
      <c r="H22889" s="676"/>
      <c r="I22889" s="676"/>
      <c r="J22889" s="770"/>
    </row>
    <row r="22890" spans="8:10" x14ac:dyDescent="0.35">
      <c r="H22890" s="676"/>
      <c r="I22890" s="676"/>
      <c r="J22890" s="770"/>
    </row>
    <row r="22891" spans="8:10" x14ac:dyDescent="0.35">
      <c r="H22891" s="676"/>
      <c r="I22891" s="676"/>
      <c r="J22891" s="770"/>
    </row>
    <row r="22892" spans="8:10" x14ac:dyDescent="0.35">
      <c r="H22892" s="676"/>
      <c r="I22892" s="676"/>
      <c r="J22892" s="770"/>
    </row>
    <row r="22893" spans="8:10" x14ac:dyDescent="0.35">
      <c r="H22893" s="676"/>
      <c r="I22893" s="676"/>
      <c r="J22893" s="770"/>
    </row>
    <row r="22894" spans="8:10" x14ac:dyDescent="0.35">
      <c r="H22894" s="676"/>
      <c r="I22894" s="676"/>
      <c r="J22894" s="770"/>
    </row>
    <row r="22895" spans="8:10" x14ac:dyDescent="0.35">
      <c r="H22895" s="676"/>
      <c r="I22895" s="676"/>
      <c r="J22895" s="770"/>
    </row>
    <row r="22896" spans="8:10" x14ac:dyDescent="0.35">
      <c r="H22896" s="676"/>
      <c r="I22896" s="676"/>
      <c r="J22896" s="770"/>
    </row>
    <row r="22897" spans="8:10" x14ac:dyDescent="0.35">
      <c r="H22897" s="676"/>
      <c r="I22897" s="676"/>
      <c r="J22897" s="770"/>
    </row>
    <row r="22898" spans="8:10" x14ac:dyDescent="0.35">
      <c r="H22898" s="676"/>
      <c r="I22898" s="676"/>
      <c r="J22898" s="770"/>
    </row>
    <row r="22899" spans="8:10" x14ac:dyDescent="0.35">
      <c r="H22899" s="676"/>
      <c r="I22899" s="676"/>
      <c r="J22899" s="770"/>
    </row>
    <row r="22900" spans="8:10" x14ac:dyDescent="0.35">
      <c r="H22900" s="676"/>
      <c r="I22900" s="676"/>
      <c r="J22900" s="770"/>
    </row>
    <row r="22901" spans="8:10" x14ac:dyDescent="0.35">
      <c r="H22901" s="676"/>
      <c r="I22901" s="676"/>
      <c r="J22901" s="770"/>
    </row>
    <row r="22902" spans="8:10" x14ac:dyDescent="0.35">
      <c r="H22902" s="676"/>
      <c r="I22902" s="676"/>
      <c r="J22902" s="770"/>
    </row>
    <row r="22903" spans="8:10" x14ac:dyDescent="0.35">
      <c r="H22903" s="676"/>
      <c r="I22903" s="676"/>
      <c r="J22903" s="770"/>
    </row>
    <row r="22904" spans="8:10" x14ac:dyDescent="0.35">
      <c r="H22904" s="676"/>
      <c r="I22904" s="676"/>
      <c r="J22904" s="770"/>
    </row>
    <row r="22905" spans="8:10" x14ac:dyDescent="0.35">
      <c r="H22905" s="676"/>
      <c r="I22905" s="676"/>
      <c r="J22905" s="770"/>
    </row>
    <row r="22906" spans="8:10" x14ac:dyDescent="0.35">
      <c r="H22906" s="676"/>
      <c r="I22906" s="676"/>
      <c r="J22906" s="770"/>
    </row>
    <row r="22907" spans="8:10" x14ac:dyDescent="0.35">
      <c r="H22907" s="676"/>
      <c r="I22907" s="676"/>
      <c r="J22907" s="770"/>
    </row>
    <row r="22908" spans="8:10" x14ac:dyDescent="0.35">
      <c r="H22908" s="676"/>
      <c r="I22908" s="676"/>
      <c r="J22908" s="770"/>
    </row>
    <row r="22909" spans="8:10" x14ac:dyDescent="0.35">
      <c r="H22909" s="676"/>
      <c r="I22909" s="676"/>
      <c r="J22909" s="770"/>
    </row>
    <row r="22910" spans="8:10" x14ac:dyDescent="0.35">
      <c r="H22910" s="676"/>
      <c r="I22910" s="676"/>
      <c r="J22910" s="770"/>
    </row>
    <row r="22911" spans="8:10" x14ac:dyDescent="0.35">
      <c r="H22911" s="676"/>
      <c r="I22911" s="676"/>
      <c r="J22911" s="770"/>
    </row>
    <row r="22912" spans="8:10" x14ac:dyDescent="0.35">
      <c r="H22912" s="676"/>
      <c r="I22912" s="676"/>
      <c r="J22912" s="770"/>
    </row>
    <row r="22913" spans="8:10" x14ac:dyDescent="0.35">
      <c r="H22913" s="676"/>
      <c r="I22913" s="676"/>
      <c r="J22913" s="770"/>
    </row>
    <row r="22914" spans="8:10" x14ac:dyDescent="0.35">
      <c r="H22914" s="676"/>
      <c r="I22914" s="676"/>
      <c r="J22914" s="770"/>
    </row>
    <row r="22915" spans="8:10" x14ac:dyDescent="0.35">
      <c r="H22915" s="676"/>
      <c r="I22915" s="676"/>
      <c r="J22915" s="770"/>
    </row>
    <row r="22916" spans="8:10" x14ac:dyDescent="0.35">
      <c r="H22916" s="676"/>
      <c r="I22916" s="676"/>
      <c r="J22916" s="770"/>
    </row>
    <row r="22917" spans="8:10" x14ac:dyDescent="0.35">
      <c r="H22917" s="676"/>
      <c r="I22917" s="676"/>
      <c r="J22917" s="770"/>
    </row>
    <row r="22918" spans="8:10" x14ac:dyDescent="0.35">
      <c r="H22918" s="676"/>
      <c r="I22918" s="676"/>
      <c r="J22918" s="770"/>
    </row>
    <row r="22919" spans="8:10" x14ac:dyDescent="0.35">
      <c r="H22919" s="676"/>
      <c r="I22919" s="676"/>
      <c r="J22919" s="770"/>
    </row>
    <row r="22920" spans="8:10" x14ac:dyDescent="0.35">
      <c r="H22920" s="676"/>
      <c r="I22920" s="676"/>
      <c r="J22920" s="770"/>
    </row>
    <row r="22921" spans="8:10" x14ac:dyDescent="0.35">
      <c r="H22921" s="676"/>
      <c r="I22921" s="676"/>
      <c r="J22921" s="770"/>
    </row>
    <row r="22922" spans="8:10" x14ac:dyDescent="0.35">
      <c r="H22922" s="676"/>
      <c r="I22922" s="676"/>
      <c r="J22922" s="770"/>
    </row>
    <row r="22923" spans="8:10" x14ac:dyDescent="0.35">
      <c r="H22923" s="676"/>
      <c r="I22923" s="676"/>
      <c r="J22923" s="770"/>
    </row>
    <row r="22924" spans="8:10" x14ac:dyDescent="0.35">
      <c r="H22924" s="676"/>
      <c r="I22924" s="676"/>
      <c r="J22924" s="770"/>
    </row>
    <row r="22925" spans="8:10" x14ac:dyDescent="0.35">
      <c r="H22925" s="676"/>
      <c r="I22925" s="676"/>
      <c r="J22925" s="770"/>
    </row>
    <row r="22926" spans="8:10" x14ac:dyDescent="0.35">
      <c r="H22926" s="676"/>
      <c r="I22926" s="676"/>
      <c r="J22926" s="770"/>
    </row>
    <row r="22927" spans="8:10" x14ac:dyDescent="0.35">
      <c r="H22927" s="676"/>
      <c r="I22927" s="676"/>
      <c r="J22927" s="770"/>
    </row>
    <row r="22928" spans="8:10" x14ac:dyDescent="0.35">
      <c r="H22928" s="676"/>
      <c r="I22928" s="676"/>
      <c r="J22928" s="770"/>
    </row>
    <row r="22929" spans="8:10" x14ac:dyDescent="0.35">
      <c r="H22929" s="676"/>
      <c r="I22929" s="676"/>
      <c r="J22929" s="770"/>
    </row>
    <row r="22930" spans="8:10" x14ac:dyDescent="0.35">
      <c r="H22930" s="676"/>
      <c r="I22930" s="676"/>
      <c r="J22930" s="770"/>
    </row>
    <row r="22931" spans="8:10" x14ac:dyDescent="0.35">
      <c r="H22931" s="676"/>
      <c r="I22931" s="676"/>
      <c r="J22931" s="770"/>
    </row>
    <row r="22932" spans="8:10" x14ac:dyDescent="0.35">
      <c r="H22932" s="676"/>
      <c r="I22932" s="676"/>
      <c r="J22932" s="770"/>
    </row>
    <row r="22933" spans="8:10" x14ac:dyDescent="0.35">
      <c r="H22933" s="676"/>
      <c r="I22933" s="676"/>
      <c r="J22933" s="770"/>
    </row>
    <row r="22934" spans="8:10" x14ac:dyDescent="0.35">
      <c r="H22934" s="676"/>
      <c r="I22934" s="676"/>
      <c r="J22934" s="770"/>
    </row>
    <row r="22935" spans="8:10" x14ac:dyDescent="0.35">
      <c r="H22935" s="676"/>
      <c r="I22935" s="676"/>
      <c r="J22935" s="770"/>
    </row>
    <row r="22936" spans="8:10" x14ac:dyDescent="0.35">
      <c r="H22936" s="676"/>
      <c r="I22936" s="676"/>
      <c r="J22936" s="770"/>
    </row>
    <row r="22937" spans="8:10" x14ac:dyDescent="0.35">
      <c r="H22937" s="676"/>
      <c r="I22937" s="676"/>
      <c r="J22937" s="770"/>
    </row>
    <row r="22938" spans="8:10" x14ac:dyDescent="0.35">
      <c r="H22938" s="676"/>
      <c r="I22938" s="676"/>
      <c r="J22938" s="770"/>
    </row>
    <row r="22939" spans="8:10" x14ac:dyDescent="0.35">
      <c r="H22939" s="676"/>
      <c r="I22939" s="676"/>
      <c r="J22939" s="770"/>
    </row>
    <row r="22940" spans="8:10" x14ac:dyDescent="0.35">
      <c r="H22940" s="676"/>
      <c r="I22940" s="676"/>
      <c r="J22940" s="770"/>
    </row>
    <row r="22941" spans="8:10" x14ac:dyDescent="0.35">
      <c r="H22941" s="676"/>
      <c r="I22941" s="676"/>
      <c r="J22941" s="770"/>
    </row>
    <row r="22942" spans="8:10" x14ac:dyDescent="0.35">
      <c r="H22942" s="676"/>
      <c r="I22942" s="676"/>
      <c r="J22942" s="770"/>
    </row>
    <row r="22943" spans="8:10" x14ac:dyDescent="0.35">
      <c r="H22943" s="676"/>
      <c r="I22943" s="676"/>
      <c r="J22943" s="770"/>
    </row>
    <row r="22944" spans="8:10" x14ac:dyDescent="0.35">
      <c r="H22944" s="676"/>
      <c r="I22944" s="676"/>
      <c r="J22944" s="770"/>
    </row>
    <row r="22945" spans="8:10" x14ac:dyDescent="0.35">
      <c r="H22945" s="676"/>
      <c r="I22945" s="676"/>
      <c r="J22945" s="770"/>
    </row>
    <row r="22946" spans="8:10" x14ac:dyDescent="0.35">
      <c r="H22946" s="676"/>
      <c r="I22946" s="676"/>
      <c r="J22946" s="770"/>
    </row>
    <row r="22947" spans="8:10" x14ac:dyDescent="0.35">
      <c r="H22947" s="676"/>
      <c r="I22947" s="676"/>
      <c r="J22947" s="770"/>
    </row>
    <row r="22948" spans="8:10" x14ac:dyDescent="0.35">
      <c r="H22948" s="676"/>
      <c r="I22948" s="676"/>
      <c r="J22948" s="770"/>
    </row>
    <row r="22949" spans="8:10" x14ac:dyDescent="0.35">
      <c r="H22949" s="676"/>
      <c r="I22949" s="676"/>
      <c r="J22949" s="770"/>
    </row>
    <row r="22950" spans="8:10" x14ac:dyDescent="0.35">
      <c r="H22950" s="676"/>
      <c r="I22950" s="676"/>
      <c r="J22950" s="770"/>
    </row>
    <row r="22951" spans="8:10" x14ac:dyDescent="0.35">
      <c r="H22951" s="676"/>
      <c r="I22951" s="676"/>
      <c r="J22951" s="770"/>
    </row>
    <row r="22952" spans="8:10" x14ac:dyDescent="0.35">
      <c r="H22952" s="676"/>
      <c r="I22952" s="676"/>
      <c r="J22952" s="770"/>
    </row>
    <row r="22953" spans="8:10" x14ac:dyDescent="0.35">
      <c r="H22953" s="676"/>
      <c r="I22953" s="676"/>
      <c r="J22953" s="770"/>
    </row>
    <row r="22954" spans="8:10" x14ac:dyDescent="0.35">
      <c r="H22954" s="676"/>
      <c r="I22954" s="676"/>
      <c r="J22954" s="770"/>
    </row>
    <row r="22955" spans="8:10" x14ac:dyDescent="0.35">
      <c r="H22955" s="676"/>
      <c r="I22955" s="676"/>
      <c r="J22955" s="770"/>
    </row>
    <row r="22956" spans="8:10" x14ac:dyDescent="0.35">
      <c r="H22956" s="676"/>
      <c r="I22956" s="676"/>
      <c r="J22956" s="770"/>
    </row>
    <row r="22957" spans="8:10" x14ac:dyDescent="0.35">
      <c r="H22957" s="676"/>
      <c r="I22957" s="676"/>
      <c r="J22957" s="770"/>
    </row>
    <row r="22958" spans="8:10" x14ac:dyDescent="0.35">
      <c r="H22958" s="676"/>
      <c r="I22958" s="676"/>
      <c r="J22958" s="770"/>
    </row>
    <row r="22959" spans="8:10" x14ac:dyDescent="0.35">
      <c r="H22959" s="676"/>
      <c r="I22959" s="676"/>
      <c r="J22959" s="770"/>
    </row>
    <row r="22960" spans="8:10" x14ac:dyDescent="0.35">
      <c r="H22960" s="676"/>
      <c r="I22960" s="676"/>
      <c r="J22960" s="770"/>
    </row>
    <row r="22961" spans="8:10" x14ac:dyDescent="0.35">
      <c r="H22961" s="676"/>
      <c r="I22961" s="676"/>
      <c r="J22961" s="770"/>
    </row>
    <row r="22962" spans="8:10" x14ac:dyDescent="0.35">
      <c r="H22962" s="676"/>
      <c r="I22962" s="676"/>
      <c r="J22962" s="770"/>
    </row>
    <row r="22963" spans="8:10" x14ac:dyDescent="0.35">
      <c r="H22963" s="676"/>
      <c r="I22963" s="676"/>
      <c r="J22963" s="770"/>
    </row>
    <row r="22964" spans="8:10" x14ac:dyDescent="0.35">
      <c r="H22964" s="676"/>
      <c r="I22964" s="676"/>
      <c r="J22964" s="770"/>
    </row>
    <row r="22965" spans="8:10" x14ac:dyDescent="0.35">
      <c r="H22965" s="676"/>
      <c r="I22965" s="676"/>
      <c r="J22965" s="770"/>
    </row>
    <row r="22966" spans="8:10" x14ac:dyDescent="0.35">
      <c r="H22966" s="676"/>
      <c r="I22966" s="676"/>
      <c r="J22966" s="770"/>
    </row>
    <row r="22967" spans="8:10" x14ac:dyDescent="0.35">
      <c r="H22967" s="676"/>
      <c r="I22967" s="676"/>
      <c r="J22967" s="770"/>
    </row>
    <row r="22968" spans="8:10" x14ac:dyDescent="0.35">
      <c r="H22968" s="676"/>
      <c r="I22968" s="676"/>
      <c r="J22968" s="770"/>
    </row>
    <row r="22969" spans="8:10" x14ac:dyDescent="0.35">
      <c r="H22969" s="676"/>
      <c r="I22969" s="676"/>
      <c r="J22969" s="770"/>
    </row>
    <row r="22970" spans="8:10" x14ac:dyDescent="0.35">
      <c r="H22970" s="676"/>
      <c r="I22970" s="676"/>
      <c r="J22970" s="770"/>
    </row>
    <row r="22971" spans="8:10" x14ac:dyDescent="0.35">
      <c r="H22971" s="676"/>
      <c r="I22971" s="676"/>
      <c r="J22971" s="770"/>
    </row>
    <row r="22972" spans="8:10" x14ac:dyDescent="0.35">
      <c r="H22972" s="676"/>
      <c r="I22972" s="676"/>
      <c r="J22972" s="770"/>
    </row>
    <row r="22973" spans="8:10" x14ac:dyDescent="0.35">
      <c r="H22973" s="676"/>
      <c r="I22973" s="676"/>
      <c r="J22973" s="770"/>
    </row>
    <row r="22974" spans="8:10" x14ac:dyDescent="0.35">
      <c r="H22974" s="676"/>
      <c r="I22974" s="676"/>
      <c r="J22974" s="770"/>
    </row>
    <row r="22975" spans="8:10" x14ac:dyDescent="0.35">
      <c r="H22975" s="676"/>
      <c r="I22975" s="676"/>
      <c r="J22975" s="770"/>
    </row>
    <row r="22976" spans="8:10" x14ac:dyDescent="0.35">
      <c r="H22976" s="676"/>
      <c r="I22976" s="676"/>
      <c r="J22976" s="770"/>
    </row>
    <row r="22977" spans="8:10" x14ac:dyDescent="0.35">
      <c r="H22977" s="676"/>
      <c r="I22977" s="676"/>
      <c r="J22977" s="770"/>
    </row>
    <row r="22978" spans="8:10" x14ac:dyDescent="0.35">
      <c r="H22978" s="676"/>
      <c r="I22978" s="676"/>
      <c r="J22978" s="770"/>
    </row>
    <row r="22979" spans="8:10" x14ac:dyDescent="0.35">
      <c r="H22979" s="676"/>
      <c r="I22979" s="676"/>
      <c r="J22979" s="770"/>
    </row>
    <row r="22980" spans="8:10" x14ac:dyDescent="0.35">
      <c r="H22980" s="676"/>
      <c r="I22980" s="676"/>
      <c r="J22980" s="770"/>
    </row>
    <row r="22981" spans="8:10" x14ac:dyDescent="0.35">
      <c r="H22981" s="676"/>
      <c r="I22981" s="676"/>
      <c r="J22981" s="770"/>
    </row>
    <row r="22982" spans="8:10" x14ac:dyDescent="0.35">
      <c r="H22982" s="676"/>
      <c r="I22982" s="676"/>
      <c r="J22982" s="770"/>
    </row>
    <row r="22983" spans="8:10" x14ac:dyDescent="0.35">
      <c r="H22983" s="676"/>
      <c r="I22983" s="676"/>
      <c r="J22983" s="770"/>
    </row>
    <row r="22984" spans="8:10" x14ac:dyDescent="0.35">
      <c r="H22984" s="676"/>
      <c r="I22984" s="676"/>
      <c r="J22984" s="770"/>
    </row>
    <row r="22985" spans="8:10" x14ac:dyDescent="0.35">
      <c r="H22985" s="676"/>
      <c r="I22985" s="676"/>
      <c r="J22985" s="770"/>
    </row>
    <row r="22986" spans="8:10" x14ac:dyDescent="0.35">
      <c r="H22986" s="676"/>
      <c r="I22986" s="676"/>
      <c r="J22986" s="770"/>
    </row>
    <row r="22987" spans="8:10" x14ac:dyDescent="0.35">
      <c r="H22987" s="676"/>
      <c r="I22987" s="676"/>
      <c r="J22987" s="770"/>
    </row>
    <row r="22988" spans="8:10" x14ac:dyDescent="0.35">
      <c r="H22988" s="676"/>
      <c r="I22988" s="676"/>
      <c r="J22988" s="770"/>
    </row>
    <row r="22989" spans="8:10" x14ac:dyDescent="0.35">
      <c r="H22989" s="676"/>
      <c r="I22989" s="676"/>
      <c r="J22989" s="770"/>
    </row>
    <row r="22990" spans="8:10" x14ac:dyDescent="0.35">
      <c r="H22990" s="676"/>
      <c r="I22990" s="676"/>
      <c r="J22990" s="770"/>
    </row>
    <row r="22991" spans="8:10" x14ac:dyDescent="0.35">
      <c r="H22991" s="676"/>
      <c r="I22991" s="676"/>
      <c r="J22991" s="770"/>
    </row>
    <row r="22992" spans="8:10" x14ac:dyDescent="0.35">
      <c r="H22992" s="676"/>
      <c r="I22992" s="676"/>
      <c r="J22992" s="770"/>
    </row>
    <row r="22993" spans="8:10" x14ac:dyDescent="0.35">
      <c r="H22993" s="676"/>
      <c r="I22993" s="676"/>
      <c r="J22993" s="770"/>
    </row>
    <row r="22994" spans="8:10" x14ac:dyDescent="0.35">
      <c r="H22994" s="676"/>
      <c r="I22994" s="676"/>
      <c r="J22994" s="770"/>
    </row>
    <row r="22995" spans="8:10" x14ac:dyDescent="0.35">
      <c r="H22995" s="676"/>
      <c r="I22995" s="676"/>
      <c r="J22995" s="770"/>
    </row>
    <row r="22996" spans="8:10" x14ac:dyDescent="0.35">
      <c r="H22996" s="676"/>
      <c r="I22996" s="676"/>
      <c r="J22996" s="770"/>
    </row>
    <row r="22997" spans="8:10" x14ac:dyDescent="0.35">
      <c r="H22997" s="676"/>
      <c r="I22997" s="676"/>
      <c r="J22997" s="770"/>
    </row>
    <row r="22998" spans="8:10" x14ac:dyDescent="0.35">
      <c r="H22998" s="676"/>
      <c r="I22998" s="676"/>
      <c r="J22998" s="770"/>
    </row>
    <row r="22999" spans="8:10" x14ac:dyDescent="0.35">
      <c r="H22999" s="676"/>
      <c r="I22999" s="676"/>
      <c r="J22999" s="770"/>
    </row>
    <row r="23000" spans="8:10" x14ac:dyDescent="0.35">
      <c r="H23000" s="676"/>
      <c r="I23000" s="676"/>
      <c r="J23000" s="770"/>
    </row>
    <row r="23001" spans="8:10" x14ac:dyDescent="0.35">
      <c r="H23001" s="676"/>
      <c r="I23001" s="676"/>
      <c r="J23001" s="770"/>
    </row>
    <row r="23002" spans="8:10" x14ac:dyDescent="0.35">
      <c r="H23002" s="676"/>
      <c r="I23002" s="676"/>
      <c r="J23002" s="770"/>
    </row>
    <row r="23003" spans="8:10" x14ac:dyDescent="0.35">
      <c r="H23003" s="676"/>
      <c r="I23003" s="676"/>
      <c r="J23003" s="770"/>
    </row>
    <row r="23004" spans="8:10" x14ac:dyDescent="0.35">
      <c r="H23004" s="676"/>
      <c r="I23004" s="676"/>
      <c r="J23004" s="770"/>
    </row>
    <row r="23005" spans="8:10" x14ac:dyDescent="0.35">
      <c r="H23005" s="676"/>
      <c r="I23005" s="676"/>
      <c r="J23005" s="770"/>
    </row>
    <row r="23006" spans="8:10" x14ac:dyDescent="0.35">
      <c r="H23006" s="676"/>
      <c r="I23006" s="676"/>
      <c r="J23006" s="770"/>
    </row>
    <row r="23007" spans="8:10" x14ac:dyDescent="0.35">
      <c r="H23007" s="676"/>
      <c r="I23007" s="676"/>
      <c r="J23007" s="770"/>
    </row>
    <row r="23008" spans="8:10" x14ac:dyDescent="0.35">
      <c r="H23008" s="676"/>
      <c r="I23008" s="676"/>
      <c r="J23008" s="770"/>
    </row>
    <row r="23009" spans="8:10" x14ac:dyDescent="0.35">
      <c r="H23009" s="676"/>
      <c r="I23009" s="676"/>
      <c r="J23009" s="770"/>
    </row>
    <row r="23010" spans="8:10" x14ac:dyDescent="0.35">
      <c r="H23010" s="676"/>
      <c r="I23010" s="676"/>
      <c r="J23010" s="770"/>
    </row>
    <row r="23011" spans="8:10" x14ac:dyDescent="0.35">
      <c r="H23011" s="676"/>
      <c r="I23011" s="676"/>
      <c r="J23011" s="770"/>
    </row>
    <row r="23012" spans="8:10" x14ac:dyDescent="0.35">
      <c r="H23012" s="676"/>
      <c r="I23012" s="676"/>
      <c r="J23012" s="770"/>
    </row>
    <row r="23013" spans="8:10" x14ac:dyDescent="0.35">
      <c r="H23013" s="676"/>
      <c r="I23013" s="676"/>
      <c r="J23013" s="770"/>
    </row>
    <row r="23014" spans="8:10" x14ac:dyDescent="0.35">
      <c r="H23014" s="676"/>
      <c r="I23014" s="676"/>
      <c r="J23014" s="770"/>
    </row>
    <row r="23015" spans="8:10" x14ac:dyDescent="0.35">
      <c r="H23015" s="676"/>
      <c r="I23015" s="676"/>
      <c r="J23015" s="770"/>
    </row>
    <row r="23016" spans="8:10" x14ac:dyDescent="0.35">
      <c r="H23016" s="676"/>
      <c r="I23016" s="676"/>
      <c r="J23016" s="770"/>
    </row>
    <row r="23017" spans="8:10" x14ac:dyDescent="0.35">
      <c r="H23017" s="676"/>
      <c r="I23017" s="676"/>
      <c r="J23017" s="770"/>
    </row>
    <row r="23018" spans="8:10" x14ac:dyDescent="0.35">
      <c r="H23018" s="676"/>
      <c r="I23018" s="676"/>
      <c r="J23018" s="770"/>
    </row>
    <row r="23019" spans="8:10" x14ac:dyDescent="0.35">
      <c r="H23019" s="676"/>
      <c r="I23019" s="676"/>
      <c r="J23019" s="770"/>
    </row>
    <row r="23020" spans="8:10" x14ac:dyDescent="0.35">
      <c r="H23020" s="676"/>
      <c r="I23020" s="676"/>
      <c r="J23020" s="770"/>
    </row>
    <row r="23021" spans="8:10" x14ac:dyDescent="0.35">
      <c r="H23021" s="676"/>
      <c r="I23021" s="676"/>
      <c r="J23021" s="770"/>
    </row>
    <row r="23022" spans="8:10" x14ac:dyDescent="0.35">
      <c r="H23022" s="676"/>
      <c r="I23022" s="676"/>
      <c r="J23022" s="770"/>
    </row>
    <row r="23023" spans="8:10" x14ac:dyDescent="0.35">
      <c r="H23023" s="676"/>
      <c r="I23023" s="676"/>
      <c r="J23023" s="770"/>
    </row>
    <row r="23024" spans="8:10" x14ac:dyDescent="0.35">
      <c r="H23024" s="676"/>
      <c r="I23024" s="676"/>
      <c r="J23024" s="770"/>
    </row>
    <row r="23025" spans="8:10" x14ac:dyDescent="0.35">
      <c r="H23025" s="676"/>
      <c r="I23025" s="676"/>
      <c r="J23025" s="770"/>
    </row>
    <row r="23026" spans="8:10" x14ac:dyDescent="0.35">
      <c r="H23026" s="676"/>
      <c r="I23026" s="676"/>
      <c r="J23026" s="770"/>
    </row>
    <row r="23027" spans="8:10" x14ac:dyDescent="0.35">
      <c r="H23027" s="676"/>
      <c r="I23027" s="676"/>
      <c r="J23027" s="770"/>
    </row>
    <row r="23028" spans="8:10" x14ac:dyDescent="0.35">
      <c r="H23028" s="676"/>
      <c r="I23028" s="676"/>
      <c r="J23028" s="770"/>
    </row>
    <row r="23029" spans="8:10" x14ac:dyDescent="0.35">
      <c r="H23029" s="676"/>
      <c r="I23029" s="676"/>
      <c r="J23029" s="770"/>
    </row>
    <row r="23030" spans="8:10" x14ac:dyDescent="0.35">
      <c r="H23030" s="676"/>
      <c r="I23030" s="676"/>
      <c r="J23030" s="770"/>
    </row>
    <row r="23031" spans="8:10" x14ac:dyDescent="0.35">
      <c r="H23031" s="676"/>
      <c r="I23031" s="676"/>
      <c r="J23031" s="770"/>
    </row>
    <row r="23032" spans="8:10" x14ac:dyDescent="0.35">
      <c r="H23032" s="676"/>
      <c r="I23032" s="676"/>
      <c r="J23032" s="770"/>
    </row>
    <row r="23033" spans="8:10" x14ac:dyDescent="0.35">
      <c r="H23033" s="676"/>
      <c r="I23033" s="676"/>
      <c r="J23033" s="770"/>
    </row>
    <row r="23034" spans="8:10" x14ac:dyDescent="0.35">
      <c r="H23034" s="676"/>
      <c r="I23034" s="676"/>
      <c r="J23034" s="770"/>
    </row>
    <row r="23035" spans="8:10" x14ac:dyDescent="0.35">
      <c r="H23035" s="676"/>
      <c r="I23035" s="676"/>
      <c r="J23035" s="770"/>
    </row>
    <row r="23036" spans="8:10" x14ac:dyDescent="0.35">
      <c r="H23036" s="676"/>
      <c r="I23036" s="676"/>
      <c r="J23036" s="770"/>
    </row>
    <row r="23037" spans="8:10" x14ac:dyDescent="0.35">
      <c r="H23037" s="676"/>
      <c r="I23037" s="676"/>
      <c r="J23037" s="770"/>
    </row>
    <row r="23038" spans="8:10" x14ac:dyDescent="0.35">
      <c r="H23038" s="676"/>
      <c r="I23038" s="676"/>
      <c r="J23038" s="770"/>
    </row>
    <row r="23039" spans="8:10" x14ac:dyDescent="0.35">
      <c r="H23039" s="676"/>
      <c r="I23039" s="676"/>
      <c r="J23039" s="770"/>
    </row>
    <row r="23040" spans="8:10" x14ac:dyDescent="0.35">
      <c r="H23040" s="676"/>
      <c r="I23040" s="676"/>
      <c r="J23040" s="770"/>
    </row>
    <row r="23041" spans="8:10" x14ac:dyDescent="0.35">
      <c r="H23041" s="676"/>
      <c r="I23041" s="676"/>
      <c r="J23041" s="770"/>
    </row>
    <row r="23042" spans="8:10" x14ac:dyDescent="0.35">
      <c r="H23042" s="676"/>
      <c r="I23042" s="676"/>
      <c r="J23042" s="770"/>
    </row>
    <row r="23043" spans="8:10" x14ac:dyDescent="0.35">
      <c r="H23043" s="676"/>
      <c r="I23043" s="676"/>
      <c r="J23043" s="770"/>
    </row>
    <row r="23044" spans="8:10" x14ac:dyDescent="0.35">
      <c r="H23044" s="676"/>
      <c r="I23044" s="676"/>
      <c r="J23044" s="770"/>
    </row>
    <row r="23045" spans="8:10" x14ac:dyDescent="0.35">
      <c r="H23045" s="676"/>
      <c r="I23045" s="676"/>
      <c r="J23045" s="770"/>
    </row>
    <row r="23046" spans="8:10" x14ac:dyDescent="0.35">
      <c r="H23046" s="676"/>
      <c r="I23046" s="676"/>
      <c r="J23046" s="770"/>
    </row>
    <row r="23047" spans="8:10" x14ac:dyDescent="0.35">
      <c r="H23047" s="676"/>
      <c r="I23047" s="676"/>
      <c r="J23047" s="770"/>
    </row>
    <row r="23048" spans="8:10" x14ac:dyDescent="0.35">
      <c r="H23048" s="676"/>
      <c r="I23048" s="676"/>
      <c r="J23048" s="770"/>
    </row>
    <row r="23049" spans="8:10" x14ac:dyDescent="0.35">
      <c r="H23049" s="676"/>
      <c r="I23049" s="676"/>
      <c r="J23049" s="770"/>
    </row>
    <row r="23050" spans="8:10" x14ac:dyDescent="0.35">
      <c r="H23050" s="676"/>
      <c r="I23050" s="676"/>
      <c r="J23050" s="770"/>
    </row>
    <row r="23051" spans="8:10" x14ac:dyDescent="0.35">
      <c r="H23051" s="676"/>
      <c r="I23051" s="676"/>
      <c r="J23051" s="770"/>
    </row>
    <row r="23052" spans="8:10" x14ac:dyDescent="0.35">
      <c r="H23052" s="676"/>
      <c r="I23052" s="676"/>
      <c r="J23052" s="770"/>
    </row>
    <row r="23053" spans="8:10" x14ac:dyDescent="0.35">
      <c r="H23053" s="676"/>
      <c r="I23053" s="676"/>
      <c r="J23053" s="770"/>
    </row>
    <row r="23054" spans="8:10" x14ac:dyDescent="0.35">
      <c r="H23054" s="676"/>
      <c r="I23054" s="676"/>
      <c r="J23054" s="770"/>
    </row>
    <row r="23055" spans="8:10" x14ac:dyDescent="0.35">
      <c r="H23055" s="676"/>
      <c r="I23055" s="676"/>
      <c r="J23055" s="770"/>
    </row>
    <row r="23056" spans="8:10" x14ac:dyDescent="0.35">
      <c r="H23056" s="676"/>
      <c r="I23056" s="676"/>
      <c r="J23056" s="770"/>
    </row>
    <row r="23057" spans="8:10" x14ac:dyDescent="0.35">
      <c r="H23057" s="676"/>
      <c r="I23057" s="676"/>
      <c r="J23057" s="770"/>
    </row>
    <row r="23058" spans="8:10" x14ac:dyDescent="0.35">
      <c r="H23058" s="676"/>
      <c r="I23058" s="676"/>
      <c r="J23058" s="770"/>
    </row>
    <row r="23059" spans="8:10" x14ac:dyDescent="0.35">
      <c r="H23059" s="676"/>
      <c r="I23059" s="676"/>
      <c r="J23059" s="770"/>
    </row>
    <row r="23060" spans="8:10" x14ac:dyDescent="0.35">
      <c r="H23060" s="676"/>
      <c r="I23060" s="676"/>
      <c r="J23060" s="770"/>
    </row>
    <row r="23061" spans="8:10" x14ac:dyDescent="0.35">
      <c r="H23061" s="676"/>
      <c r="I23061" s="676"/>
      <c r="J23061" s="770"/>
    </row>
    <row r="23062" spans="8:10" x14ac:dyDescent="0.35">
      <c r="H23062" s="676"/>
      <c r="I23062" s="676"/>
      <c r="J23062" s="770"/>
    </row>
    <row r="23063" spans="8:10" x14ac:dyDescent="0.35">
      <c r="H23063" s="676"/>
      <c r="I23063" s="676"/>
      <c r="J23063" s="770"/>
    </row>
    <row r="23064" spans="8:10" x14ac:dyDescent="0.35">
      <c r="H23064" s="676"/>
      <c r="I23064" s="676"/>
      <c r="J23064" s="770"/>
    </row>
    <row r="23065" spans="8:10" x14ac:dyDescent="0.35">
      <c r="H23065" s="676"/>
      <c r="I23065" s="676"/>
      <c r="J23065" s="770"/>
    </row>
    <row r="23066" spans="8:10" x14ac:dyDescent="0.35">
      <c r="H23066" s="676"/>
      <c r="I23066" s="676"/>
      <c r="J23066" s="770"/>
    </row>
    <row r="23067" spans="8:10" x14ac:dyDescent="0.35">
      <c r="H23067" s="676"/>
      <c r="I23067" s="676"/>
      <c r="J23067" s="770"/>
    </row>
    <row r="23068" spans="8:10" x14ac:dyDescent="0.35">
      <c r="H23068" s="676"/>
      <c r="I23068" s="676"/>
      <c r="J23068" s="770"/>
    </row>
    <row r="23069" spans="8:10" x14ac:dyDescent="0.35">
      <c r="H23069" s="676"/>
      <c r="I23069" s="676"/>
      <c r="J23069" s="770"/>
    </row>
    <row r="23070" spans="8:10" x14ac:dyDescent="0.35">
      <c r="H23070" s="676"/>
      <c r="I23070" s="676"/>
      <c r="J23070" s="770"/>
    </row>
    <row r="23071" spans="8:10" x14ac:dyDescent="0.35">
      <c r="H23071" s="676"/>
      <c r="I23071" s="676"/>
      <c r="J23071" s="770"/>
    </row>
    <row r="23072" spans="8:10" x14ac:dyDescent="0.35">
      <c r="H23072" s="676"/>
      <c r="I23072" s="676"/>
      <c r="J23072" s="770"/>
    </row>
    <row r="23073" spans="8:10" x14ac:dyDescent="0.35">
      <c r="H23073" s="676"/>
      <c r="I23073" s="676"/>
      <c r="J23073" s="770"/>
    </row>
    <row r="23074" spans="8:10" x14ac:dyDescent="0.35">
      <c r="H23074" s="676"/>
      <c r="I23074" s="676"/>
      <c r="J23074" s="770"/>
    </row>
    <row r="23075" spans="8:10" x14ac:dyDescent="0.35">
      <c r="H23075" s="676"/>
      <c r="I23075" s="676"/>
      <c r="J23075" s="770"/>
    </row>
    <row r="23076" spans="8:10" x14ac:dyDescent="0.35">
      <c r="H23076" s="676"/>
      <c r="I23076" s="676"/>
      <c r="J23076" s="770"/>
    </row>
    <row r="23077" spans="8:10" x14ac:dyDescent="0.35">
      <c r="H23077" s="676"/>
      <c r="I23077" s="676"/>
      <c r="J23077" s="770"/>
    </row>
    <row r="23078" spans="8:10" x14ac:dyDescent="0.35">
      <c r="H23078" s="676"/>
      <c r="I23078" s="676"/>
      <c r="J23078" s="770"/>
    </row>
    <row r="23079" spans="8:10" x14ac:dyDescent="0.35">
      <c r="H23079" s="676"/>
      <c r="I23079" s="676"/>
      <c r="J23079" s="770"/>
    </row>
    <row r="23080" spans="8:10" x14ac:dyDescent="0.35">
      <c r="H23080" s="676"/>
      <c r="I23080" s="676"/>
      <c r="J23080" s="770"/>
    </row>
    <row r="23081" spans="8:10" x14ac:dyDescent="0.35">
      <c r="H23081" s="676"/>
      <c r="I23081" s="676"/>
      <c r="J23081" s="770"/>
    </row>
    <row r="23082" spans="8:10" x14ac:dyDescent="0.35">
      <c r="H23082" s="676"/>
      <c r="I23082" s="676"/>
      <c r="J23082" s="770"/>
    </row>
    <row r="23083" spans="8:10" x14ac:dyDescent="0.35">
      <c r="H23083" s="676"/>
      <c r="I23083" s="676"/>
      <c r="J23083" s="770"/>
    </row>
    <row r="23084" spans="8:10" x14ac:dyDescent="0.35">
      <c r="H23084" s="676"/>
      <c r="I23084" s="676"/>
      <c r="J23084" s="770"/>
    </row>
    <row r="23085" spans="8:10" x14ac:dyDescent="0.35">
      <c r="H23085" s="676"/>
      <c r="I23085" s="676"/>
      <c r="J23085" s="770"/>
    </row>
    <row r="23086" spans="8:10" x14ac:dyDescent="0.35">
      <c r="H23086" s="676"/>
      <c r="I23086" s="676"/>
      <c r="J23086" s="770"/>
    </row>
    <row r="23087" spans="8:10" x14ac:dyDescent="0.35">
      <c r="H23087" s="676"/>
      <c r="I23087" s="676"/>
      <c r="J23087" s="770"/>
    </row>
    <row r="23088" spans="8:10" x14ac:dyDescent="0.35">
      <c r="H23088" s="676"/>
      <c r="I23088" s="676"/>
      <c r="J23088" s="770"/>
    </row>
    <row r="23089" spans="8:10" x14ac:dyDescent="0.35">
      <c r="H23089" s="676"/>
      <c r="I23089" s="676"/>
      <c r="J23089" s="770"/>
    </row>
    <row r="23090" spans="8:10" x14ac:dyDescent="0.35">
      <c r="H23090" s="676"/>
      <c r="I23090" s="676"/>
      <c r="J23090" s="770"/>
    </row>
    <row r="23091" spans="8:10" x14ac:dyDescent="0.35">
      <c r="H23091" s="676"/>
      <c r="I23091" s="676"/>
      <c r="J23091" s="770"/>
    </row>
    <row r="23092" spans="8:10" x14ac:dyDescent="0.35">
      <c r="H23092" s="676"/>
      <c r="I23092" s="676"/>
      <c r="J23092" s="770"/>
    </row>
    <row r="23093" spans="8:10" x14ac:dyDescent="0.35">
      <c r="H23093" s="676"/>
      <c r="I23093" s="676"/>
      <c r="J23093" s="770"/>
    </row>
    <row r="23094" spans="8:10" x14ac:dyDescent="0.35">
      <c r="H23094" s="676"/>
      <c r="I23094" s="676"/>
      <c r="J23094" s="770"/>
    </row>
    <row r="23095" spans="8:10" x14ac:dyDescent="0.35">
      <c r="H23095" s="676"/>
      <c r="I23095" s="676"/>
      <c r="J23095" s="770"/>
    </row>
    <row r="23096" spans="8:10" x14ac:dyDescent="0.35">
      <c r="H23096" s="676"/>
      <c r="I23096" s="676"/>
      <c r="J23096" s="770"/>
    </row>
    <row r="23097" spans="8:10" x14ac:dyDescent="0.35">
      <c r="H23097" s="676"/>
      <c r="I23097" s="676"/>
      <c r="J23097" s="770"/>
    </row>
    <row r="23098" spans="8:10" x14ac:dyDescent="0.35">
      <c r="H23098" s="676"/>
      <c r="I23098" s="676"/>
      <c r="J23098" s="770"/>
    </row>
    <row r="23099" spans="8:10" x14ac:dyDescent="0.35">
      <c r="H23099" s="676"/>
      <c r="I23099" s="676"/>
      <c r="J23099" s="770"/>
    </row>
    <row r="23100" spans="8:10" x14ac:dyDescent="0.35">
      <c r="H23100" s="676"/>
      <c r="I23100" s="676"/>
      <c r="J23100" s="770"/>
    </row>
    <row r="23101" spans="8:10" x14ac:dyDescent="0.35">
      <c r="H23101" s="676"/>
      <c r="I23101" s="676"/>
      <c r="J23101" s="770"/>
    </row>
    <row r="23102" spans="8:10" x14ac:dyDescent="0.35">
      <c r="H23102" s="676"/>
      <c r="I23102" s="676"/>
      <c r="J23102" s="770"/>
    </row>
    <row r="23103" spans="8:10" x14ac:dyDescent="0.35">
      <c r="H23103" s="676"/>
      <c r="I23103" s="676"/>
      <c r="J23103" s="770"/>
    </row>
    <row r="23104" spans="8:10" x14ac:dyDescent="0.35">
      <c r="H23104" s="676"/>
      <c r="I23104" s="676"/>
      <c r="J23104" s="770"/>
    </row>
    <row r="23105" spans="8:10" x14ac:dyDescent="0.35">
      <c r="H23105" s="676"/>
      <c r="I23105" s="676"/>
      <c r="J23105" s="770"/>
    </row>
    <row r="23106" spans="8:10" x14ac:dyDescent="0.35">
      <c r="H23106" s="676"/>
      <c r="I23106" s="676"/>
      <c r="J23106" s="770"/>
    </row>
    <row r="23107" spans="8:10" x14ac:dyDescent="0.35">
      <c r="H23107" s="676"/>
      <c r="I23107" s="676"/>
      <c r="J23107" s="770"/>
    </row>
    <row r="23108" spans="8:10" x14ac:dyDescent="0.35">
      <c r="H23108" s="676"/>
      <c r="I23108" s="676"/>
      <c r="J23108" s="770"/>
    </row>
    <row r="23109" spans="8:10" x14ac:dyDescent="0.35">
      <c r="H23109" s="676"/>
      <c r="I23109" s="676"/>
      <c r="J23109" s="770"/>
    </row>
    <row r="23110" spans="8:10" x14ac:dyDescent="0.35">
      <c r="H23110" s="676"/>
      <c r="I23110" s="676"/>
      <c r="J23110" s="770"/>
    </row>
    <row r="23111" spans="8:10" x14ac:dyDescent="0.35">
      <c r="H23111" s="676"/>
      <c r="I23111" s="676"/>
      <c r="J23111" s="770"/>
    </row>
    <row r="23112" spans="8:10" x14ac:dyDescent="0.35">
      <c r="H23112" s="676"/>
      <c r="I23112" s="676"/>
      <c r="J23112" s="770"/>
    </row>
    <row r="23113" spans="8:10" x14ac:dyDescent="0.35">
      <c r="H23113" s="676"/>
      <c r="I23113" s="676"/>
      <c r="J23113" s="770"/>
    </row>
    <row r="23114" spans="8:10" x14ac:dyDescent="0.35">
      <c r="H23114" s="676"/>
      <c r="I23114" s="676"/>
      <c r="J23114" s="770"/>
    </row>
    <row r="23115" spans="8:10" x14ac:dyDescent="0.35">
      <c r="H23115" s="676"/>
      <c r="I23115" s="676"/>
      <c r="J23115" s="770"/>
    </row>
    <row r="23116" spans="8:10" x14ac:dyDescent="0.35">
      <c r="H23116" s="676"/>
      <c r="I23116" s="676"/>
      <c r="J23116" s="770"/>
    </row>
    <row r="23117" spans="8:10" x14ac:dyDescent="0.35">
      <c r="H23117" s="676"/>
      <c r="I23117" s="676"/>
      <c r="J23117" s="770"/>
    </row>
    <row r="23118" spans="8:10" x14ac:dyDescent="0.35">
      <c r="H23118" s="676"/>
      <c r="I23118" s="676"/>
      <c r="J23118" s="770"/>
    </row>
    <row r="23119" spans="8:10" x14ac:dyDescent="0.35">
      <c r="H23119" s="676"/>
      <c r="I23119" s="676"/>
      <c r="J23119" s="770"/>
    </row>
    <row r="23120" spans="8:10" x14ac:dyDescent="0.35">
      <c r="H23120" s="676"/>
      <c r="I23120" s="676"/>
      <c r="J23120" s="770"/>
    </row>
    <row r="23121" spans="8:10" x14ac:dyDescent="0.35">
      <c r="H23121" s="676"/>
      <c r="I23121" s="676"/>
      <c r="J23121" s="770"/>
    </row>
    <row r="23122" spans="8:10" x14ac:dyDescent="0.35">
      <c r="H23122" s="676"/>
      <c r="I23122" s="676"/>
      <c r="J23122" s="770"/>
    </row>
    <row r="23123" spans="8:10" x14ac:dyDescent="0.35">
      <c r="H23123" s="676"/>
      <c r="I23123" s="676"/>
      <c r="J23123" s="770"/>
    </row>
    <row r="23124" spans="8:10" x14ac:dyDescent="0.35">
      <c r="H23124" s="676"/>
      <c r="I23124" s="676"/>
      <c r="J23124" s="770"/>
    </row>
    <row r="23125" spans="8:10" x14ac:dyDescent="0.35">
      <c r="H23125" s="676"/>
      <c r="I23125" s="676"/>
      <c r="J23125" s="770"/>
    </row>
    <row r="23126" spans="8:10" x14ac:dyDescent="0.35">
      <c r="H23126" s="676"/>
      <c r="I23126" s="676"/>
      <c r="J23126" s="770"/>
    </row>
    <row r="23127" spans="8:10" x14ac:dyDescent="0.35">
      <c r="H23127" s="676"/>
      <c r="I23127" s="676"/>
      <c r="J23127" s="770"/>
    </row>
    <row r="23128" spans="8:10" x14ac:dyDescent="0.35">
      <c r="H23128" s="676"/>
      <c r="I23128" s="676"/>
      <c r="J23128" s="770"/>
    </row>
    <row r="23129" spans="8:10" x14ac:dyDescent="0.35">
      <c r="H23129" s="676"/>
      <c r="I23129" s="676"/>
      <c r="J23129" s="770"/>
    </row>
    <row r="23130" spans="8:10" x14ac:dyDescent="0.35">
      <c r="H23130" s="676"/>
      <c r="I23130" s="676"/>
      <c r="J23130" s="770"/>
    </row>
    <row r="23131" spans="8:10" x14ac:dyDescent="0.35">
      <c r="H23131" s="676"/>
      <c r="I23131" s="676"/>
      <c r="J23131" s="770"/>
    </row>
    <row r="23132" spans="8:10" x14ac:dyDescent="0.35">
      <c r="H23132" s="676"/>
      <c r="I23132" s="676"/>
      <c r="J23132" s="770"/>
    </row>
    <row r="23133" spans="8:10" x14ac:dyDescent="0.35">
      <c r="H23133" s="676"/>
      <c r="I23133" s="676"/>
      <c r="J23133" s="770"/>
    </row>
    <row r="23134" spans="8:10" x14ac:dyDescent="0.35">
      <c r="H23134" s="676"/>
      <c r="I23134" s="676"/>
      <c r="J23134" s="770"/>
    </row>
    <row r="23135" spans="8:10" x14ac:dyDescent="0.35">
      <c r="H23135" s="676"/>
      <c r="I23135" s="676"/>
      <c r="J23135" s="770"/>
    </row>
    <row r="23136" spans="8:10" x14ac:dyDescent="0.35">
      <c r="H23136" s="676"/>
      <c r="I23136" s="676"/>
      <c r="J23136" s="770"/>
    </row>
    <row r="23137" spans="8:10" x14ac:dyDescent="0.35">
      <c r="H23137" s="676"/>
      <c r="I23137" s="676"/>
      <c r="J23137" s="770"/>
    </row>
    <row r="23138" spans="8:10" x14ac:dyDescent="0.35">
      <c r="H23138" s="676"/>
      <c r="I23138" s="676"/>
      <c r="J23138" s="770"/>
    </row>
    <row r="23139" spans="8:10" x14ac:dyDescent="0.35">
      <c r="H23139" s="676"/>
      <c r="I23139" s="676"/>
      <c r="J23139" s="770"/>
    </row>
    <row r="23140" spans="8:10" x14ac:dyDescent="0.35">
      <c r="H23140" s="676"/>
      <c r="I23140" s="676"/>
      <c r="J23140" s="770"/>
    </row>
    <row r="23141" spans="8:10" x14ac:dyDescent="0.35">
      <c r="H23141" s="676"/>
      <c r="I23141" s="676"/>
      <c r="J23141" s="770"/>
    </row>
    <row r="23142" spans="8:10" x14ac:dyDescent="0.35">
      <c r="H23142" s="676"/>
      <c r="I23142" s="676"/>
      <c r="J23142" s="770"/>
    </row>
    <row r="23143" spans="8:10" x14ac:dyDescent="0.35">
      <c r="H23143" s="676"/>
      <c r="I23143" s="676"/>
      <c r="J23143" s="770"/>
    </row>
    <row r="23144" spans="8:10" x14ac:dyDescent="0.35">
      <c r="H23144" s="676"/>
      <c r="I23144" s="676"/>
      <c r="J23144" s="770"/>
    </row>
    <row r="23145" spans="8:10" x14ac:dyDescent="0.35">
      <c r="H23145" s="676"/>
      <c r="I23145" s="676"/>
      <c r="J23145" s="770"/>
    </row>
    <row r="23146" spans="8:10" x14ac:dyDescent="0.35">
      <c r="H23146" s="676"/>
      <c r="I23146" s="676"/>
      <c r="J23146" s="770"/>
    </row>
    <row r="23147" spans="8:10" x14ac:dyDescent="0.35">
      <c r="H23147" s="676"/>
      <c r="I23147" s="676"/>
      <c r="J23147" s="770"/>
    </row>
    <row r="23148" spans="8:10" x14ac:dyDescent="0.35">
      <c r="H23148" s="676"/>
      <c r="I23148" s="676"/>
      <c r="J23148" s="770"/>
    </row>
    <row r="23149" spans="8:10" x14ac:dyDescent="0.35">
      <c r="H23149" s="676"/>
      <c r="I23149" s="676"/>
      <c r="J23149" s="770"/>
    </row>
    <row r="23150" spans="8:10" x14ac:dyDescent="0.35">
      <c r="H23150" s="676"/>
      <c r="I23150" s="676"/>
      <c r="J23150" s="770"/>
    </row>
    <row r="23151" spans="8:10" x14ac:dyDescent="0.35">
      <c r="H23151" s="676"/>
      <c r="I23151" s="676"/>
      <c r="J23151" s="770"/>
    </row>
    <row r="23152" spans="8:10" x14ac:dyDescent="0.35">
      <c r="H23152" s="676"/>
      <c r="I23152" s="676"/>
      <c r="J23152" s="770"/>
    </row>
    <row r="23153" spans="8:10" x14ac:dyDescent="0.35">
      <c r="H23153" s="676"/>
      <c r="I23153" s="676"/>
      <c r="J23153" s="770"/>
    </row>
    <row r="23154" spans="8:10" x14ac:dyDescent="0.35">
      <c r="H23154" s="676"/>
      <c r="I23154" s="676"/>
      <c r="J23154" s="770"/>
    </row>
    <row r="23155" spans="8:10" x14ac:dyDescent="0.35">
      <c r="H23155" s="676"/>
      <c r="I23155" s="676"/>
      <c r="J23155" s="770"/>
    </row>
    <row r="23156" spans="8:10" x14ac:dyDescent="0.35">
      <c r="H23156" s="676"/>
      <c r="I23156" s="676"/>
      <c r="J23156" s="770"/>
    </row>
    <row r="23157" spans="8:10" x14ac:dyDescent="0.35">
      <c r="H23157" s="676"/>
      <c r="I23157" s="676"/>
      <c r="J23157" s="770"/>
    </row>
    <row r="23158" spans="8:10" x14ac:dyDescent="0.35">
      <c r="H23158" s="676"/>
      <c r="I23158" s="676"/>
      <c r="J23158" s="770"/>
    </row>
    <row r="23159" spans="8:10" x14ac:dyDescent="0.35">
      <c r="H23159" s="676"/>
      <c r="I23159" s="676"/>
      <c r="J23159" s="770"/>
    </row>
    <row r="23160" spans="8:10" x14ac:dyDescent="0.35">
      <c r="H23160" s="676"/>
      <c r="I23160" s="676"/>
      <c r="J23160" s="770"/>
    </row>
    <row r="23161" spans="8:10" x14ac:dyDescent="0.35">
      <c r="H23161" s="676"/>
      <c r="I23161" s="676"/>
      <c r="J23161" s="770"/>
    </row>
    <row r="23162" spans="8:10" x14ac:dyDescent="0.35">
      <c r="H23162" s="676"/>
      <c r="I23162" s="676"/>
      <c r="J23162" s="770"/>
    </row>
    <row r="23163" spans="8:10" x14ac:dyDescent="0.35">
      <c r="H23163" s="676"/>
      <c r="I23163" s="676"/>
      <c r="J23163" s="770"/>
    </row>
    <row r="23164" spans="8:10" x14ac:dyDescent="0.35">
      <c r="H23164" s="676"/>
      <c r="I23164" s="676"/>
      <c r="J23164" s="770"/>
    </row>
    <row r="23165" spans="8:10" x14ac:dyDescent="0.35">
      <c r="H23165" s="676"/>
      <c r="I23165" s="676"/>
      <c r="J23165" s="770"/>
    </row>
    <row r="23166" spans="8:10" x14ac:dyDescent="0.35">
      <c r="H23166" s="676"/>
      <c r="I23166" s="676"/>
      <c r="J23166" s="770"/>
    </row>
    <row r="23167" spans="8:10" x14ac:dyDescent="0.35">
      <c r="H23167" s="676"/>
      <c r="I23167" s="676"/>
      <c r="J23167" s="770"/>
    </row>
    <row r="23168" spans="8:10" x14ac:dyDescent="0.35">
      <c r="H23168" s="676"/>
      <c r="I23168" s="676"/>
      <c r="J23168" s="770"/>
    </row>
    <row r="23169" spans="8:10" x14ac:dyDescent="0.35">
      <c r="H23169" s="676"/>
      <c r="I23169" s="676"/>
      <c r="J23169" s="770"/>
    </row>
    <row r="23170" spans="8:10" x14ac:dyDescent="0.35">
      <c r="H23170" s="676"/>
      <c r="I23170" s="676"/>
      <c r="J23170" s="770"/>
    </row>
    <row r="23171" spans="8:10" x14ac:dyDescent="0.35">
      <c r="H23171" s="676"/>
      <c r="I23171" s="676"/>
      <c r="J23171" s="770"/>
    </row>
    <row r="23172" spans="8:10" x14ac:dyDescent="0.35">
      <c r="H23172" s="676"/>
      <c r="I23172" s="676"/>
      <c r="J23172" s="770"/>
    </row>
    <row r="23173" spans="8:10" x14ac:dyDescent="0.35">
      <c r="H23173" s="676"/>
      <c r="I23173" s="676"/>
      <c r="J23173" s="770"/>
    </row>
    <row r="23174" spans="8:10" x14ac:dyDescent="0.35">
      <c r="H23174" s="676"/>
      <c r="I23174" s="676"/>
      <c r="J23174" s="770"/>
    </row>
    <row r="23175" spans="8:10" x14ac:dyDescent="0.35">
      <c r="H23175" s="676"/>
      <c r="I23175" s="676"/>
      <c r="J23175" s="770"/>
    </row>
    <row r="23176" spans="8:10" x14ac:dyDescent="0.35">
      <c r="H23176" s="676"/>
      <c r="I23176" s="676"/>
      <c r="J23176" s="770"/>
    </row>
    <row r="23177" spans="8:10" x14ac:dyDescent="0.35">
      <c r="H23177" s="676"/>
      <c r="I23177" s="676"/>
      <c r="J23177" s="770"/>
    </row>
    <row r="23178" spans="8:10" x14ac:dyDescent="0.35">
      <c r="H23178" s="676"/>
      <c r="I23178" s="676"/>
      <c r="J23178" s="770"/>
    </row>
    <row r="23179" spans="8:10" x14ac:dyDescent="0.35">
      <c r="H23179" s="676"/>
      <c r="I23179" s="676"/>
      <c r="J23179" s="770"/>
    </row>
    <row r="23180" spans="8:10" x14ac:dyDescent="0.35">
      <c r="H23180" s="676"/>
      <c r="I23180" s="676"/>
      <c r="J23180" s="770"/>
    </row>
    <row r="23181" spans="8:10" x14ac:dyDescent="0.35">
      <c r="H23181" s="676"/>
      <c r="I23181" s="676"/>
      <c r="J23181" s="770"/>
    </row>
    <row r="23182" spans="8:10" x14ac:dyDescent="0.35">
      <c r="H23182" s="676"/>
      <c r="I23182" s="676"/>
      <c r="J23182" s="770"/>
    </row>
    <row r="23183" spans="8:10" x14ac:dyDescent="0.35">
      <c r="H23183" s="676"/>
      <c r="I23183" s="676"/>
      <c r="J23183" s="770"/>
    </row>
    <row r="23184" spans="8:10" x14ac:dyDescent="0.35">
      <c r="H23184" s="676"/>
      <c r="I23184" s="676"/>
      <c r="J23184" s="770"/>
    </row>
    <row r="23185" spans="8:10" x14ac:dyDescent="0.35">
      <c r="H23185" s="676"/>
      <c r="I23185" s="676"/>
      <c r="J23185" s="770"/>
    </row>
    <row r="23186" spans="8:10" x14ac:dyDescent="0.35">
      <c r="H23186" s="676"/>
      <c r="I23186" s="676"/>
      <c r="J23186" s="770"/>
    </row>
    <row r="23187" spans="8:10" x14ac:dyDescent="0.35">
      <c r="H23187" s="676"/>
      <c r="I23187" s="676"/>
      <c r="J23187" s="770"/>
    </row>
    <row r="23188" spans="8:10" x14ac:dyDescent="0.35">
      <c r="H23188" s="676"/>
      <c r="I23188" s="676"/>
      <c r="J23188" s="770"/>
    </row>
    <row r="23189" spans="8:10" x14ac:dyDescent="0.35">
      <c r="H23189" s="676"/>
      <c r="I23189" s="676"/>
      <c r="J23189" s="770"/>
    </row>
    <row r="23190" spans="8:10" x14ac:dyDescent="0.35">
      <c r="H23190" s="676"/>
      <c r="I23190" s="676"/>
      <c r="J23190" s="770"/>
    </row>
    <row r="23191" spans="8:10" x14ac:dyDescent="0.35">
      <c r="H23191" s="676"/>
      <c r="I23191" s="676"/>
      <c r="J23191" s="770"/>
    </row>
    <row r="23192" spans="8:10" x14ac:dyDescent="0.35">
      <c r="H23192" s="676"/>
      <c r="I23192" s="676"/>
      <c r="J23192" s="770"/>
    </row>
    <row r="23193" spans="8:10" x14ac:dyDescent="0.35">
      <c r="H23193" s="676"/>
      <c r="I23193" s="676"/>
      <c r="J23193" s="770"/>
    </row>
    <row r="23194" spans="8:10" x14ac:dyDescent="0.35">
      <c r="H23194" s="676"/>
      <c r="I23194" s="676"/>
      <c r="J23194" s="770"/>
    </row>
    <row r="23195" spans="8:10" x14ac:dyDescent="0.35">
      <c r="H23195" s="676"/>
      <c r="I23195" s="676"/>
      <c r="J23195" s="770"/>
    </row>
    <row r="23196" spans="8:10" x14ac:dyDescent="0.35">
      <c r="H23196" s="676"/>
      <c r="I23196" s="676"/>
      <c r="J23196" s="770"/>
    </row>
    <row r="23197" spans="8:10" x14ac:dyDescent="0.35">
      <c r="H23197" s="676"/>
      <c r="I23197" s="676"/>
      <c r="J23197" s="770"/>
    </row>
    <row r="23198" spans="8:10" x14ac:dyDescent="0.35">
      <c r="H23198" s="676"/>
      <c r="I23198" s="676"/>
      <c r="J23198" s="770"/>
    </row>
    <row r="23199" spans="8:10" x14ac:dyDescent="0.35">
      <c r="H23199" s="676"/>
      <c r="I23199" s="676"/>
      <c r="J23199" s="770"/>
    </row>
    <row r="23200" spans="8:10" x14ac:dyDescent="0.35">
      <c r="H23200" s="676"/>
      <c r="I23200" s="676"/>
      <c r="J23200" s="770"/>
    </row>
    <row r="23201" spans="8:10" x14ac:dyDescent="0.35">
      <c r="H23201" s="676"/>
      <c r="I23201" s="676"/>
      <c r="J23201" s="770"/>
    </row>
    <row r="23202" spans="8:10" x14ac:dyDescent="0.35">
      <c r="H23202" s="676"/>
      <c r="I23202" s="676"/>
      <c r="J23202" s="770"/>
    </row>
    <row r="23203" spans="8:10" x14ac:dyDescent="0.35">
      <c r="H23203" s="676"/>
      <c r="I23203" s="676"/>
      <c r="J23203" s="770"/>
    </row>
    <row r="23204" spans="8:10" x14ac:dyDescent="0.35">
      <c r="H23204" s="676"/>
      <c r="I23204" s="676"/>
      <c r="J23204" s="770"/>
    </row>
    <row r="23205" spans="8:10" x14ac:dyDescent="0.35">
      <c r="H23205" s="676"/>
      <c r="I23205" s="676"/>
      <c r="J23205" s="770"/>
    </row>
    <row r="23206" spans="8:10" x14ac:dyDescent="0.35">
      <c r="H23206" s="676"/>
      <c r="I23206" s="676"/>
      <c r="J23206" s="770"/>
    </row>
    <row r="23207" spans="8:10" x14ac:dyDescent="0.35">
      <c r="H23207" s="676"/>
      <c r="I23207" s="676"/>
      <c r="J23207" s="770"/>
    </row>
    <row r="23208" spans="8:10" x14ac:dyDescent="0.35">
      <c r="H23208" s="676"/>
      <c r="I23208" s="676"/>
      <c r="J23208" s="770"/>
    </row>
    <row r="23209" spans="8:10" x14ac:dyDescent="0.35">
      <c r="H23209" s="676"/>
      <c r="I23209" s="676"/>
      <c r="J23209" s="770"/>
    </row>
    <row r="23210" spans="8:10" x14ac:dyDescent="0.35">
      <c r="H23210" s="676"/>
      <c r="I23210" s="676"/>
      <c r="J23210" s="770"/>
    </row>
    <row r="23211" spans="8:10" x14ac:dyDescent="0.35">
      <c r="H23211" s="676"/>
      <c r="I23211" s="676"/>
      <c r="J23211" s="770"/>
    </row>
    <row r="23212" spans="8:10" x14ac:dyDescent="0.35">
      <c r="H23212" s="676"/>
      <c r="I23212" s="676"/>
      <c r="J23212" s="770"/>
    </row>
    <row r="23213" spans="8:10" x14ac:dyDescent="0.35">
      <c r="H23213" s="676"/>
      <c r="I23213" s="676"/>
      <c r="J23213" s="770"/>
    </row>
    <row r="23214" spans="8:10" x14ac:dyDescent="0.35">
      <c r="H23214" s="676"/>
      <c r="I23214" s="676"/>
      <c r="J23214" s="770"/>
    </row>
    <row r="23215" spans="8:10" x14ac:dyDescent="0.35">
      <c r="H23215" s="676"/>
      <c r="I23215" s="676"/>
      <c r="J23215" s="770"/>
    </row>
    <row r="23216" spans="8:10" x14ac:dyDescent="0.35">
      <c r="H23216" s="676"/>
      <c r="I23216" s="676"/>
      <c r="J23216" s="770"/>
    </row>
    <row r="23217" spans="8:10" x14ac:dyDescent="0.35">
      <c r="H23217" s="676"/>
      <c r="I23217" s="676"/>
      <c r="J23217" s="770"/>
    </row>
    <row r="23218" spans="8:10" x14ac:dyDescent="0.35">
      <c r="H23218" s="676"/>
      <c r="I23218" s="676"/>
      <c r="J23218" s="770"/>
    </row>
    <row r="23219" spans="8:10" x14ac:dyDescent="0.35">
      <c r="H23219" s="676"/>
      <c r="I23219" s="676"/>
      <c r="J23219" s="770"/>
    </row>
    <row r="23220" spans="8:10" x14ac:dyDescent="0.35">
      <c r="H23220" s="676"/>
      <c r="I23220" s="676"/>
      <c r="J23220" s="770"/>
    </row>
    <row r="23221" spans="8:10" x14ac:dyDescent="0.35">
      <c r="H23221" s="676"/>
      <c r="I23221" s="676"/>
      <c r="J23221" s="770"/>
    </row>
    <row r="23222" spans="8:10" x14ac:dyDescent="0.35">
      <c r="H23222" s="676"/>
      <c r="I23222" s="676"/>
      <c r="J23222" s="770"/>
    </row>
    <row r="23223" spans="8:10" x14ac:dyDescent="0.35">
      <c r="H23223" s="676"/>
      <c r="I23223" s="676"/>
      <c r="J23223" s="770"/>
    </row>
    <row r="23224" spans="8:10" x14ac:dyDescent="0.35">
      <c r="H23224" s="676"/>
      <c r="I23224" s="676"/>
      <c r="J23224" s="770"/>
    </row>
    <row r="23225" spans="8:10" x14ac:dyDescent="0.35">
      <c r="H23225" s="676"/>
      <c r="I23225" s="676"/>
      <c r="J23225" s="770"/>
    </row>
    <row r="23226" spans="8:10" x14ac:dyDescent="0.35">
      <c r="H23226" s="676"/>
      <c r="I23226" s="676"/>
      <c r="J23226" s="770"/>
    </row>
    <row r="23227" spans="8:10" x14ac:dyDescent="0.35">
      <c r="H23227" s="676"/>
      <c r="I23227" s="676"/>
      <c r="J23227" s="770"/>
    </row>
    <row r="23228" spans="8:10" x14ac:dyDescent="0.35">
      <c r="H23228" s="676"/>
      <c r="I23228" s="676"/>
      <c r="J23228" s="770"/>
    </row>
    <row r="23229" spans="8:10" x14ac:dyDescent="0.35">
      <c r="H23229" s="676"/>
      <c r="I23229" s="676"/>
      <c r="J23229" s="770"/>
    </row>
    <row r="23230" spans="8:10" x14ac:dyDescent="0.35">
      <c r="H23230" s="676"/>
      <c r="I23230" s="676"/>
      <c r="J23230" s="770"/>
    </row>
    <row r="23231" spans="8:10" x14ac:dyDescent="0.35">
      <c r="H23231" s="676"/>
      <c r="I23231" s="676"/>
      <c r="J23231" s="770"/>
    </row>
    <row r="23232" spans="8:10" x14ac:dyDescent="0.35">
      <c r="H23232" s="676"/>
      <c r="I23232" s="676"/>
      <c r="J23232" s="770"/>
    </row>
    <row r="23233" spans="8:10" x14ac:dyDescent="0.35">
      <c r="H23233" s="676"/>
      <c r="I23233" s="676"/>
      <c r="J23233" s="770"/>
    </row>
    <row r="23234" spans="8:10" x14ac:dyDescent="0.35">
      <c r="H23234" s="676"/>
      <c r="I23234" s="676"/>
      <c r="J23234" s="770"/>
    </row>
    <row r="23235" spans="8:10" x14ac:dyDescent="0.35">
      <c r="H23235" s="676"/>
      <c r="I23235" s="676"/>
      <c r="J23235" s="770"/>
    </row>
    <row r="23236" spans="8:10" x14ac:dyDescent="0.35">
      <c r="H23236" s="676"/>
      <c r="I23236" s="676"/>
      <c r="J23236" s="770"/>
    </row>
    <row r="23237" spans="8:10" x14ac:dyDescent="0.35">
      <c r="H23237" s="676"/>
      <c r="I23237" s="676"/>
      <c r="J23237" s="770"/>
    </row>
    <row r="23238" spans="8:10" x14ac:dyDescent="0.35">
      <c r="H23238" s="676"/>
      <c r="I23238" s="676"/>
      <c r="J23238" s="770"/>
    </row>
    <row r="23239" spans="8:10" x14ac:dyDescent="0.35">
      <c r="H23239" s="676"/>
      <c r="I23239" s="676"/>
      <c r="J23239" s="770"/>
    </row>
    <row r="23240" spans="8:10" x14ac:dyDescent="0.35">
      <c r="H23240" s="676"/>
      <c r="I23240" s="676"/>
      <c r="J23240" s="770"/>
    </row>
    <row r="23241" spans="8:10" x14ac:dyDescent="0.35">
      <c r="H23241" s="676"/>
      <c r="I23241" s="676"/>
      <c r="J23241" s="770"/>
    </row>
    <row r="23242" spans="8:10" x14ac:dyDescent="0.35">
      <c r="H23242" s="676"/>
      <c r="I23242" s="676"/>
      <c r="J23242" s="770"/>
    </row>
    <row r="23243" spans="8:10" x14ac:dyDescent="0.35">
      <c r="H23243" s="676"/>
      <c r="I23243" s="676"/>
      <c r="J23243" s="770"/>
    </row>
    <row r="23244" spans="8:10" x14ac:dyDescent="0.35">
      <c r="H23244" s="676"/>
      <c r="I23244" s="676"/>
      <c r="J23244" s="770"/>
    </row>
    <row r="23245" spans="8:10" x14ac:dyDescent="0.35">
      <c r="H23245" s="676"/>
      <c r="I23245" s="676"/>
      <c r="J23245" s="770"/>
    </row>
    <row r="23246" spans="8:10" x14ac:dyDescent="0.35">
      <c r="H23246" s="676"/>
      <c r="I23246" s="676"/>
      <c r="J23246" s="770"/>
    </row>
    <row r="23247" spans="8:10" x14ac:dyDescent="0.35">
      <c r="H23247" s="676"/>
      <c r="I23247" s="676"/>
      <c r="J23247" s="770"/>
    </row>
    <row r="23248" spans="8:10" x14ac:dyDescent="0.35">
      <c r="H23248" s="676"/>
      <c r="I23248" s="676"/>
      <c r="J23248" s="770"/>
    </row>
    <row r="23249" spans="8:10" x14ac:dyDescent="0.35">
      <c r="H23249" s="676"/>
      <c r="I23249" s="676"/>
      <c r="J23249" s="770"/>
    </row>
    <row r="23250" spans="8:10" x14ac:dyDescent="0.35">
      <c r="H23250" s="676"/>
      <c r="I23250" s="676"/>
      <c r="J23250" s="770"/>
    </row>
    <row r="23251" spans="8:10" x14ac:dyDescent="0.35">
      <c r="H23251" s="676"/>
      <c r="I23251" s="676"/>
      <c r="J23251" s="770"/>
    </row>
    <row r="23252" spans="8:10" x14ac:dyDescent="0.35">
      <c r="H23252" s="676"/>
      <c r="I23252" s="676"/>
      <c r="J23252" s="770"/>
    </row>
    <row r="23253" spans="8:10" x14ac:dyDescent="0.35">
      <c r="H23253" s="676"/>
      <c r="I23253" s="676"/>
      <c r="J23253" s="770"/>
    </row>
    <row r="23254" spans="8:10" x14ac:dyDescent="0.35">
      <c r="H23254" s="676"/>
      <c r="I23254" s="676"/>
      <c r="J23254" s="770"/>
    </row>
    <row r="23255" spans="8:10" x14ac:dyDescent="0.35">
      <c r="H23255" s="676"/>
      <c r="I23255" s="676"/>
      <c r="J23255" s="770"/>
    </row>
    <row r="23256" spans="8:10" x14ac:dyDescent="0.35">
      <c r="H23256" s="676"/>
      <c r="I23256" s="676"/>
      <c r="J23256" s="770"/>
    </row>
    <row r="23257" spans="8:10" x14ac:dyDescent="0.35">
      <c r="H23257" s="676"/>
      <c r="I23257" s="676"/>
      <c r="J23257" s="770"/>
    </row>
    <row r="23258" spans="8:10" x14ac:dyDescent="0.35">
      <c r="H23258" s="676"/>
      <c r="I23258" s="676"/>
      <c r="J23258" s="770"/>
    </row>
    <row r="23259" spans="8:10" x14ac:dyDescent="0.35">
      <c r="H23259" s="676"/>
      <c r="I23259" s="676"/>
      <c r="J23259" s="770"/>
    </row>
    <row r="23260" spans="8:10" x14ac:dyDescent="0.35">
      <c r="H23260" s="676"/>
      <c r="I23260" s="676"/>
      <c r="J23260" s="770"/>
    </row>
    <row r="23261" spans="8:10" x14ac:dyDescent="0.35">
      <c r="H23261" s="676"/>
      <c r="I23261" s="676"/>
      <c r="J23261" s="770"/>
    </row>
    <row r="23262" spans="8:10" x14ac:dyDescent="0.35">
      <c r="H23262" s="676"/>
      <c r="I23262" s="676"/>
      <c r="J23262" s="770"/>
    </row>
    <row r="23263" spans="8:10" x14ac:dyDescent="0.35">
      <c r="H23263" s="676"/>
      <c r="I23263" s="676"/>
      <c r="J23263" s="770"/>
    </row>
    <row r="23264" spans="8:10" x14ac:dyDescent="0.35">
      <c r="H23264" s="676"/>
      <c r="I23264" s="676"/>
      <c r="J23264" s="770"/>
    </row>
    <row r="23265" spans="8:10" x14ac:dyDescent="0.35">
      <c r="H23265" s="676"/>
      <c r="I23265" s="676"/>
      <c r="J23265" s="770"/>
    </row>
    <row r="23266" spans="8:10" x14ac:dyDescent="0.35">
      <c r="H23266" s="676"/>
      <c r="I23266" s="676"/>
      <c r="J23266" s="770"/>
    </row>
    <row r="23267" spans="8:10" x14ac:dyDescent="0.35">
      <c r="H23267" s="676"/>
      <c r="I23267" s="676"/>
      <c r="J23267" s="770"/>
    </row>
    <row r="23268" spans="8:10" x14ac:dyDescent="0.35">
      <c r="H23268" s="676"/>
      <c r="I23268" s="676"/>
      <c r="J23268" s="770"/>
    </row>
    <row r="23269" spans="8:10" x14ac:dyDescent="0.35">
      <c r="H23269" s="676"/>
      <c r="I23269" s="676"/>
      <c r="J23269" s="770"/>
    </row>
    <row r="23270" spans="8:10" x14ac:dyDescent="0.35">
      <c r="H23270" s="676"/>
      <c r="I23270" s="676"/>
      <c r="J23270" s="770"/>
    </row>
    <row r="23271" spans="8:10" x14ac:dyDescent="0.35">
      <c r="H23271" s="676"/>
      <c r="I23271" s="676"/>
      <c r="J23271" s="770"/>
    </row>
    <row r="23272" spans="8:10" x14ac:dyDescent="0.35">
      <c r="H23272" s="676"/>
      <c r="I23272" s="676"/>
      <c r="J23272" s="770"/>
    </row>
    <row r="23273" spans="8:10" x14ac:dyDescent="0.35">
      <c r="H23273" s="676"/>
      <c r="I23273" s="676"/>
      <c r="J23273" s="770"/>
    </row>
    <row r="23274" spans="8:10" x14ac:dyDescent="0.35">
      <c r="H23274" s="676"/>
      <c r="I23274" s="676"/>
      <c r="J23274" s="770"/>
    </row>
    <row r="23275" spans="8:10" x14ac:dyDescent="0.35">
      <c r="H23275" s="676"/>
      <c r="I23275" s="676"/>
      <c r="J23275" s="770"/>
    </row>
    <row r="23276" spans="8:10" x14ac:dyDescent="0.35">
      <c r="H23276" s="676"/>
      <c r="I23276" s="676"/>
      <c r="J23276" s="770"/>
    </row>
    <row r="23277" spans="8:10" x14ac:dyDescent="0.35">
      <c r="H23277" s="676"/>
      <c r="I23277" s="676"/>
      <c r="J23277" s="770"/>
    </row>
    <row r="23278" spans="8:10" x14ac:dyDescent="0.35">
      <c r="H23278" s="676"/>
      <c r="I23278" s="676"/>
      <c r="J23278" s="770"/>
    </row>
    <row r="23279" spans="8:10" x14ac:dyDescent="0.35">
      <c r="H23279" s="676"/>
      <c r="I23279" s="676"/>
      <c r="J23279" s="770"/>
    </row>
    <row r="23280" spans="8:10" x14ac:dyDescent="0.35">
      <c r="H23280" s="676"/>
      <c r="I23280" s="676"/>
      <c r="J23280" s="770"/>
    </row>
    <row r="23281" spans="8:10" x14ac:dyDescent="0.35">
      <c r="H23281" s="676"/>
      <c r="I23281" s="676"/>
      <c r="J23281" s="770"/>
    </row>
    <row r="23282" spans="8:10" x14ac:dyDescent="0.35">
      <c r="H23282" s="676"/>
      <c r="I23282" s="676"/>
      <c r="J23282" s="770"/>
    </row>
    <row r="23283" spans="8:10" x14ac:dyDescent="0.35">
      <c r="H23283" s="676"/>
      <c r="I23283" s="676"/>
      <c r="J23283" s="770"/>
    </row>
    <row r="23284" spans="8:10" x14ac:dyDescent="0.35">
      <c r="H23284" s="676"/>
      <c r="I23284" s="676"/>
      <c r="J23284" s="770"/>
    </row>
    <row r="23285" spans="8:10" x14ac:dyDescent="0.35">
      <c r="H23285" s="676"/>
      <c r="I23285" s="676"/>
      <c r="J23285" s="770"/>
    </row>
    <row r="23286" spans="8:10" x14ac:dyDescent="0.35">
      <c r="H23286" s="676"/>
      <c r="I23286" s="676"/>
      <c r="J23286" s="770"/>
    </row>
    <row r="23287" spans="8:10" x14ac:dyDescent="0.35">
      <c r="H23287" s="676"/>
      <c r="I23287" s="676"/>
      <c r="J23287" s="770"/>
    </row>
    <row r="23288" spans="8:10" x14ac:dyDescent="0.35">
      <c r="H23288" s="676"/>
      <c r="I23288" s="676"/>
      <c r="J23288" s="770"/>
    </row>
    <row r="23289" spans="8:10" x14ac:dyDescent="0.35">
      <c r="H23289" s="676"/>
      <c r="I23289" s="676"/>
      <c r="J23289" s="770"/>
    </row>
    <row r="23290" spans="8:10" x14ac:dyDescent="0.35">
      <c r="H23290" s="676"/>
      <c r="I23290" s="676"/>
      <c r="J23290" s="770"/>
    </row>
    <row r="23291" spans="8:10" x14ac:dyDescent="0.35">
      <c r="H23291" s="676"/>
      <c r="I23291" s="676"/>
      <c r="J23291" s="770"/>
    </row>
    <row r="23292" spans="8:10" x14ac:dyDescent="0.35">
      <c r="H23292" s="676"/>
      <c r="I23292" s="676"/>
      <c r="J23292" s="770"/>
    </row>
    <row r="23293" spans="8:10" x14ac:dyDescent="0.35">
      <c r="H23293" s="676"/>
      <c r="I23293" s="676"/>
      <c r="J23293" s="770"/>
    </row>
    <row r="23294" spans="8:10" x14ac:dyDescent="0.35">
      <c r="H23294" s="676"/>
      <c r="I23294" s="676"/>
      <c r="J23294" s="770"/>
    </row>
    <row r="23295" spans="8:10" x14ac:dyDescent="0.35">
      <c r="H23295" s="676"/>
      <c r="I23295" s="676"/>
      <c r="J23295" s="770"/>
    </row>
    <row r="23296" spans="8:10" x14ac:dyDescent="0.35">
      <c r="H23296" s="676"/>
      <c r="I23296" s="676"/>
      <c r="J23296" s="770"/>
    </row>
    <row r="23297" spans="8:10" x14ac:dyDescent="0.35">
      <c r="H23297" s="676"/>
      <c r="I23297" s="676"/>
      <c r="J23297" s="770"/>
    </row>
    <row r="23298" spans="8:10" x14ac:dyDescent="0.35">
      <c r="H23298" s="676"/>
      <c r="I23298" s="676"/>
      <c r="J23298" s="770"/>
    </row>
    <row r="23299" spans="8:10" x14ac:dyDescent="0.35">
      <c r="H23299" s="676"/>
      <c r="I23299" s="676"/>
      <c r="J23299" s="770"/>
    </row>
    <row r="23300" spans="8:10" x14ac:dyDescent="0.35">
      <c r="H23300" s="676"/>
      <c r="I23300" s="676"/>
      <c r="J23300" s="770"/>
    </row>
    <row r="23301" spans="8:10" x14ac:dyDescent="0.35">
      <c r="H23301" s="676"/>
      <c r="I23301" s="676"/>
      <c r="J23301" s="770"/>
    </row>
    <row r="23302" spans="8:10" x14ac:dyDescent="0.35">
      <c r="H23302" s="676"/>
      <c r="I23302" s="676"/>
      <c r="J23302" s="770"/>
    </row>
    <row r="23303" spans="8:10" x14ac:dyDescent="0.35">
      <c r="H23303" s="676"/>
      <c r="I23303" s="676"/>
      <c r="J23303" s="770"/>
    </row>
    <row r="23304" spans="8:10" x14ac:dyDescent="0.35">
      <c r="H23304" s="676"/>
      <c r="I23304" s="676"/>
      <c r="J23304" s="770"/>
    </row>
    <row r="23305" spans="8:10" x14ac:dyDescent="0.35">
      <c r="H23305" s="676"/>
      <c r="I23305" s="676"/>
      <c r="J23305" s="770"/>
    </row>
    <row r="23306" spans="8:10" x14ac:dyDescent="0.35">
      <c r="H23306" s="676"/>
      <c r="I23306" s="676"/>
      <c r="J23306" s="770"/>
    </row>
    <row r="23307" spans="8:10" x14ac:dyDescent="0.35">
      <c r="H23307" s="676"/>
      <c r="I23307" s="676"/>
      <c r="J23307" s="770"/>
    </row>
    <row r="23308" spans="8:10" x14ac:dyDescent="0.35">
      <c r="H23308" s="676"/>
      <c r="I23308" s="676"/>
      <c r="J23308" s="770"/>
    </row>
    <row r="23309" spans="8:10" x14ac:dyDescent="0.35">
      <c r="H23309" s="676"/>
      <c r="I23309" s="676"/>
      <c r="J23309" s="770"/>
    </row>
    <row r="23310" spans="8:10" x14ac:dyDescent="0.35">
      <c r="H23310" s="676"/>
      <c r="I23310" s="676"/>
      <c r="J23310" s="770"/>
    </row>
    <row r="23311" spans="8:10" x14ac:dyDescent="0.35">
      <c r="H23311" s="676"/>
      <c r="I23311" s="676"/>
      <c r="J23311" s="770"/>
    </row>
    <row r="23312" spans="8:10" x14ac:dyDescent="0.35">
      <c r="H23312" s="676"/>
      <c r="I23312" s="676"/>
      <c r="J23312" s="770"/>
    </row>
    <row r="23313" spans="8:10" x14ac:dyDescent="0.35">
      <c r="H23313" s="676"/>
      <c r="I23313" s="676"/>
      <c r="J23313" s="770"/>
    </row>
    <row r="23314" spans="8:10" x14ac:dyDescent="0.35">
      <c r="H23314" s="676"/>
      <c r="I23314" s="676"/>
      <c r="J23314" s="770"/>
    </row>
    <row r="23315" spans="8:10" x14ac:dyDescent="0.35">
      <c r="H23315" s="676"/>
      <c r="I23315" s="676"/>
      <c r="J23315" s="770"/>
    </row>
    <row r="23316" spans="8:10" x14ac:dyDescent="0.35">
      <c r="H23316" s="676"/>
      <c r="I23316" s="676"/>
      <c r="J23316" s="770"/>
    </row>
    <row r="23317" spans="8:10" x14ac:dyDescent="0.35">
      <c r="H23317" s="676"/>
      <c r="I23317" s="676"/>
      <c r="J23317" s="770"/>
    </row>
    <row r="23318" spans="8:10" x14ac:dyDescent="0.35">
      <c r="H23318" s="676"/>
      <c r="I23318" s="676"/>
      <c r="J23318" s="770"/>
    </row>
    <row r="23319" spans="8:10" x14ac:dyDescent="0.35">
      <c r="H23319" s="676"/>
      <c r="I23319" s="676"/>
      <c r="J23319" s="770"/>
    </row>
    <row r="23320" spans="8:10" x14ac:dyDescent="0.35">
      <c r="H23320" s="676"/>
      <c r="I23320" s="676"/>
      <c r="J23320" s="770"/>
    </row>
    <row r="23321" spans="8:10" x14ac:dyDescent="0.35">
      <c r="H23321" s="676"/>
      <c r="I23321" s="676"/>
      <c r="J23321" s="770"/>
    </row>
    <row r="23322" spans="8:10" x14ac:dyDescent="0.35">
      <c r="H23322" s="676"/>
      <c r="I23322" s="676"/>
      <c r="J23322" s="770"/>
    </row>
    <row r="23323" spans="8:10" x14ac:dyDescent="0.35">
      <c r="H23323" s="676"/>
      <c r="I23323" s="676"/>
      <c r="J23323" s="770"/>
    </row>
    <row r="23324" spans="8:10" x14ac:dyDescent="0.35">
      <c r="H23324" s="676"/>
      <c r="I23324" s="676"/>
      <c r="J23324" s="770"/>
    </row>
    <row r="23325" spans="8:10" x14ac:dyDescent="0.35">
      <c r="H23325" s="676"/>
      <c r="I23325" s="676"/>
      <c r="J23325" s="770"/>
    </row>
    <row r="23326" spans="8:10" x14ac:dyDescent="0.35">
      <c r="H23326" s="676"/>
      <c r="I23326" s="676"/>
      <c r="J23326" s="770"/>
    </row>
    <row r="23327" spans="8:10" x14ac:dyDescent="0.35">
      <c r="H23327" s="676"/>
      <c r="I23327" s="676"/>
      <c r="J23327" s="770"/>
    </row>
    <row r="23328" spans="8:10" x14ac:dyDescent="0.35">
      <c r="H23328" s="676"/>
      <c r="I23328" s="676"/>
      <c r="J23328" s="770"/>
    </row>
    <row r="23329" spans="8:10" x14ac:dyDescent="0.35">
      <c r="H23329" s="676"/>
      <c r="I23329" s="676"/>
      <c r="J23329" s="770"/>
    </row>
    <row r="23330" spans="8:10" x14ac:dyDescent="0.35">
      <c r="H23330" s="676"/>
      <c r="I23330" s="676"/>
      <c r="J23330" s="770"/>
    </row>
    <row r="23331" spans="8:10" x14ac:dyDescent="0.35">
      <c r="H23331" s="676"/>
      <c r="I23331" s="676"/>
      <c r="J23331" s="770"/>
    </row>
    <row r="23332" spans="8:10" x14ac:dyDescent="0.35">
      <c r="H23332" s="676"/>
      <c r="I23332" s="676"/>
      <c r="J23332" s="770"/>
    </row>
    <row r="23333" spans="8:10" x14ac:dyDescent="0.35">
      <c r="H23333" s="676"/>
      <c r="I23333" s="676"/>
      <c r="J23333" s="770"/>
    </row>
    <row r="23334" spans="8:10" x14ac:dyDescent="0.35">
      <c r="H23334" s="676"/>
      <c r="I23334" s="676"/>
      <c r="J23334" s="770"/>
    </row>
    <row r="23335" spans="8:10" x14ac:dyDescent="0.35">
      <c r="H23335" s="676"/>
      <c r="I23335" s="676"/>
      <c r="J23335" s="770"/>
    </row>
    <row r="23336" spans="8:10" x14ac:dyDescent="0.35">
      <c r="H23336" s="676"/>
      <c r="I23336" s="676"/>
      <c r="J23336" s="770"/>
    </row>
    <row r="23337" spans="8:10" x14ac:dyDescent="0.35">
      <c r="H23337" s="676"/>
      <c r="I23337" s="676"/>
      <c r="J23337" s="770"/>
    </row>
    <row r="23338" spans="8:10" x14ac:dyDescent="0.35">
      <c r="H23338" s="676"/>
      <c r="I23338" s="676"/>
      <c r="J23338" s="770"/>
    </row>
    <row r="23339" spans="8:10" x14ac:dyDescent="0.35">
      <c r="H23339" s="676"/>
      <c r="I23339" s="676"/>
      <c r="J23339" s="770"/>
    </row>
    <row r="23340" spans="8:10" x14ac:dyDescent="0.35">
      <c r="H23340" s="676"/>
      <c r="I23340" s="676"/>
      <c r="J23340" s="770"/>
    </row>
    <row r="23341" spans="8:10" x14ac:dyDescent="0.35">
      <c r="H23341" s="676"/>
      <c r="I23341" s="676"/>
      <c r="J23341" s="770"/>
    </row>
    <row r="23342" spans="8:10" x14ac:dyDescent="0.35">
      <c r="H23342" s="676"/>
      <c r="I23342" s="676"/>
      <c r="J23342" s="770"/>
    </row>
    <row r="23343" spans="8:10" x14ac:dyDescent="0.35">
      <c r="H23343" s="676"/>
      <c r="I23343" s="676"/>
      <c r="J23343" s="770"/>
    </row>
    <row r="23344" spans="8:10" x14ac:dyDescent="0.35">
      <c r="H23344" s="676"/>
      <c r="I23344" s="676"/>
      <c r="J23344" s="770"/>
    </row>
    <row r="23345" spans="8:10" x14ac:dyDescent="0.35">
      <c r="H23345" s="676"/>
      <c r="I23345" s="676"/>
      <c r="J23345" s="770"/>
    </row>
    <row r="23346" spans="8:10" x14ac:dyDescent="0.35">
      <c r="H23346" s="676"/>
      <c r="I23346" s="676"/>
      <c r="J23346" s="770"/>
    </row>
    <row r="23347" spans="8:10" x14ac:dyDescent="0.35">
      <c r="H23347" s="676"/>
      <c r="I23347" s="676"/>
      <c r="J23347" s="770"/>
    </row>
    <row r="23348" spans="8:10" x14ac:dyDescent="0.35">
      <c r="H23348" s="676"/>
      <c r="I23348" s="676"/>
      <c r="J23348" s="770"/>
    </row>
    <row r="23349" spans="8:10" x14ac:dyDescent="0.35">
      <c r="H23349" s="676"/>
      <c r="I23349" s="676"/>
      <c r="J23349" s="770"/>
    </row>
    <row r="23350" spans="8:10" x14ac:dyDescent="0.35">
      <c r="H23350" s="676"/>
      <c r="I23350" s="676"/>
      <c r="J23350" s="770"/>
    </row>
    <row r="23351" spans="8:10" x14ac:dyDescent="0.35">
      <c r="H23351" s="676"/>
      <c r="I23351" s="676"/>
      <c r="J23351" s="770"/>
    </row>
    <row r="23352" spans="8:10" x14ac:dyDescent="0.35">
      <c r="H23352" s="676"/>
      <c r="I23352" s="676"/>
      <c r="J23352" s="770"/>
    </row>
    <row r="23353" spans="8:10" x14ac:dyDescent="0.35">
      <c r="H23353" s="676"/>
      <c r="I23353" s="676"/>
      <c r="J23353" s="770"/>
    </row>
    <row r="23354" spans="8:10" x14ac:dyDescent="0.35">
      <c r="H23354" s="676"/>
      <c r="I23354" s="676"/>
      <c r="J23354" s="770"/>
    </row>
    <row r="23355" spans="8:10" x14ac:dyDescent="0.35">
      <c r="H23355" s="676"/>
      <c r="I23355" s="676"/>
      <c r="J23355" s="770"/>
    </row>
    <row r="23356" spans="8:10" x14ac:dyDescent="0.35">
      <c r="H23356" s="676"/>
      <c r="I23356" s="676"/>
      <c r="J23356" s="770"/>
    </row>
    <row r="23357" spans="8:10" x14ac:dyDescent="0.35">
      <c r="H23357" s="676"/>
      <c r="I23357" s="676"/>
      <c r="J23357" s="770"/>
    </row>
    <row r="23358" spans="8:10" x14ac:dyDescent="0.35">
      <c r="H23358" s="676"/>
      <c r="I23358" s="676"/>
      <c r="J23358" s="770"/>
    </row>
    <row r="23359" spans="8:10" x14ac:dyDescent="0.35">
      <c r="H23359" s="676"/>
      <c r="I23359" s="676"/>
      <c r="J23359" s="770"/>
    </row>
    <row r="23360" spans="8:10" x14ac:dyDescent="0.35">
      <c r="H23360" s="676"/>
      <c r="I23360" s="676"/>
      <c r="J23360" s="770"/>
    </row>
    <row r="23361" spans="8:10" x14ac:dyDescent="0.35">
      <c r="H23361" s="676"/>
      <c r="I23361" s="676"/>
      <c r="J23361" s="770"/>
    </row>
    <row r="23362" spans="8:10" x14ac:dyDescent="0.35">
      <c r="H23362" s="676"/>
      <c r="I23362" s="676"/>
      <c r="J23362" s="770"/>
    </row>
    <row r="23363" spans="8:10" x14ac:dyDescent="0.35">
      <c r="H23363" s="676"/>
      <c r="I23363" s="676"/>
      <c r="J23363" s="770"/>
    </row>
    <row r="23364" spans="8:10" x14ac:dyDescent="0.35">
      <c r="H23364" s="676"/>
      <c r="I23364" s="676"/>
      <c r="J23364" s="770"/>
    </row>
    <row r="23365" spans="8:10" x14ac:dyDescent="0.35">
      <c r="H23365" s="676"/>
      <c r="I23365" s="676"/>
      <c r="J23365" s="770"/>
    </row>
    <row r="23366" spans="8:10" x14ac:dyDescent="0.35">
      <c r="H23366" s="676"/>
      <c r="I23366" s="676"/>
      <c r="J23366" s="770"/>
    </row>
    <row r="23367" spans="8:10" x14ac:dyDescent="0.35">
      <c r="H23367" s="676"/>
      <c r="I23367" s="676"/>
      <c r="J23367" s="770"/>
    </row>
    <row r="23368" spans="8:10" x14ac:dyDescent="0.35">
      <c r="H23368" s="676"/>
      <c r="I23368" s="676"/>
      <c r="J23368" s="770"/>
    </row>
    <row r="23369" spans="8:10" x14ac:dyDescent="0.35">
      <c r="H23369" s="676"/>
      <c r="I23369" s="676"/>
      <c r="J23369" s="770"/>
    </row>
    <row r="23370" spans="8:10" x14ac:dyDescent="0.35">
      <c r="H23370" s="676"/>
      <c r="I23370" s="676"/>
      <c r="J23370" s="770"/>
    </row>
    <row r="23371" spans="8:10" x14ac:dyDescent="0.35">
      <c r="H23371" s="676"/>
      <c r="I23371" s="676"/>
      <c r="J23371" s="770"/>
    </row>
    <row r="23372" spans="8:10" x14ac:dyDescent="0.35">
      <c r="H23372" s="676"/>
      <c r="I23372" s="676"/>
      <c r="J23372" s="770"/>
    </row>
    <row r="23373" spans="8:10" x14ac:dyDescent="0.35">
      <c r="H23373" s="676"/>
      <c r="I23373" s="676"/>
      <c r="J23373" s="770"/>
    </row>
    <row r="23374" spans="8:10" x14ac:dyDescent="0.35">
      <c r="H23374" s="676"/>
      <c r="I23374" s="676"/>
      <c r="J23374" s="770"/>
    </row>
    <row r="23375" spans="8:10" x14ac:dyDescent="0.35">
      <c r="H23375" s="676"/>
      <c r="I23375" s="676"/>
      <c r="J23375" s="770"/>
    </row>
    <row r="23376" spans="8:10" x14ac:dyDescent="0.35">
      <c r="H23376" s="676"/>
      <c r="I23376" s="676"/>
      <c r="J23376" s="770"/>
    </row>
    <row r="23377" spans="8:10" x14ac:dyDescent="0.35">
      <c r="H23377" s="676"/>
      <c r="I23377" s="676"/>
      <c r="J23377" s="770"/>
    </row>
    <row r="23378" spans="8:10" x14ac:dyDescent="0.35">
      <c r="H23378" s="676"/>
      <c r="I23378" s="676"/>
      <c r="J23378" s="770"/>
    </row>
    <row r="23379" spans="8:10" x14ac:dyDescent="0.35">
      <c r="H23379" s="676"/>
      <c r="I23379" s="676"/>
      <c r="J23379" s="770"/>
    </row>
    <row r="23380" spans="8:10" x14ac:dyDescent="0.35">
      <c r="H23380" s="676"/>
      <c r="I23380" s="676"/>
      <c r="J23380" s="770"/>
    </row>
    <row r="23381" spans="8:10" x14ac:dyDescent="0.35">
      <c r="H23381" s="676"/>
      <c r="I23381" s="676"/>
      <c r="J23381" s="770"/>
    </row>
    <row r="23382" spans="8:10" x14ac:dyDescent="0.35">
      <c r="H23382" s="676"/>
      <c r="I23382" s="676"/>
      <c r="J23382" s="770"/>
    </row>
    <row r="23383" spans="8:10" x14ac:dyDescent="0.35">
      <c r="H23383" s="676"/>
      <c r="I23383" s="676"/>
      <c r="J23383" s="770"/>
    </row>
    <row r="23384" spans="8:10" x14ac:dyDescent="0.35">
      <c r="H23384" s="676"/>
      <c r="I23384" s="676"/>
      <c r="J23384" s="770"/>
    </row>
    <row r="23385" spans="8:10" x14ac:dyDescent="0.35">
      <c r="H23385" s="676"/>
      <c r="I23385" s="676"/>
      <c r="J23385" s="770"/>
    </row>
    <row r="23386" spans="8:10" x14ac:dyDescent="0.35">
      <c r="H23386" s="676"/>
      <c r="I23386" s="676"/>
      <c r="J23386" s="770"/>
    </row>
    <row r="23387" spans="8:10" x14ac:dyDescent="0.35">
      <c r="H23387" s="676"/>
      <c r="I23387" s="676"/>
      <c r="J23387" s="770"/>
    </row>
    <row r="23388" spans="8:10" x14ac:dyDescent="0.35">
      <c r="H23388" s="676"/>
      <c r="I23388" s="676"/>
      <c r="J23388" s="770"/>
    </row>
    <row r="23389" spans="8:10" x14ac:dyDescent="0.35">
      <c r="H23389" s="676"/>
      <c r="I23389" s="676"/>
      <c r="J23389" s="770"/>
    </row>
    <row r="23390" spans="8:10" x14ac:dyDescent="0.35">
      <c r="H23390" s="676"/>
      <c r="I23390" s="676"/>
      <c r="J23390" s="770"/>
    </row>
    <row r="23391" spans="8:10" x14ac:dyDescent="0.35">
      <c r="H23391" s="676"/>
      <c r="I23391" s="676"/>
      <c r="J23391" s="770"/>
    </row>
    <row r="23392" spans="8:10" x14ac:dyDescent="0.35">
      <c r="H23392" s="676"/>
      <c r="I23392" s="676"/>
      <c r="J23392" s="770"/>
    </row>
    <row r="23393" spans="8:10" x14ac:dyDescent="0.35">
      <c r="H23393" s="676"/>
      <c r="I23393" s="676"/>
      <c r="J23393" s="770"/>
    </row>
    <row r="23394" spans="8:10" x14ac:dyDescent="0.35">
      <c r="H23394" s="676"/>
      <c r="I23394" s="676"/>
      <c r="J23394" s="770"/>
    </row>
    <row r="23395" spans="8:10" x14ac:dyDescent="0.35">
      <c r="H23395" s="676"/>
      <c r="I23395" s="676"/>
      <c r="J23395" s="770"/>
    </row>
    <row r="23396" spans="8:10" x14ac:dyDescent="0.35">
      <c r="H23396" s="676"/>
      <c r="I23396" s="676"/>
      <c r="J23396" s="770"/>
    </row>
    <row r="23397" spans="8:10" x14ac:dyDescent="0.35">
      <c r="H23397" s="676"/>
      <c r="I23397" s="676"/>
      <c r="J23397" s="770"/>
    </row>
    <row r="23398" spans="8:10" x14ac:dyDescent="0.35">
      <c r="H23398" s="676"/>
      <c r="I23398" s="676"/>
      <c r="J23398" s="770"/>
    </row>
    <row r="23399" spans="8:10" x14ac:dyDescent="0.35">
      <c r="H23399" s="676"/>
      <c r="I23399" s="676"/>
      <c r="J23399" s="770"/>
    </row>
    <row r="23400" spans="8:10" x14ac:dyDescent="0.35">
      <c r="H23400" s="676"/>
      <c r="I23400" s="676"/>
      <c r="J23400" s="770"/>
    </row>
    <row r="23401" spans="8:10" x14ac:dyDescent="0.35">
      <c r="H23401" s="676"/>
      <c r="I23401" s="676"/>
      <c r="J23401" s="770"/>
    </row>
    <row r="23402" spans="8:10" x14ac:dyDescent="0.35">
      <c r="H23402" s="676"/>
      <c r="I23402" s="676"/>
      <c r="J23402" s="770"/>
    </row>
    <row r="23403" spans="8:10" x14ac:dyDescent="0.35">
      <c r="H23403" s="676"/>
      <c r="I23403" s="676"/>
      <c r="J23403" s="770"/>
    </row>
    <row r="23404" spans="8:10" x14ac:dyDescent="0.35">
      <c r="H23404" s="676"/>
      <c r="I23404" s="676"/>
      <c r="J23404" s="770"/>
    </row>
    <row r="23405" spans="8:10" x14ac:dyDescent="0.35">
      <c r="H23405" s="676"/>
      <c r="I23405" s="676"/>
      <c r="J23405" s="770"/>
    </row>
    <row r="23406" spans="8:10" x14ac:dyDescent="0.35">
      <c r="H23406" s="676"/>
      <c r="I23406" s="676"/>
      <c r="J23406" s="770"/>
    </row>
    <row r="23407" spans="8:10" x14ac:dyDescent="0.35">
      <c r="H23407" s="676"/>
      <c r="I23407" s="676"/>
      <c r="J23407" s="770"/>
    </row>
    <row r="23408" spans="8:10" x14ac:dyDescent="0.35">
      <c r="H23408" s="676"/>
      <c r="I23408" s="676"/>
      <c r="J23408" s="770"/>
    </row>
    <row r="23409" spans="8:10" x14ac:dyDescent="0.35">
      <c r="H23409" s="676"/>
      <c r="I23409" s="676"/>
      <c r="J23409" s="770"/>
    </row>
    <row r="23410" spans="8:10" x14ac:dyDescent="0.35">
      <c r="H23410" s="676"/>
      <c r="I23410" s="676"/>
      <c r="J23410" s="770"/>
    </row>
    <row r="23411" spans="8:10" x14ac:dyDescent="0.35">
      <c r="H23411" s="676"/>
      <c r="I23411" s="676"/>
      <c r="J23411" s="770"/>
    </row>
    <row r="23412" spans="8:10" x14ac:dyDescent="0.35">
      <c r="H23412" s="676"/>
      <c r="I23412" s="676"/>
      <c r="J23412" s="770"/>
    </row>
    <row r="23413" spans="8:10" x14ac:dyDescent="0.35">
      <c r="H23413" s="676"/>
      <c r="I23413" s="676"/>
      <c r="J23413" s="770"/>
    </row>
    <row r="23414" spans="8:10" x14ac:dyDescent="0.35">
      <c r="H23414" s="676"/>
      <c r="I23414" s="676"/>
      <c r="J23414" s="770"/>
    </row>
    <row r="23415" spans="8:10" x14ac:dyDescent="0.35">
      <c r="H23415" s="676"/>
      <c r="I23415" s="676"/>
      <c r="J23415" s="770"/>
    </row>
    <row r="23416" spans="8:10" x14ac:dyDescent="0.35">
      <c r="H23416" s="676"/>
      <c r="I23416" s="676"/>
      <c r="J23416" s="770"/>
    </row>
    <row r="23417" spans="8:10" x14ac:dyDescent="0.35">
      <c r="H23417" s="676"/>
      <c r="I23417" s="676"/>
      <c r="J23417" s="770"/>
    </row>
    <row r="23418" spans="8:10" x14ac:dyDescent="0.35">
      <c r="H23418" s="676"/>
      <c r="I23418" s="676"/>
      <c r="J23418" s="770"/>
    </row>
    <row r="23419" spans="8:10" x14ac:dyDescent="0.35">
      <c r="H23419" s="676"/>
      <c r="I23419" s="676"/>
      <c r="J23419" s="770"/>
    </row>
    <row r="23420" spans="8:10" x14ac:dyDescent="0.35">
      <c r="H23420" s="676"/>
      <c r="I23420" s="676"/>
      <c r="J23420" s="770"/>
    </row>
    <row r="23421" spans="8:10" x14ac:dyDescent="0.35">
      <c r="H23421" s="676"/>
      <c r="I23421" s="676"/>
      <c r="J23421" s="770"/>
    </row>
    <row r="23422" spans="8:10" x14ac:dyDescent="0.35">
      <c r="H23422" s="676"/>
      <c r="I23422" s="676"/>
      <c r="J23422" s="770"/>
    </row>
    <row r="23423" spans="8:10" x14ac:dyDescent="0.35">
      <c r="H23423" s="676"/>
      <c r="I23423" s="676"/>
      <c r="J23423" s="770"/>
    </row>
    <row r="23424" spans="8:10" x14ac:dyDescent="0.35">
      <c r="H23424" s="676"/>
      <c r="I23424" s="676"/>
      <c r="J23424" s="770"/>
    </row>
    <row r="23425" spans="8:10" x14ac:dyDescent="0.35">
      <c r="H23425" s="676"/>
      <c r="I23425" s="676"/>
      <c r="J23425" s="770"/>
    </row>
    <row r="23426" spans="8:10" x14ac:dyDescent="0.35">
      <c r="H23426" s="676"/>
      <c r="I23426" s="676"/>
      <c r="J23426" s="770"/>
    </row>
    <row r="23427" spans="8:10" x14ac:dyDescent="0.35">
      <c r="H23427" s="676"/>
      <c r="I23427" s="676"/>
      <c r="J23427" s="770"/>
    </row>
    <row r="23428" spans="8:10" x14ac:dyDescent="0.35">
      <c r="H23428" s="676"/>
      <c r="I23428" s="676"/>
      <c r="J23428" s="770"/>
    </row>
    <row r="23429" spans="8:10" x14ac:dyDescent="0.35">
      <c r="H23429" s="676"/>
      <c r="I23429" s="676"/>
      <c r="J23429" s="770"/>
    </row>
    <row r="23430" spans="8:10" x14ac:dyDescent="0.35">
      <c r="H23430" s="676"/>
      <c r="I23430" s="676"/>
      <c r="J23430" s="770"/>
    </row>
    <row r="23431" spans="8:10" x14ac:dyDescent="0.35">
      <c r="H23431" s="676"/>
      <c r="I23431" s="676"/>
      <c r="J23431" s="770"/>
    </row>
    <row r="23432" spans="8:10" x14ac:dyDescent="0.35">
      <c r="H23432" s="676"/>
      <c r="I23432" s="676"/>
      <c r="J23432" s="770"/>
    </row>
    <row r="23433" spans="8:10" x14ac:dyDescent="0.35">
      <c r="H23433" s="676"/>
      <c r="I23433" s="676"/>
      <c r="J23433" s="770"/>
    </row>
    <row r="23434" spans="8:10" x14ac:dyDescent="0.35">
      <c r="H23434" s="676"/>
      <c r="I23434" s="676"/>
      <c r="J23434" s="770"/>
    </row>
    <row r="23435" spans="8:10" x14ac:dyDescent="0.35">
      <c r="H23435" s="676"/>
      <c r="I23435" s="676"/>
      <c r="J23435" s="770"/>
    </row>
    <row r="23436" spans="8:10" x14ac:dyDescent="0.35">
      <c r="H23436" s="676"/>
      <c r="I23436" s="676"/>
      <c r="J23436" s="770"/>
    </row>
    <row r="23437" spans="8:10" x14ac:dyDescent="0.35">
      <c r="H23437" s="676"/>
      <c r="I23437" s="676"/>
      <c r="J23437" s="770"/>
    </row>
    <row r="23438" spans="8:10" x14ac:dyDescent="0.35">
      <c r="H23438" s="676"/>
      <c r="I23438" s="676"/>
      <c r="J23438" s="770"/>
    </row>
    <row r="23439" spans="8:10" x14ac:dyDescent="0.35">
      <c r="H23439" s="676"/>
      <c r="I23439" s="676"/>
      <c r="J23439" s="770"/>
    </row>
    <row r="23440" spans="8:10" x14ac:dyDescent="0.35">
      <c r="H23440" s="676"/>
      <c r="I23440" s="676"/>
      <c r="J23440" s="770"/>
    </row>
    <row r="23441" spans="8:10" x14ac:dyDescent="0.35">
      <c r="H23441" s="676"/>
      <c r="I23441" s="676"/>
      <c r="J23441" s="770"/>
    </row>
    <row r="23442" spans="8:10" x14ac:dyDescent="0.35">
      <c r="H23442" s="676"/>
      <c r="I23442" s="676"/>
      <c r="J23442" s="770"/>
    </row>
    <row r="23443" spans="8:10" x14ac:dyDescent="0.35">
      <c r="H23443" s="676"/>
      <c r="I23443" s="676"/>
      <c r="J23443" s="770"/>
    </row>
    <row r="23444" spans="8:10" x14ac:dyDescent="0.35">
      <c r="H23444" s="676"/>
      <c r="I23444" s="676"/>
      <c r="J23444" s="770"/>
    </row>
    <row r="23445" spans="8:10" x14ac:dyDescent="0.35">
      <c r="H23445" s="676"/>
      <c r="I23445" s="676"/>
      <c r="J23445" s="770"/>
    </row>
    <row r="23446" spans="8:10" x14ac:dyDescent="0.35">
      <c r="H23446" s="676"/>
      <c r="I23446" s="676"/>
      <c r="J23446" s="770"/>
    </row>
    <row r="23447" spans="8:10" x14ac:dyDescent="0.35">
      <c r="H23447" s="676"/>
      <c r="I23447" s="676"/>
      <c r="J23447" s="770"/>
    </row>
    <row r="23448" spans="8:10" x14ac:dyDescent="0.35">
      <c r="H23448" s="676"/>
      <c r="I23448" s="676"/>
      <c r="J23448" s="770"/>
    </row>
    <row r="23449" spans="8:10" x14ac:dyDescent="0.35">
      <c r="H23449" s="676"/>
      <c r="I23449" s="676"/>
      <c r="J23449" s="770"/>
    </row>
    <row r="23450" spans="8:10" x14ac:dyDescent="0.35">
      <c r="H23450" s="676"/>
      <c r="I23450" s="676"/>
      <c r="J23450" s="770"/>
    </row>
    <row r="23451" spans="8:10" x14ac:dyDescent="0.35">
      <c r="H23451" s="676"/>
      <c r="I23451" s="676"/>
      <c r="J23451" s="770"/>
    </row>
    <row r="23452" spans="8:10" x14ac:dyDescent="0.35">
      <c r="H23452" s="676"/>
      <c r="I23452" s="676"/>
      <c r="J23452" s="770"/>
    </row>
    <row r="23453" spans="8:10" x14ac:dyDescent="0.35">
      <c r="H23453" s="676"/>
      <c r="I23453" s="676"/>
      <c r="J23453" s="770"/>
    </row>
    <row r="23454" spans="8:10" x14ac:dyDescent="0.35">
      <c r="H23454" s="676"/>
      <c r="I23454" s="676"/>
      <c r="J23454" s="770"/>
    </row>
    <row r="23455" spans="8:10" x14ac:dyDescent="0.35">
      <c r="H23455" s="676"/>
      <c r="I23455" s="676"/>
      <c r="J23455" s="770"/>
    </row>
    <row r="23456" spans="8:10" x14ac:dyDescent="0.35">
      <c r="H23456" s="676"/>
      <c r="I23456" s="676"/>
      <c r="J23456" s="770"/>
    </row>
    <row r="23457" spans="8:10" x14ac:dyDescent="0.35">
      <c r="H23457" s="676"/>
      <c r="I23457" s="676"/>
      <c r="J23457" s="770"/>
    </row>
    <row r="23458" spans="8:10" x14ac:dyDescent="0.35">
      <c r="H23458" s="676"/>
      <c r="I23458" s="676"/>
      <c r="J23458" s="770"/>
    </row>
    <row r="23459" spans="8:10" x14ac:dyDescent="0.35">
      <c r="H23459" s="676"/>
      <c r="I23459" s="676"/>
      <c r="J23459" s="770"/>
    </row>
    <row r="23460" spans="8:10" x14ac:dyDescent="0.35">
      <c r="H23460" s="676"/>
      <c r="I23460" s="676"/>
      <c r="J23460" s="770"/>
    </row>
    <row r="23461" spans="8:10" x14ac:dyDescent="0.35">
      <c r="H23461" s="676"/>
      <c r="I23461" s="676"/>
      <c r="J23461" s="770"/>
    </row>
    <row r="23462" spans="8:10" x14ac:dyDescent="0.35">
      <c r="H23462" s="676"/>
      <c r="I23462" s="676"/>
      <c r="J23462" s="770"/>
    </row>
    <row r="23463" spans="8:10" x14ac:dyDescent="0.35">
      <c r="H23463" s="676"/>
      <c r="I23463" s="676"/>
      <c r="J23463" s="770"/>
    </row>
    <row r="23464" spans="8:10" x14ac:dyDescent="0.35">
      <c r="H23464" s="676"/>
      <c r="I23464" s="676"/>
      <c r="J23464" s="770"/>
    </row>
    <row r="23465" spans="8:10" x14ac:dyDescent="0.35">
      <c r="H23465" s="676"/>
      <c r="I23465" s="676"/>
      <c r="J23465" s="770"/>
    </row>
    <row r="23466" spans="8:10" x14ac:dyDescent="0.35">
      <c r="H23466" s="676"/>
      <c r="I23466" s="676"/>
      <c r="J23466" s="770"/>
    </row>
    <row r="23467" spans="8:10" x14ac:dyDescent="0.35">
      <c r="H23467" s="676"/>
      <c r="I23467" s="676"/>
      <c r="J23467" s="770"/>
    </row>
    <row r="23468" spans="8:10" x14ac:dyDescent="0.35">
      <c r="H23468" s="676"/>
      <c r="I23468" s="676"/>
      <c r="J23468" s="770"/>
    </row>
    <row r="23469" spans="8:10" x14ac:dyDescent="0.35">
      <c r="H23469" s="676"/>
      <c r="I23469" s="676"/>
      <c r="J23469" s="770"/>
    </row>
    <row r="23470" spans="8:10" x14ac:dyDescent="0.35">
      <c r="H23470" s="676"/>
      <c r="I23470" s="676"/>
      <c r="J23470" s="770"/>
    </row>
    <row r="23471" spans="8:10" x14ac:dyDescent="0.35">
      <c r="H23471" s="676"/>
      <c r="I23471" s="676"/>
      <c r="J23471" s="770"/>
    </row>
    <row r="23472" spans="8:10" x14ac:dyDescent="0.35">
      <c r="H23472" s="676"/>
      <c r="I23472" s="676"/>
      <c r="J23472" s="770"/>
    </row>
    <row r="23473" spans="8:10" x14ac:dyDescent="0.35">
      <c r="H23473" s="676"/>
      <c r="I23473" s="676"/>
      <c r="J23473" s="770"/>
    </row>
    <row r="23474" spans="8:10" x14ac:dyDescent="0.35">
      <c r="H23474" s="676"/>
      <c r="I23474" s="676"/>
      <c r="J23474" s="770"/>
    </row>
    <row r="23475" spans="8:10" x14ac:dyDescent="0.35">
      <c r="H23475" s="676"/>
      <c r="I23475" s="676"/>
      <c r="J23475" s="770"/>
    </row>
    <row r="23476" spans="8:10" x14ac:dyDescent="0.35">
      <c r="H23476" s="676"/>
      <c r="I23476" s="676"/>
      <c r="J23476" s="770"/>
    </row>
    <row r="23477" spans="8:10" x14ac:dyDescent="0.35">
      <c r="H23477" s="676"/>
      <c r="I23477" s="676"/>
      <c r="J23477" s="770"/>
    </row>
    <row r="23478" spans="8:10" x14ac:dyDescent="0.35">
      <c r="H23478" s="676"/>
      <c r="I23478" s="676"/>
      <c r="J23478" s="770"/>
    </row>
    <row r="23479" spans="8:10" x14ac:dyDescent="0.35">
      <c r="H23479" s="676"/>
      <c r="I23479" s="676"/>
      <c r="J23479" s="770"/>
    </row>
    <row r="23480" spans="8:10" x14ac:dyDescent="0.35">
      <c r="H23480" s="676"/>
      <c r="I23480" s="676"/>
      <c r="J23480" s="770"/>
    </row>
    <row r="23481" spans="8:10" x14ac:dyDescent="0.35">
      <c r="H23481" s="676"/>
      <c r="I23481" s="676"/>
      <c r="J23481" s="770"/>
    </row>
    <row r="23482" spans="8:10" x14ac:dyDescent="0.35">
      <c r="H23482" s="676"/>
      <c r="I23482" s="676"/>
      <c r="J23482" s="770"/>
    </row>
    <row r="23483" spans="8:10" x14ac:dyDescent="0.35">
      <c r="H23483" s="676"/>
      <c r="I23483" s="676"/>
      <c r="J23483" s="770"/>
    </row>
    <row r="23484" spans="8:10" x14ac:dyDescent="0.35">
      <c r="H23484" s="676"/>
      <c r="I23484" s="676"/>
      <c r="J23484" s="770"/>
    </row>
    <row r="23485" spans="8:10" x14ac:dyDescent="0.35">
      <c r="H23485" s="676"/>
      <c r="I23485" s="676"/>
      <c r="J23485" s="770"/>
    </row>
    <row r="23486" spans="8:10" x14ac:dyDescent="0.35">
      <c r="H23486" s="676"/>
      <c r="I23486" s="676"/>
      <c r="J23486" s="770"/>
    </row>
    <row r="23487" spans="8:10" x14ac:dyDescent="0.35">
      <c r="H23487" s="676"/>
      <c r="I23487" s="676"/>
      <c r="J23487" s="770"/>
    </row>
    <row r="23488" spans="8:10" x14ac:dyDescent="0.35">
      <c r="H23488" s="676"/>
      <c r="I23488" s="676"/>
      <c r="J23488" s="770"/>
    </row>
    <row r="23489" spans="8:10" x14ac:dyDescent="0.35">
      <c r="H23489" s="676"/>
      <c r="I23489" s="676"/>
      <c r="J23489" s="770"/>
    </row>
    <row r="23490" spans="8:10" x14ac:dyDescent="0.35">
      <c r="H23490" s="676"/>
      <c r="I23490" s="676"/>
      <c r="J23490" s="770"/>
    </row>
    <row r="23491" spans="8:10" x14ac:dyDescent="0.35">
      <c r="H23491" s="676"/>
      <c r="I23491" s="676"/>
      <c r="J23491" s="770"/>
    </row>
    <row r="23492" spans="8:10" x14ac:dyDescent="0.35">
      <c r="H23492" s="676"/>
      <c r="I23492" s="676"/>
      <c r="J23492" s="770"/>
    </row>
    <row r="23493" spans="8:10" x14ac:dyDescent="0.35">
      <c r="H23493" s="676"/>
      <c r="I23493" s="676"/>
      <c r="J23493" s="770"/>
    </row>
    <row r="23494" spans="8:10" x14ac:dyDescent="0.35">
      <c r="H23494" s="676"/>
      <c r="I23494" s="676"/>
      <c r="J23494" s="770"/>
    </row>
    <row r="23495" spans="8:10" x14ac:dyDescent="0.35">
      <c r="H23495" s="676"/>
      <c r="I23495" s="676"/>
      <c r="J23495" s="770"/>
    </row>
    <row r="23496" spans="8:10" x14ac:dyDescent="0.35">
      <c r="H23496" s="676"/>
      <c r="I23496" s="676"/>
      <c r="J23496" s="770"/>
    </row>
    <row r="23497" spans="8:10" x14ac:dyDescent="0.35">
      <c r="H23497" s="676"/>
      <c r="I23497" s="676"/>
      <c r="J23497" s="770"/>
    </row>
    <row r="23498" spans="8:10" x14ac:dyDescent="0.35">
      <c r="H23498" s="676"/>
      <c r="I23498" s="676"/>
      <c r="J23498" s="770"/>
    </row>
    <row r="23499" spans="8:10" x14ac:dyDescent="0.35">
      <c r="H23499" s="676"/>
      <c r="I23499" s="676"/>
      <c r="J23499" s="770"/>
    </row>
    <row r="23500" spans="8:10" x14ac:dyDescent="0.35">
      <c r="H23500" s="676"/>
      <c r="I23500" s="676"/>
      <c r="J23500" s="770"/>
    </row>
    <row r="23501" spans="8:10" x14ac:dyDescent="0.35">
      <c r="H23501" s="676"/>
      <c r="I23501" s="676"/>
      <c r="J23501" s="770"/>
    </row>
    <row r="23502" spans="8:10" x14ac:dyDescent="0.35">
      <c r="H23502" s="676"/>
      <c r="I23502" s="676"/>
      <c r="J23502" s="770"/>
    </row>
    <row r="23503" spans="8:10" x14ac:dyDescent="0.35">
      <c r="H23503" s="676"/>
      <c r="I23503" s="676"/>
      <c r="J23503" s="770"/>
    </row>
    <row r="23504" spans="8:10" x14ac:dyDescent="0.35">
      <c r="H23504" s="676"/>
      <c r="I23504" s="676"/>
      <c r="J23504" s="770"/>
    </row>
    <row r="23505" spans="8:10" x14ac:dyDescent="0.35">
      <c r="H23505" s="676"/>
      <c r="I23505" s="676"/>
      <c r="J23505" s="770"/>
    </row>
    <row r="23506" spans="8:10" x14ac:dyDescent="0.35">
      <c r="H23506" s="676"/>
      <c r="I23506" s="676"/>
      <c r="J23506" s="770"/>
    </row>
    <row r="23507" spans="8:10" x14ac:dyDescent="0.35">
      <c r="H23507" s="676"/>
      <c r="I23507" s="676"/>
      <c r="J23507" s="770"/>
    </row>
    <row r="23508" spans="8:10" x14ac:dyDescent="0.35">
      <c r="H23508" s="676"/>
      <c r="I23508" s="676"/>
      <c r="J23508" s="770"/>
    </row>
    <row r="23509" spans="8:10" x14ac:dyDescent="0.35">
      <c r="H23509" s="676"/>
      <c r="I23509" s="676"/>
      <c r="J23509" s="770"/>
    </row>
    <row r="23510" spans="8:10" x14ac:dyDescent="0.35">
      <c r="H23510" s="676"/>
      <c r="I23510" s="676"/>
      <c r="J23510" s="770"/>
    </row>
    <row r="23511" spans="8:10" x14ac:dyDescent="0.35">
      <c r="H23511" s="676"/>
      <c r="I23511" s="676"/>
      <c r="J23511" s="770"/>
    </row>
    <row r="23512" spans="8:10" x14ac:dyDescent="0.35">
      <c r="H23512" s="676"/>
      <c r="I23512" s="676"/>
      <c r="J23512" s="770"/>
    </row>
    <row r="23513" spans="8:10" x14ac:dyDescent="0.35">
      <c r="H23513" s="676"/>
      <c r="I23513" s="676"/>
      <c r="J23513" s="770"/>
    </row>
    <row r="23514" spans="8:10" x14ac:dyDescent="0.35">
      <c r="H23514" s="676"/>
      <c r="I23514" s="676"/>
      <c r="J23514" s="770"/>
    </row>
    <row r="23515" spans="8:10" x14ac:dyDescent="0.35">
      <c r="H23515" s="676"/>
      <c r="I23515" s="676"/>
      <c r="J23515" s="770"/>
    </row>
    <row r="23516" spans="8:10" x14ac:dyDescent="0.35">
      <c r="H23516" s="676"/>
      <c r="I23516" s="676"/>
      <c r="J23516" s="770"/>
    </row>
    <row r="23517" spans="8:10" x14ac:dyDescent="0.35">
      <c r="H23517" s="676"/>
      <c r="I23517" s="676"/>
      <c r="J23517" s="770"/>
    </row>
    <row r="23518" spans="8:10" x14ac:dyDescent="0.35">
      <c r="H23518" s="676"/>
      <c r="I23518" s="676"/>
      <c r="J23518" s="770"/>
    </row>
    <row r="23519" spans="8:10" x14ac:dyDescent="0.35">
      <c r="H23519" s="676"/>
      <c r="I23519" s="676"/>
      <c r="J23519" s="770"/>
    </row>
    <row r="23520" spans="8:10" x14ac:dyDescent="0.35">
      <c r="H23520" s="676"/>
      <c r="I23520" s="676"/>
      <c r="J23520" s="770"/>
    </row>
    <row r="23521" spans="8:10" x14ac:dyDescent="0.35">
      <c r="H23521" s="676"/>
      <c r="I23521" s="676"/>
      <c r="J23521" s="770"/>
    </row>
    <row r="23522" spans="8:10" x14ac:dyDescent="0.35">
      <c r="H23522" s="676"/>
      <c r="I23522" s="676"/>
      <c r="J23522" s="770"/>
    </row>
    <row r="23523" spans="8:10" x14ac:dyDescent="0.35">
      <c r="H23523" s="676"/>
      <c r="I23523" s="676"/>
      <c r="J23523" s="770"/>
    </row>
    <row r="23524" spans="8:10" x14ac:dyDescent="0.35">
      <c r="H23524" s="676"/>
      <c r="I23524" s="676"/>
      <c r="J23524" s="770"/>
    </row>
    <row r="23525" spans="8:10" x14ac:dyDescent="0.35">
      <c r="H23525" s="676"/>
      <c r="I23525" s="676"/>
      <c r="J23525" s="770"/>
    </row>
    <row r="23526" spans="8:10" x14ac:dyDescent="0.35">
      <c r="H23526" s="676"/>
      <c r="I23526" s="676"/>
      <c r="J23526" s="770"/>
    </row>
    <row r="23527" spans="8:10" x14ac:dyDescent="0.35">
      <c r="H23527" s="676"/>
      <c r="I23527" s="676"/>
      <c r="J23527" s="770"/>
    </row>
    <row r="23528" spans="8:10" x14ac:dyDescent="0.35">
      <c r="H23528" s="676"/>
      <c r="I23528" s="676"/>
      <c r="J23528" s="770"/>
    </row>
    <row r="23529" spans="8:10" x14ac:dyDescent="0.35">
      <c r="H23529" s="676"/>
      <c r="I23529" s="676"/>
      <c r="J23529" s="770"/>
    </row>
    <row r="23530" spans="8:10" x14ac:dyDescent="0.35">
      <c r="H23530" s="676"/>
      <c r="I23530" s="676"/>
      <c r="J23530" s="770"/>
    </row>
    <row r="23531" spans="8:10" x14ac:dyDescent="0.35">
      <c r="H23531" s="676"/>
      <c r="I23531" s="676"/>
      <c r="J23531" s="770"/>
    </row>
    <row r="23532" spans="8:10" x14ac:dyDescent="0.35">
      <c r="H23532" s="676"/>
      <c r="I23532" s="676"/>
      <c r="J23532" s="770"/>
    </row>
    <row r="23533" spans="8:10" x14ac:dyDescent="0.35">
      <c r="H23533" s="676"/>
      <c r="I23533" s="676"/>
      <c r="J23533" s="770"/>
    </row>
    <row r="23534" spans="8:10" x14ac:dyDescent="0.35">
      <c r="H23534" s="676"/>
      <c r="I23534" s="676"/>
      <c r="J23534" s="770"/>
    </row>
    <row r="23535" spans="8:10" x14ac:dyDescent="0.35">
      <c r="H23535" s="676"/>
      <c r="I23535" s="676"/>
      <c r="J23535" s="770"/>
    </row>
    <row r="23536" spans="8:10" x14ac:dyDescent="0.35">
      <c r="H23536" s="676"/>
      <c r="I23536" s="676"/>
      <c r="J23536" s="770"/>
    </row>
    <row r="23537" spans="8:10" x14ac:dyDescent="0.35">
      <c r="H23537" s="676"/>
      <c r="I23537" s="676"/>
      <c r="J23537" s="770"/>
    </row>
    <row r="23538" spans="8:10" x14ac:dyDescent="0.35">
      <c r="H23538" s="676"/>
      <c r="I23538" s="676"/>
      <c r="J23538" s="770"/>
    </row>
    <row r="23539" spans="8:10" x14ac:dyDescent="0.35">
      <c r="H23539" s="676"/>
      <c r="I23539" s="676"/>
      <c r="J23539" s="770"/>
    </row>
    <row r="23540" spans="8:10" x14ac:dyDescent="0.35">
      <c r="H23540" s="676"/>
      <c r="I23540" s="676"/>
      <c r="J23540" s="770"/>
    </row>
    <row r="23541" spans="8:10" x14ac:dyDescent="0.35">
      <c r="H23541" s="676"/>
      <c r="I23541" s="676"/>
      <c r="J23541" s="770"/>
    </row>
    <row r="23542" spans="8:10" x14ac:dyDescent="0.35">
      <c r="H23542" s="676"/>
      <c r="I23542" s="676"/>
      <c r="J23542" s="770"/>
    </row>
    <row r="23543" spans="8:10" x14ac:dyDescent="0.35">
      <c r="H23543" s="676"/>
      <c r="I23543" s="676"/>
      <c r="J23543" s="770"/>
    </row>
    <row r="23544" spans="8:10" x14ac:dyDescent="0.35">
      <c r="H23544" s="676"/>
      <c r="I23544" s="676"/>
      <c r="J23544" s="770"/>
    </row>
    <row r="23545" spans="8:10" x14ac:dyDescent="0.35">
      <c r="H23545" s="676"/>
      <c r="I23545" s="676"/>
      <c r="J23545" s="770"/>
    </row>
    <row r="23546" spans="8:10" x14ac:dyDescent="0.35">
      <c r="H23546" s="676"/>
      <c r="I23546" s="676"/>
      <c r="J23546" s="770"/>
    </row>
    <row r="23547" spans="8:10" x14ac:dyDescent="0.35">
      <c r="H23547" s="676"/>
      <c r="I23547" s="676"/>
      <c r="J23547" s="770"/>
    </row>
    <row r="23548" spans="8:10" x14ac:dyDescent="0.35">
      <c r="H23548" s="676"/>
      <c r="I23548" s="676"/>
      <c r="J23548" s="770"/>
    </row>
    <row r="23549" spans="8:10" x14ac:dyDescent="0.35">
      <c r="H23549" s="676"/>
      <c r="I23549" s="676"/>
      <c r="J23549" s="770"/>
    </row>
    <row r="23550" spans="8:10" x14ac:dyDescent="0.35">
      <c r="H23550" s="676"/>
      <c r="I23550" s="676"/>
      <c r="J23550" s="770"/>
    </row>
    <row r="23551" spans="8:10" x14ac:dyDescent="0.35">
      <c r="H23551" s="676"/>
      <c r="I23551" s="676"/>
      <c r="J23551" s="770"/>
    </row>
    <row r="23552" spans="8:10" x14ac:dyDescent="0.35">
      <c r="H23552" s="676"/>
      <c r="I23552" s="676"/>
      <c r="J23552" s="770"/>
    </row>
    <row r="23553" spans="8:10" x14ac:dyDescent="0.35">
      <c r="H23553" s="676"/>
      <c r="I23553" s="676"/>
      <c r="J23553" s="770"/>
    </row>
    <row r="23554" spans="8:10" x14ac:dyDescent="0.35">
      <c r="H23554" s="676"/>
      <c r="I23554" s="676"/>
      <c r="J23554" s="770"/>
    </row>
    <row r="23555" spans="8:10" x14ac:dyDescent="0.35">
      <c r="H23555" s="676"/>
      <c r="I23555" s="676"/>
      <c r="J23555" s="770"/>
    </row>
    <row r="23556" spans="8:10" x14ac:dyDescent="0.35">
      <c r="H23556" s="676"/>
      <c r="I23556" s="676"/>
      <c r="J23556" s="770"/>
    </row>
    <row r="23557" spans="8:10" x14ac:dyDescent="0.35">
      <c r="H23557" s="676"/>
      <c r="I23557" s="676"/>
      <c r="J23557" s="770"/>
    </row>
    <row r="23558" spans="8:10" x14ac:dyDescent="0.35">
      <c r="H23558" s="676"/>
      <c r="I23558" s="676"/>
      <c r="J23558" s="770"/>
    </row>
    <row r="23559" spans="8:10" x14ac:dyDescent="0.35">
      <c r="H23559" s="676"/>
      <c r="I23559" s="676"/>
      <c r="J23559" s="770"/>
    </row>
    <row r="23560" spans="8:10" x14ac:dyDescent="0.35">
      <c r="H23560" s="676"/>
      <c r="I23560" s="676"/>
      <c r="J23560" s="770"/>
    </row>
    <row r="23561" spans="8:10" x14ac:dyDescent="0.35">
      <c r="H23561" s="676"/>
      <c r="I23561" s="676"/>
      <c r="J23561" s="770"/>
    </row>
    <row r="23562" spans="8:10" x14ac:dyDescent="0.35">
      <c r="H23562" s="676"/>
      <c r="I23562" s="676"/>
      <c r="J23562" s="770"/>
    </row>
    <row r="23563" spans="8:10" x14ac:dyDescent="0.35">
      <c r="H23563" s="676"/>
      <c r="I23563" s="676"/>
      <c r="J23563" s="770"/>
    </row>
    <row r="23564" spans="8:10" x14ac:dyDescent="0.35">
      <c r="H23564" s="676"/>
      <c r="I23564" s="676"/>
      <c r="J23564" s="770"/>
    </row>
    <row r="23565" spans="8:10" x14ac:dyDescent="0.35">
      <c r="H23565" s="676"/>
      <c r="I23565" s="676"/>
      <c r="J23565" s="770"/>
    </row>
    <row r="23566" spans="8:10" x14ac:dyDescent="0.35">
      <c r="H23566" s="676"/>
      <c r="I23566" s="676"/>
      <c r="J23566" s="770"/>
    </row>
    <row r="23567" spans="8:10" x14ac:dyDescent="0.35">
      <c r="H23567" s="676"/>
      <c r="I23567" s="676"/>
      <c r="J23567" s="770"/>
    </row>
    <row r="23568" spans="8:10" x14ac:dyDescent="0.35">
      <c r="H23568" s="676"/>
      <c r="I23568" s="676"/>
      <c r="J23568" s="770"/>
    </row>
    <row r="23569" spans="8:10" x14ac:dyDescent="0.35">
      <c r="H23569" s="676"/>
      <c r="I23569" s="676"/>
      <c r="J23569" s="770"/>
    </row>
    <row r="23570" spans="8:10" x14ac:dyDescent="0.35">
      <c r="H23570" s="676"/>
      <c r="I23570" s="676"/>
      <c r="J23570" s="770"/>
    </row>
    <row r="23571" spans="8:10" x14ac:dyDescent="0.35">
      <c r="H23571" s="676"/>
      <c r="I23571" s="676"/>
      <c r="J23571" s="770"/>
    </row>
    <row r="23572" spans="8:10" x14ac:dyDescent="0.35">
      <c r="H23572" s="676"/>
      <c r="I23572" s="676"/>
      <c r="J23572" s="770"/>
    </row>
    <row r="23573" spans="8:10" x14ac:dyDescent="0.35">
      <c r="H23573" s="676"/>
      <c r="I23573" s="676"/>
      <c r="J23573" s="770"/>
    </row>
    <row r="23574" spans="8:10" x14ac:dyDescent="0.35">
      <c r="H23574" s="676"/>
      <c r="I23574" s="676"/>
      <c r="J23574" s="770"/>
    </row>
    <row r="23575" spans="8:10" x14ac:dyDescent="0.35">
      <c r="H23575" s="676"/>
      <c r="I23575" s="676"/>
      <c r="J23575" s="770"/>
    </row>
    <row r="23576" spans="8:10" x14ac:dyDescent="0.35">
      <c r="H23576" s="676"/>
      <c r="I23576" s="676"/>
      <c r="J23576" s="770"/>
    </row>
    <row r="23577" spans="8:10" x14ac:dyDescent="0.35">
      <c r="H23577" s="676"/>
      <c r="I23577" s="676"/>
      <c r="J23577" s="770"/>
    </row>
    <row r="23578" spans="8:10" x14ac:dyDescent="0.35">
      <c r="H23578" s="676"/>
      <c r="I23578" s="676"/>
      <c r="J23578" s="770"/>
    </row>
    <row r="23579" spans="8:10" x14ac:dyDescent="0.35">
      <c r="H23579" s="676"/>
      <c r="I23579" s="676"/>
      <c r="J23579" s="770"/>
    </row>
    <row r="23580" spans="8:10" x14ac:dyDescent="0.35">
      <c r="H23580" s="676"/>
      <c r="I23580" s="676"/>
      <c r="J23580" s="770"/>
    </row>
    <row r="23581" spans="8:10" x14ac:dyDescent="0.35">
      <c r="H23581" s="676"/>
      <c r="I23581" s="676"/>
      <c r="J23581" s="770"/>
    </row>
    <row r="23582" spans="8:10" x14ac:dyDescent="0.35">
      <c r="H23582" s="676"/>
      <c r="I23582" s="676"/>
      <c r="J23582" s="770"/>
    </row>
    <row r="23583" spans="8:10" x14ac:dyDescent="0.35">
      <c r="H23583" s="676"/>
      <c r="I23583" s="676"/>
      <c r="J23583" s="770"/>
    </row>
    <row r="23584" spans="8:10" x14ac:dyDescent="0.35">
      <c r="H23584" s="676"/>
      <c r="I23584" s="676"/>
      <c r="J23584" s="770"/>
    </row>
    <row r="23585" spans="8:10" x14ac:dyDescent="0.35">
      <c r="H23585" s="676"/>
      <c r="I23585" s="676"/>
      <c r="J23585" s="770"/>
    </row>
    <row r="23586" spans="8:10" x14ac:dyDescent="0.35">
      <c r="H23586" s="676"/>
      <c r="I23586" s="676"/>
      <c r="J23586" s="770"/>
    </row>
    <row r="23587" spans="8:10" x14ac:dyDescent="0.35">
      <c r="H23587" s="676"/>
      <c r="I23587" s="676"/>
      <c r="J23587" s="770"/>
    </row>
    <row r="23588" spans="8:10" x14ac:dyDescent="0.35">
      <c r="H23588" s="676"/>
      <c r="I23588" s="676"/>
      <c r="J23588" s="770"/>
    </row>
    <row r="23589" spans="8:10" x14ac:dyDescent="0.35">
      <c r="H23589" s="676"/>
      <c r="I23589" s="676"/>
      <c r="J23589" s="770"/>
    </row>
    <row r="23590" spans="8:10" x14ac:dyDescent="0.35">
      <c r="H23590" s="676"/>
      <c r="I23590" s="676"/>
      <c r="J23590" s="770"/>
    </row>
    <row r="23591" spans="8:10" x14ac:dyDescent="0.35">
      <c r="H23591" s="676"/>
      <c r="I23591" s="676"/>
      <c r="J23591" s="770"/>
    </row>
    <row r="23592" spans="8:10" x14ac:dyDescent="0.35">
      <c r="H23592" s="676"/>
      <c r="I23592" s="676"/>
      <c r="J23592" s="770"/>
    </row>
    <row r="23593" spans="8:10" x14ac:dyDescent="0.35">
      <c r="H23593" s="676"/>
      <c r="I23593" s="676"/>
      <c r="J23593" s="770"/>
    </row>
    <row r="23594" spans="8:10" x14ac:dyDescent="0.35">
      <c r="H23594" s="676"/>
      <c r="I23594" s="676"/>
      <c r="J23594" s="770"/>
    </row>
    <row r="23595" spans="8:10" x14ac:dyDescent="0.35">
      <c r="H23595" s="676"/>
      <c r="I23595" s="676"/>
      <c r="J23595" s="770"/>
    </row>
    <row r="23596" spans="8:10" x14ac:dyDescent="0.35">
      <c r="H23596" s="676"/>
      <c r="I23596" s="676"/>
      <c r="J23596" s="770"/>
    </row>
    <row r="23597" spans="8:10" x14ac:dyDescent="0.35">
      <c r="H23597" s="676"/>
      <c r="I23597" s="676"/>
      <c r="J23597" s="770"/>
    </row>
    <row r="23598" spans="8:10" x14ac:dyDescent="0.35">
      <c r="H23598" s="676"/>
      <c r="I23598" s="676"/>
      <c r="J23598" s="770"/>
    </row>
    <row r="23599" spans="8:10" x14ac:dyDescent="0.35">
      <c r="H23599" s="676"/>
      <c r="I23599" s="676"/>
      <c r="J23599" s="770"/>
    </row>
    <row r="23600" spans="8:10" x14ac:dyDescent="0.35">
      <c r="H23600" s="676"/>
      <c r="I23600" s="676"/>
      <c r="J23600" s="770"/>
    </row>
    <row r="23601" spans="8:10" x14ac:dyDescent="0.35">
      <c r="H23601" s="676"/>
      <c r="I23601" s="676"/>
      <c r="J23601" s="770"/>
    </row>
    <row r="23602" spans="8:10" x14ac:dyDescent="0.35">
      <c r="H23602" s="676"/>
      <c r="I23602" s="676"/>
      <c r="J23602" s="770"/>
    </row>
    <row r="23603" spans="8:10" x14ac:dyDescent="0.35">
      <c r="H23603" s="676"/>
      <c r="I23603" s="676"/>
      <c r="J23603" s="770"/>
    </row>
    <row r="23604" spans="8:10" x14ac:dyDescent="0.35">
      <c r="H23604" s="676"/>
      <c r="I23604" s="676"/>
      <c r="J23604" s="770"/>
    </row>
    <row r="23605" spans="8:10" x14ac:dyDescent="0.35">
      <c r="H23605" s="676"/>
      <c r="I23605" s="676"/>
      <c r="J23605" s="770"/>
    </row>
    <row r="23606" spans="8:10" x14ac:dyDescent="0.35">
      <c r="H23606" s="676"/>
      <c r="I23606" s="676"/>
      <c r="J23606" s="770"/>
    </row>
    <row r="23607" spans="8:10" x14ac:dyDescent="0.35">
      <c r="H23607" s="676"/>
      <c r="I23607" s="676"/>
      <c r="J23607" s="770"/>
    </row>
    <row r="23608" spans="8:10" x14ac:dyDescent="0.35">
      <c r="H23608" s="676"/>
      <c r="I23608" s="676"/>
      <c r="J23608" s="770"/>
    </row>
    <row r="23609" spans="8:10" x14ac:dyDescent="0.35">
      <c r="H23609" s="676"/>
      <c r="I23609" s="676"/>
      <c r="J23609" s="770"/>
    </row>
    <row r="23610" spans="8:10" x14ac:dyDescent="0.35">
      <c r="H23610" s="676"/>
      <c r="I23610" s="676"/>
      <c r="J23610" s="770"/>
    </row>
    <row r="23611" spans="8:10" x14ac:dyDescent="0.35">
      <c r="H23611" s="676"/>
      <c r="I23611" s="676"/>
      <c r="J23611" s="770"/>
    </row>
    <row r="23612" spans="8:10" x14ac:dyDescent="0.35">
      <c r="H23612" s="676"/>
      <c r="I23612" s="676"/>
      <c r="J23612" s="770"/>
    </row>
    <row r="23613" spans="8:10" x14ac:dyDescent="0.35">
      <c r="H23613" s="676"/>
      <c r="I23613" s="676"/>
      <c r="J23613" s="770"/>
    </row>
    <row r="23614" spans="8:10" x14ac:dyDescent="0.35">
      <c r="H23614" s="676"/>
      <c r="I23614" s="676"/>
      <c r="J23614" s="770"/>
    </row>
    <row r="23615" spans="8:10" x14ac:dyDescent="0.35">
      <c r="H23615" s="676"/>
      <c r="I23615" s="676"/>
      <c r="J23615" s="770"/>
    </row>
    <row r="23616" spans="8:10" x14ac:dyDescent="0.35">
      <c r="H23616" s="676"/>
      <c r="I23616" s="676"/>
      <c r="J23616" s="770"/>
    </row>
    <row r="23617" spans="8:10" x14ac:dyDescent="0.35">
      <c r="H23617" s="676"/>
      <c r="I23617" s="676"/>
      <c r="J23617" s="770"/>
    </row>
    <row r="23618" spans="8:10" x14ac:dyDescent="0.35">
      <c r="H23618" s="676"/>
      <c r="I23618" s="676"/>
      <c r="J23618" s="770"/>
    </row>
    <row r="23619" spans="8:10" x14ac:dyDescent="0.35">
      <c r="H23619" s="676"/>
      <c r="I23619" s="676"/>
      <c r="J23619" s="770"/>
    </row>
    <row r="23620" spans="8:10" x14ac:dyDescent="0.35">
      <c r="H23620" s="676"/>
      <c r="I23620" s="676"/>
      <c r="J23620" s="770"/>
    </row>
    <row r="23621" spans="8:10" x14ac:dyDescent="0.35">
      <c r="H23621" s="676"/>
      <c r="I23621" s="676"/>
      <c r="J23621" s="770"/>
    </row>
    <row r="23622" spans="8:10" x14ac:dyDescent="0.35">
      <c r="H23622" s="676"/>
      <c r="I23622" s="676"/>
      <c r="J23622" s="770"/>
    </row>
    <row r="23623" spans="8:10" x14ac:dyDescent="0.35">
      <c r="H23623" s="676"/>
      <c r="I23623" s="676"/>
      <c r="J23623" s="770"/>
    </row>
    <row r="23624" spans="8:10" x14ac:dyDescent="0.35">
      <c r="H23624" s="676"/>
      <c r="I23624" s="676"/>
      <c r="J23624" s="770"/>
    </row>
    <row r="23625" spans="8:10" x14ac:dyDescent="0.35">
      <c r="H23625" s="676"/>
      <c r="I23625" s="676"/>
      <c r="J23625" s="770"/>
    </row>
    <row r="23626" spans="8:10" x14ac:dyDescent="0.35">
      <c r="H23626" s="676"/>
      <c r="I23626" s="676"/>
      <c r="J23626" s="770"/>
    </row>
    <row r="23627" spans="8:10" x14ac:dyDescent="0.35">
      <c r="H23627" s="676"/>
      <c r="I23627" s="676"/>
      <c r="J23627" s="770"/>
    </row>
    <row r="23628" spans="8:10" x14ac:dyDescent="0.35">
      <c r="H23628" s="676"/>
      <c r="I23628" s="676"/>
      <c r="J23628" s="770"/>
    </row>
    <row r="23629" spans="8:10" x14ac:dyDescent="0.35">
      <c r="H23629" s="676"/>
      <c r="I23629" s="676"/>
      <c r="J23629" s="770"/>
    </row>
    <row r="23630" spans="8:10" x14ac:dyDescent="0.35">
      <c r="H23630" s="676"/>
      <c r="I23630" s="676"/>
      <c r="J23630" s="770"/>
    </row>
    <row r="23631" spans="8:10" x14ac:dyDescent="0.35">
      <c r="H23631" s="676"/>
      <c r="I23631" s="676"/>
      <c r="J23631" s="770"/>
    </row>
    <row r="23632" spans="8:10" x14ac:dyDescent="0.35">
      <c r="H23632" s="676"/>
      <c r="I23632" s="676"/>
      <c r="J23632" s="770"/>
    </row>
    <row r="23633" spans="8:10" x14ac:dyDescent="0.35">
      <c r="H23633" s="676"/>
      <c r="I23633" s="676"/>
      <c r="J23633" s="770"/>
    </row>
    <row r="23634" spans="8:10" x14ac:dyDescent="0.35">
      <c r="H23634" s="676"/>
      <c r="I23634" s="676"/>
      <c r="J23634" s="770"/>
    </row>
    <row r="23635" spans="8:10" x14ac:dyDescent="0.35">
      <c r="H23635" s="676"/>
      <c r="I23635" s="676"/>
      <c r="J23635" s="770"/>
    </row>
    <row r="23636" spans="8:10" x14ac:dyDescent="0.35">
      <c r="H23636" s="676"/>
      <c r="I23636" s="676"/>
      <c r="J23636" s="770"/>
    </row>
    <row r="23637" spans="8:10" x14ac:dyDescent="0.35">
      <c r="H23637" s="676"/>
      <c r="I23637" s="676"/>
      <c r="J23637" s="770"/>
    </row>
    <row r="23638" spans="8:10" x14ac:dyDescent="0.35">
      <c r="H23638" s="676"/>
      <c r="I23638" s="676"/>
      <c r="J23638" s="770"/>
    </row>
    <row r="23639" spans="8:10" x14ac:dyDescent="0.35">
      <c r="H23639" s="676"/>
      <c r="I23639" s="676"/>
      <c r="J23639" s="770"/>
    </row>
    <row r="23640" spans="8:10" x14ac:dyDescent="0.35">
      <c r="H23640" s="676"/>
      <c r="I23640" s="676"/>
      <c r="J23640" s="770"/>
    </row>
    <row r="23641" spans="8:10" x14ac:dyDescent="0.35">
      <c r="H23641" s="676"/>
      <c r="I23641" s="676"/>
      <c r="J23641" s="770"/>
    </row>
    <row r="23642" spans="8:10" x14ac:dyDescent="0.35">
      <c r="H23642" s="676"/>
      <c r="I23642" s="676"/>
      <c r="J23642" s="770"/>
    </row>
    <row r="23643" spans="8:10" x14ac:dyDescent="0.35">
      <c r="H23643" s="676"/>
      <c r="I23643" s="676"/>
      <c r="J23643" s="770"/>
    </row>
    <row r="23644" spans="8:10" x14ac:dyDescent="0.35">
      <c r="H23644" s="676"/>
      <c r="I23644" s="676"/>
      <c r="J23644" s="770"/>
    </row>
    <row r="23645" spans="8:10" x14ac:dyDescent="0.35">
      <c r="H23645" s="676"/>
      <c r="I23645" s="676"/>
      <c r="J23645" s="770"/>
    </row>
    <row r="23646" spans="8:10" x14ac:dyDescent="0.35">
      <c r="H23646" s="676"/>
      <c r="I23646" s="676"/>
      <c r="J23646" s="770"/>
    </row>
    <row r="23647" spans="8:10" x14ac:dyDescent="0.35">
      <c r="H23647" s="676"/>
      <c r="I23647" s="676"/>
      <c r="J23647" s="770"/>
    </row>
    <row r="23648" spans="8:10" x14ac:dyDescent="0.35">
      <c r="H23648" s="676"/>
      <c r="I23648" s="676"/>
      <c r="J23648" s="770"/>
    </row>
    <row r="23649" spans="8:10" x14ac:dyDescent="0.35">
      <c r="H23649" s="676"/>
      <c r="I23649" s="676"/>
      <c r="J23649" s="770"/>
    </row>
    <row r="23650" spans="8:10" x14ac:dyDescent="0.35">
      <c r="H23650" s="676"/>
      <c r="I23650" s="676"/>
      <c r="J23650" s="770"/>
    </row>
    <row r="23651" spans="8:10" x14ac:dyDescent="0.35">
      <c r="H23651" s="676"/>
      <c r="I23651" s="676"/>
      <c r="J23651" s="770"/>
    </row>
    <row r="23652" spans="8:10" x14ac:dyDescent="0.35">
      <c r="H23652" s="676"/>
      <c r="I23652" s="676"/>
      <c r="J23652" s="770"/>
    </row>
    <row r="23653" spans="8:10" x14ac:dyDescent="0.35">
      <c r="H23653" s="676"/>
      <c r="I23653" s="676"/>
      <c r="J23653" s="770"/>
    </row>
    <row r="23654" spans="8:10" x14ac:dyDescent="0.35">
      <c r="H23654" s="676"/>
      <c r="I23654" s="676"/>
      <c r="J23654" s="770"/>
    </row>
    <row r="23655" spans="8:10" x14ac:dyDescent="0.35">
      <c r="H23655" s="676"/>
      <c r="I23655" s="676"/>
      <c r="J23655" s="770"/>
    </row>
    <row r="23656" spans="8:10" x14ac:dyDescent="0.35">
      <c r="H23656" s="676"/>
      <c r="I23656" s="676"/>
      <c r="J23656" s="770"/>
    </row>
    <row r="23657" spans="8:10" x14ac:dyDescent="0.35">
      <c r="H23657" s="676"/>
      <c r="I23657" s="676"/>
      <c r="J23657" s="770"/>
    </row>
    <row r="23658" spans="8:10" x14ac:dyDescent="0.35">
      <c r="H23658" s="676"/>
      <c r="I23658" s="676"/>
      <c r="J23658" s="770"/>
    </row>
    <row r="23659" spans="8:10" x14ac:dyDescent="0.35">
      <c r="H23659" s="676"/>
      <c r="I23659" s="676"/>
      <c r="J23659" s="770"/>
    </row>
    <row r="23660" spans="8:10" x14ac:dyDescent="0.35">
      <c r="H23660" s="676"/>
      <c r="I23660" s="676"/>
      <c r="J23660" s="770"/>
    </row>
    <row r="23661" spans="8:10" x14ac:dyDescent="0.35">
      <c r="H23661" s="676"/>
      <c r="I23661" s="676"/>
      <c r="J23661" s="770"/>
    </row>
    <row r="23662" spans="8:10" x14ac:dyDescent="0.35">
      <c r="H23662" s="676"/>
      <c r="I23662" s="676"/>
      <c r="J23662" s="770"/>
    </row>
    <row r="23663" spans="8:10" x14ac:dyDescent="0.35">
      <c r="H23663" s="676"/>
      <c r="I23663" s="676"/>
      <c r="J23663" s="770"/>
    </row>
    <row r="23664" spans="8:10" x14ac:dyDescent="0.35">
      <c r="H23664" s="676"/>
      <c r="I23664" s="676"/>
      <c r="J23664" s="770"/>
    </row>
    <row r="23665" spans="8:10" x14ac:dyDescent="0.35">
      <c r="H23665" s="676"/>
      <c r="I23665" s="676"/>
      <c r="J23665" s="770"/>
    </row>
    <row r="23666" spans="8:10" x14ac:dyDescent="0.35">
      <c r="H23666" s="676"/>
      <c r="I23666" s="676"/>
      <c r="J23666" s="770"/>
    </row>
    <row r="23667" spans="8:10" x14ac:dyDescent="0.35">
      <c r="H23667" s="676"/>
      <c r="I23667" s="676"/>
      <c r="J23667" s="770"/>
    </row>
    <row r="23668" spans="8:10" x14ac:dyDescent="0.35">
      <c r="H23668" s="676"/>
      <c r="I23668" s="676"/>
      <c r="J23668" s="770"/>
    </row>
    <row r="23669" spans="8:10" x14ac:dyDescent="0.35">
      <c r="H23669" s="676"/>
      <c r="I23669" s="676"/>
      <c r="J23669" s="770"/>
    </row>
    <row r="23670" spans="8:10" x14ac:dyDescent="0.35">
      <c r="H23670" s="676"/>
      <c r="I23670" s="676"/>
      <c r="J23670" s="770"/>
    </row>
    <row r="23671" spans="8:10" x14ac:dyDescent="0.35">
      <c r="H23671" s="676"/>
      <c r="I23671" s="676"/>
      <c r="J23671" s="770"/>
    </row>
    <row r="23672" spans="8:10" x14ac:dyDescent="0.35">
      <c r="H23672" s="676"/>
      <c r="I23672" s="676"/>
      <c r="J23672" s="770"/>
    </row>
    <row r="23673" spans="8:10" x14ac:dyDescent="0.35">
      <c r="H23673" s="676"/>
      <c r="I23673" s="676"/>
      <c r="J23673" s="770"/>
    </row>
    <row r="23674" spans="8:10" x14ac:dyDescent="0.35">
      <c r="H23674" s="676"/>
      <c r="I23674" s="676"/>
      <c r="J23674" s="770"/>
    </row>
    <row r="23675" spans="8:10" x14ac:dyDescent="0.35">
      <c r="H23675" s="676"/>
      <c r="I23675" s="676"/>
      <c r="J23675" s="770"/>
    </row>
    <row r="23676" spans="8:10" x14ac:dyDescent="0.35">
      <c r="H23676" s="676"/>
      <c r="I23676" s="676"/>
      <c r="J23676" s="770"/>
    </row>
    <row r="23677" spans="8:10" x14ac:dyDescent="0.35">
      <c r="H23677" s="676"/>
      <c r="I23677" s="676"/>
      <c r="J23677" s="770"/>
    </row>
    <row r="23678" spans="8:10" x14ac:dyDescent="0.35">
      <c r="H23678" s="676"/>
      <c r="I23678" s="676"/>
      <c r="J23678" s="770"/>
    </row>
    <row r="23679" spans="8:10" x14ac:dyDescent="0.35">
      <c r="H23679" s="676"/>
      <c r="I23679" s="676"/>
      <c r="J23679" s="770"/>
    </row>
    <row r="23680" spans="8:10" x14ac:dyDescent="0.35">
      <c r="H23680" s="676"/>
      <c r="I23680" s="676"/>
      <c r="J23680" s="770"/>
    </row>
    <row r="23681" spans="8:10" x14ac:dyDescent="0.35">
      <c r="H23681" s="676"/>
      <c r="I23681" s="676"/>
      <c r="J23681" s="770"/>
    </row>
    <row r="23682" spans="8:10" x14ac:dyDescent="0.35">
      <c r="H23682" s="676"/>
      <c r="I23682" s="676"/>
      <c r="J23682" s="770"/>
    </row>
    <row r="23683" spans="8:10" x14ac:dyDescent="0.35">
      <c r="H23683" s="676"/>
      <c r="I23683" s="676"/>
      <c r="J23683" s="770"/>
    </row>
    <row r="23684" spans="8:10" x14ac:dyDescent="0.35">
      <c r="H23684" s="676"/>
      <c r="I23684" s="676"/>
      <c r="J23684" s="770"/>
    </row>
    <row r="23685" spans="8:10" x14ac:dyDescent="0.35">
      <c r="H23685" s="676"/>
      <c r="I23685" s="676"/>
      <c r="J23685" s="770"/>
    </row>
    <row r="23686" spans="8:10" x14ac:dyDescent="0.35">
      <c r="H23686" s="676"/>
      <c r="I23686" s="676"/>
      <c r="J23686" s="770"/>
    </row>
    <row r="23687" spans="8:10" x14ac:dyDescent="0.35">
      <c r="H23687" s="676"/>
      <c r="I23687" s="676"/>
      <c r="J23687" s="770"/>
    </row>
    <row r="23688" spans="8:10" x14ac:dyDescent="0.35">
      <c r="H23688" s="676"/>
      <c r="I23688" s="676"/>
      <c r="J23688" s="770"/>
    </row>
    <row r="23689" spans="8:10" x14ac:dyDescent="0.35">
      <c r="H23689" s="676"/>
      <c r="I23689" s="676"/>
      <c r="J23689" s="770"/>
    </row>
    <row r="23690" spans="8:10" x14ac:dyDescent="0.35">
      <c r="H23690" s="676"/>
      <c r="I23690" s="676"/>
      <c r="J23690" s="770"/>
    </row>
    <row r="23691" spans="8:10" x14ac:dyDescent="0.35">
      <c r="H23691" s="676"/>
      <c r="I23691" s="676"/>
      <c r="J23691" s="770"/>
    </row>
    <row r="23692" spans="8:10" x14ac:dyDescent="0.35">
      <c r="H23692" s="676"/>
      <c r="I23692" s="676"/>
      <c r="J23692" s="770"/>
    </row>
    <row r="23693" spans="8:10" x14ac:dyDescent="0.35">
      <c r="H23693" s="676"/>
      <c r="I23693" s="676"/>
      <c r="J23693" s="770"/>
    </row>
    <row r="23694" spans="8:10" x14ac:dyDescent="0.35">
      <c r="H23694" s="676"/>
      <c r="I23694" s="676"/>
      <c r="J23694" s="770"/>
    </row>
    <row r="23695" spans="8:10" x14ac:dyDescent="0.35">
      <c r="H23695" s="676"/>
      <c r="I23695" s="676"/>
      <c r="J23695" s="770"/>
    </row>
    <row r="23696" spans="8:10" x14ac:dyDescent="0.35">
      <c r="H23696" s="676"/>
      <c r="I23696" s="676"/>
      <c r="J23696" s="770"/>
    </row>
    <row r="23697" spans="8:10" x14ac:dyDescent="0.35">
      <c r="H23697" s="676"/>
      <c r="I23697" s="676"/>
      <c r="J23697" s="770"/>
    </row>
    <row r="23698" spans="8:10" x14ac:dyDescent="0.35">
      <c r="H23698" s="676"/>
      <c r="I23698" s="676"/>
      <c r="J23698" s="770"/>
    </row>
    <row r="23699" spans="8:10" x14ac:dyDescent="0.35">
      <c r="H23699" s="676"/>
      <c r="I23699" s="676"/>
      <c r="J23699" s="770"/>
    </row>
    <row r="23700" spans="8:10" x14ac:dyDescent="0.35">
      <c r="H23700" s="676"/>
      <c r="I23700" s="676"/>
      <c r="J23700" s="770"/>
    </row>
    <row r="23701" spans="8:10" x14ac:dyDescent="0.35">
      <c r="H23701" s="676"/>
      <c r="I23701" s="676"/>
      <c r="J23701" s="770"/>
    </row>
    <row r="23702" spans="8:10" x14ac:dyDescent="0.35">
      <c r="H23702" s="676"/>
      <c r="I23702" s="676"/>
      <c r="J23702" s="770"/>
    </row>
    <row r="23703" spans="8:10" x14ac:dyDescent="0.35">
      <c r="H23703" s="676"/>
      <c r="I23703" s="676"/>
      <c r="J23703" s="770"/>
    </row>
    <row r="23704" spans="8:10" x14ac:dyDescent="0.35">
      <c r="H23704" s="676"/>
      <c r="I23704" s="676"/>
      <c r="J23704" s="770"/>
    </row>
    <row r="23705" spans="8:10" x14ac:dyDescent="0.35">
      <c r="H23705" s="676"/>
      <c r="I23705" s="676"/>
      <c r="J23705" s="770"/>
    </row>
    <row r="23706" spans="8:10" x14ac:dyDescent="0.35">
      <c r="H23706" s="676"/>
      <c r="I23706" s="676"/>
      <c r="J23706" s="770"/>
    </row>
    <row r="23707" spans="8:10" x14ac:dyDescent="0.35">
      <c r="H23707" s="676"/>
      <c r="I23707" s="676"/>
      <c r="J23707" s="770"/>
    </row>
    <row r="23708" spans="8:10" x14ac:dyDescent="0.35">
      <c r="H23708" s="676"/>
      <c r="I23708" s="676"/>
      <c r="J23708" s="770"/>
    </row>
    <row r="23709" spans="8:10" x14ac:dyDescent="0.35">
      <c r="H23709" s="676"/>
      <c r="I23709" s="676"/>
      <c r="J23709" s="770"/>
    </row>
    <row r="23710" spans="8:10" x14ac:dyDescent="0.35">
      <c r="H23710" s="676"/>
      <c r="I23710" s="676"/>
      <c r="J23710" s="770"/>
    </row>
    <row r="23711" spans="8:10" x14ac:dyDescent="0.35">
      <c r="H23711" s="676"/>
      <c r="I23711" s="676"/>
      <c r="J23711" s="770"/>
    </row>
    <row r="23712" spans="8:10" x14ac:dyDescent="0.35">
      <c r="H23712" s="676"/>
      <c r="I23712" s="676"/>
      <c r="J23712" s="770"/>
    </row>
    <row r="23713" spans="8:10" x14ac:dyDescent="0.35">
      <c r="H23713" s="676"/>
      <c r="I23713" s="676"/>
      <c r="J23713" s="770"/>
    </row>
    <row r="23714" spans="8:10" x14ac:dyDescent="0.35">
      <c r="H23714" s="676"/>
      <c r="I23714" s="676"/>
      <c r="J23714" s="770"/>
    </row>
    <row r="23715" spans="8:10" x14ac:dyDescent="0.35">
      <c r="H23715" s="676"/>
      <c r="I23715" s="676"/>
      <c r="J23715" s="770"/>
    </row>
    <row r="23716" spans="8:10" x14ac:dyDescent="0.35">
      <c r="H23716" s="676"/>
      <c r="I23716" s="676"/>
      <c r="J23716" s="770"/>
    </row>
    <row r="23717" spans="8:10" x14ac:dyDescent="0.35">
      <c r="H23717" s="676"/>
      <c r="I23717" s="676"/>
      <c r="J23717" s="770"/>
    </row>
    <row r="23718" spans="8:10" x14ac:dyDescent="0.35">
      <c r="H23718" s="676"/>
      <c r="I23718" s="676"/>
      <c r="J23718" s="770"/>
    </row>
    <row r="23719" spans="8:10" x14ac:dyDescent="0.35">
      <c r="H23719" s="676"/>
      <c r="I23719" s="676"/>
      <c r="J23719" s="770"/>
    </row>
    <row r="23720" spans="8:10" x14ac:dyDescent="0.35">
      <c r="H23720" s="676"/>
      <c r="I23720" s="676"/>
      <c r="J23720" s="770"/>
    </row>
    <row r="23721" spans="8:10" x14ac:dyDescent="0.35">
      <c r="H23721" s="676"/>
      <c r="I23721" s="676"/>
      <c r="J23721" s="770"/>
    </row>
    <row r="23722" spans="8:10" x14ac:dyDescent="0.35">
      <c r="H23722" s="676"/>
      <c r="I23722" s="676"/>
      <c r="J23722" s="770"/>
    </row>
    <row r="23723" spans="8:10" x14ac:dyDescent="0.35">
      <c r="H23723" s="676"/>
      <c r="I23723" s="676"/>
      <c r="J23723" s="770"/>
    </row>
    <row r="23724" spans="8:10" x14ac:dyDescent="0.35">
      <c r="H23724" s="676"/>
      <c r="I23724" s="676"/>
      <c r="J23724" s="770"/>
    </row>
    <row r="23725" spans="8:10" x14ac:dyDescent="0.35">
      <c r="H23725" s="676"/>
      <c r="I23725" s="676"/>
      <c r="J23725" s="770"/>
    </row>
    <row r="23726" spans="8:10" x14ac:dyDescent="0.35">
      <c r="H23726" s="676"/>
      <c r="I23726" s="676"/>
      <c r="J23726" s="770"/>
    </row>
    <row r="23727" spans="8:10" x14ac:dyDescent="0.35">
      <c r="H23727" s="676"/>
      <c r="I23727" s="676"/>
      <c r="J23727" s="770"/>
    </row>
    <row r="23728" spans="8:10" x14ac:dyDescent="0.35">
      <c r="H23728" s="676"/>
      <c r="I23728" s="676"/>
      <c r="J23728" s="770"/>
    </row>
    <row r="23729" spans="8:10" x14ac:dyDescent="0.35">
      <c r="H23729" s="676"/>
      <c r="I23729" s="676"/>
      <c r="J23729" s="770"/>
    </row>
    <row r="23730" spans="8:10" x14ac:dyDescent="0.35">
      <c r="H23730" s="676"/>
      <c r="I23730" s="676"/>
      <c r="J23730" s="770"/>
    </row>
    <row r="23731" spans="8:10" x14ac:dyDescent="0.35">
      <c r="H23731" s="676"/>
      <c r="I23731" s="676"/>
      <c r="J23731" s="770"/>
    </row>
    <row r="23732" spans="8:10" x14ac:dyDescent="0.35">
      <c r="H23732" s="676"/>
      <c r="I23732" s="676"/>
      <c r="J23732" s="770"/>
    </row>
    <row r="23733" spans="8:10" x14ac:dyDescent="0.35">
      <c r="H23733" s="676"/>
      <c r="I23733" s="676"/>
      <c r="J23733" s="770"/>
    </row>
    <row r="23734" spans="8:10" x14ac:dyDescent="0.35">
      <c r="H23734" s="676"/>
      <c r="I23734" s="676"/>
      <c r="J23734" s="770"/>
    </row>
    <row r="23735" spans="8:10" x14ac:dyDescent="0.35">
      <c r="H23735" s="676"/>
      <c r="I23735" s="676"/>
      <c r="J23735" s="770"/>
    </row>
    <row r="23736" spans="8:10" x14ac:dyDescent="0.35">
      <c r="H23736" s="676"/>
      <c r="I23736" s="676"/>
      <c r="J23736" s="770"/>
    </row>
    <row r="23737" spans="8:10" x14ac:dyDescent="0.35">
      <c r="H23737" s="676"/>
      <c r="I23737" s="676"/>
      <c r="J23737" s="770"/>
    </row>
    <row r="23738" spans="8:10" x14ac:dyDescent="0.35">
      <c r="H23738" s="676"/>
      <c r="I23738" s="676"/>
      <c r="J23738" s="770"/>
    </row>
    <row r="23739" spans="8:10" x14ac:dyDescent="0.35">
      <c r="H23739" s="676"/>
      <c r="I23739" s="676"/>
      <c r="J23739" s="770"/>
    </row>
    <row r="23740" spans="8:10" x14ac:dyDescent="0.35">
      <c r="H23740" s="676"/>
      <c r="I23740" s="676"/>
      <c r="J23740" s="770"/>
    </row>
    <row r="23741" spans="8:10" x14ac:dyDescent="0.35">
      <c r="H23741" s="676"/>
      <c r="I23741" s="676"/>
      <c r="J23741" s="770"/>
    </row>
    <row r="23742" spans="8:10" x14ac:dyDescent="0.35">
      <c r="H23742" s="676"/>
      <c r="I23742" s="676"/>
      <c r="J23742" s="770"/>
    </row>
    <row r="23743" spans="8:10" x14ac:dyDescent="0.35">
      <c r="H23743" s="676"/>
      <c r="I23743" s="676"/>
      <c r="J23743" s="770"/>
    </row>
    <row r="23744" spans="8:10" x14ac:dyDescent="0.35">
      <c r="H23744" s="676"/>
      <c r="I23744" s="676"/>
      <c r="J23744" s="770"/>
    </row>
    <row r="23745" spans="8:10" x14ac:dyDescent="0.35">
      <c r="H23745" s="676"/>
      <c r="I23745" s="676"/>
      <c r="J23745" s="770"/>
    </row>
    <row r="23746" spans="8:10" x14ac:dyDescent="0.35">
      <c r="H23746" s="676"/>
      <c r="I23746" s="676"/>
      <c r="J23746" s="770"/>
    </row>
    <row r="23747" spans="8:10" x14ac:dyDescent="0.35">
      <c r="H23747" s="676"/>
      <c r="I23747" s="676"/>
      <c r="J23747" s="770"/>
    </row>
    <row r="23748" spans="8:10" x14ac:dyDescent="0.35">
      <c r="H23748" s="676"/>
      <c r="I23748" s="676"/>
      <c r="J23748" s="770"/>
    </row>
    <row r="23749" spans="8:10" x14ac:dyDescent="0.35">
      <c r="H23749" s="676"/>
      <c r="I23749" s="676"/>
      <c r="J23749" s="770"/>
    </row>
    <row r="23750" spans="8:10" x14ac:dyDescent="0.35">
      <c r="H23750" s="676"/>
      <c r="I23750" s="676"/>
      <c r="J23750" s="770"/>
    </row>
    <row r="23751" spans="8:10" x14ac:dyDescent="0.35">
      <c r="H23751" s="676"/>
      <c r="I23751" s="676"/>
      <c r="J23751" s="770"/>
    </row>
    <row r="23752" spans="8:10" x14ac:dyDescent="0.35">
      <c r="H23752" s="676"/>
      <c r="I23752" s="676"/>
      <c r="J23752" s="770"/>
    </row>
    <row r="23753" spans="8:10" x14ac:dyDescent="0.35">
      <c r="H23753" s="676"/>
      <c r="I23753" s="676"/>
      <c r="J23753" s="770"/>
    </row>
    <row r="23754" spans="8:10" x14ac:dyDescent="0.35">
      <c r="H23754" s="676"/>
      <c r="I23754" s="676"/>
      <c r="J23754" s="770"/>
    </row>
    <row r="23755" spans="8:10" x14ac:dyDescent="0.35">
      <c r="H23755" s="676"/>
      <c r="I23755" s="676"/>
      <c r="J23755" s="770"/>
    </row>
    <row r="23756" spans="8:10" x14ac:dyDescent="0.35">
      <c r="H23756" s="676"/>
      <c r="I23756" s="676"/>
      <c r="J23756" s="770"/>
    </row>
    <row r="23757" spans="8:10" x14ac:dyDescent="0.35">
      <c r="H23757" s="676"/>
      <c r="I23757" s="676"/>
      <c r="J23757" s="770"/>
    </row>
    <row r="23758" spans="8:10" x14ac:dyDescent="0.35">
      <c r="H23758" s="676"/>
      <c r="I23758" s="676"/>
      <c r="J23758" s="770"/>
    </row>
    <row r="23759" spans="8:10" x14ac:dyDescent="0.35">
      <c r="H23759" s="676"/>
      <c r="I23759" s="676"/>
      <c r="J23759" s="770"/>
    </row>
    <row r="23760" spans="8:10" x14ac:dyDescent="0.35">
      <c r="H23760" s="676"/>
      <c r="I23760" s="676"/>
      <c r="J23760" s="770"/>
    </row>
    <row r="23761" spans="8:10" x14ac:dyDescent="0.35">
      <c r="H23761" s="676"/>
      <c r="I23761" s="676"/>
      <c r="J23761" s="770"/>
    </row>
    <row r="23762" spans="8:10" x14ac:dyDescent="0.35">
      <c r="H23762" s="676"/>
      <c r="I23762" s="676"/>
      <c r="J23762" s="770"/>
    </row>
    <row r="23763" spans="8:10" x14ac:dyDescent="0.35">
      <c r="H23763" s="676"/>
      <c r="I23763" s="676"/>
      <c r="J23763" s="770"/>
    </row>
    <row r="23764" spans="8:10" x14ac:dyDescent="0.35">
      <c r="H23764" s="676"/>
      <c r="I23764" s="676"/>
      <c r="J23764" s="770"/>
    </row>
    <row r="23765" spans="8:10" x14ac:dyDescent="0.35">
      <c r="H23765" s="676"/>
      <c r="I23765" s="676"/>
      <c r="J23765" s="770"/>
    </row>
    <row r="23766" spans="8:10" x14ac:dyDescent="0.35">
      <c r="H23766" s="676"/>
      <c r="I23766" s="676"/>
      <c r="J23766" s="770"/>
    </row>
    <row r="23767" spans="8:10" x14ac:dyDescent="0.35">
      <c r="H23767" s="676"/>
      <c r="I23767" s="676"/>
      <c r="J23767" s="770"/>
    </row>
    <row r="23768" spans="8:10" x14ac:dyDescent="0.35">
      <c r="H23768" s="676"/>
      <c r="I23768" s="676"/>
      <c r="J23768" s="770"/>
    </row>
    <row r="23769" spans="8:10" x14ac:dyDescent="0.35">
      <c r="H23769" s="676"/>
      <c r="I23769" s="676"/>
      <c r="J23769" s="770"/>
    </row>
    <row r="23770" spans="8:10" x14ac:dyDescent="0.35">
      <c r="H23770" s="676"/>
      <c r="I23770" s="676"/>
      <c r="J23770" s="770"/>
    </row>
    <row r="23771" spans="8:10" x14ac:dyDescent="0.35">
      <c r="H23771" s="676"/>
      <c r="I23771" s="676"/>
      <c r="J23771" s="770"/>
    </row>
    <row r="23772" spans="8:10" x14ac:dyDescent="0.35">
      <c r="H23772" s="676"/>
      <c r="I23772" s="676"/>
      <c r="J23772" s="770"/>
    </row>
    <row r="23773" spans="8:10" x14ac:dyDescent="0.35">
      <c r="H23773" s="676"/>
      <c r="I23773" s="676"/>
      <c r="J23773" s="770"/>
    </row>
    <row r="23774" spans="8:10" x14ac:dyDescent="0.35">
      <c r="H23774" s="676"/>
      <c r="I23774" s="676"/>
      <c r="J23774" s="770"/>
    </row>
    <row r="23775" spans="8:10" x14ac:dyDescent="0.35">
      <c r="H23775" s="676"/>
      <c r="I23775" s="676"/>
      <c r="J23775" s="770"/>
    </row>
    <row r="23776" spans="8:10" x14ac:dyDescent="0.35">
      <c r="H23776" s="676"/>
      <c r="I23776" s="676"/>
      <c r="J23776" s="770"/>
    </row>
    <row r="23777" spans="8:10" x14ac:dyDescent="0.35">
      <c r="H23777" s="676"/>
      <c r="I23777" s="676"/>
      <c r="J23777" s="770"/>
    </row>
    <row r="23778" spans="8:10" x14ac:dyDescent="0.35">
      <c r="H23778" s="676"/>
      <c r="I23778" s="676"/>
      <c r="J23778" s="770"/>
    </row>
    <row r="23779" spans="8:10" x14ac:dyDescent="0.35">
      <c r="H23779" s="676"/>
      <c r="I23779" s="676"/>
      <c r="J23779" s="770"/>
    </row>
    <row r="23780" spans="8:10" x14ac:dyDescent="0.35">
      <c r="H23780" s="676"/>
      <c r="I23780" s="676"/>
      <c r="J23780" s="770"/>
    </row>
    <row r="23781" spans="8:10" x14ac:dyDescent="0.35">
      <c r="H23781" s="676"/>
      <c r="I23781" s="676"/>
      <c r="J23781" s="770"/>
    </row>
    <row r="23782" spans="8:10" x14ac:dyDescent="0.35">
      <c r="H23782" s="676"/>
      <c r="I23782" s="676"/>
      <c r="J23782" s="770"/>
    </row>
    <row r="23783" spans="8:10" x14ac:dyDescent="0.35">
      <c r="H23783" s="676"/>
      <c r="I23783" s="676"/>
      <c r="J23783" s="770"/>
    </row>
    <row r="23784" spans="8:10" x14ac:dyDescent="0.35">
      <c r="H23784" s="676"/>
      <c r="I23784" s="676"/>
      <c r="J23784" s="770"/>
    </row>
    <row r="23785" spans="8:10" x14ac:dyDescent="0.35">
      <c r="H23785" s="676"/>
      <c r="I23785" s="676"/>
      <c r="J23785" s="770"/>
    </row>
    <row r="23786" spans="8:10" x14ac:dyDescent="0.35">
      <c r="H23786" s="676"/>
      <c r="I23786" s="676"/>
      <c r="J23786" s="770"/>
    </row>
    <row r="23787" spans="8:10" x14ac:dyDescent="0.35">
      <c r="H23787" s="676"/>
      <c r="I23787" s="676"/>
      <c r="J23787" s="770"/>
    </row>
    <row r="23788" spans="8:10" x14ac:dyDescent="0.35">
      <c r="H23788" s="676"/>
      <c r="I23788" s="676"/>
      <c r="J23788" s="770"/>
    </row>
    <row r="23789" spans="8:10" x14ac:dyDescent="0.35">
      <c r="H23789" s="676"/>
      <c r="I23789" s="676"/>
      <c r="J23789" s="770"/>
    </row>
    <row r="23790" spans="8:10" x14ac:dyDescent="0.35">
      <c r="H23790" s="676"/>
      <c r="I23790" s="676"/>
      <c r="J23790" s="770"/>
    </row>
    <row r="23791" spans="8:10" x14ac:dyDescent="0.35">
      <c r="H23791" s="676"/>
      <c r="I23791" s="676"/>
      <c r="J23791" s="770"/>
    </row>
    <row r="23792" spans="8:10" x14ac:dyDescent="0.35">
      <c r="H23792" s="676"/>
      <c r="I23792" s="676"/>
      <c r="J23792" s="770"/>
    </row>
    <row r="23793" spans="8:10" x14ac:dyDescent="0.35">
      <c r="H23793" s="676"/>
      <c r="I23793" s="676"/>
      <c r="J23793" s="770"/>
    </row>
    <row r="23794" spans="8:10" x14ac:dyDescent="0.35">
      <c r="H23794" s="676"/>
      <c r="I23794" s="676"/>
      <c r="J23794" s="770"/>
    </row>
    <row r="23795" spans="8:10" x14ac:dyDescent="0.35">
      <c r="H23795" s="676"/>
      <c r="I23795" s="676"/>
      <c r="J23795" s="770"/>
    </row>
    <row r="23796" spans="8:10" x14ac:dyDescent="0.35">
      <c r="H23796" s="676"/>
      <c r="I23796" s="676"/>
      <c r="J23796" s="770"/>
    </row>
    <row r="23797" spans="8:10" x14ac:dyDescent="0.35">
      <c r="H23797" s="676"/>
      <c r="I23797" s="676"/>
      <c r="J23797" s="770"/>
    </row>
    <row r="23798" spans="8:10" x14ac:dyDescent="0.35">
      <c r="H23798" s="676"/>
      <c r="I23798" s="676"/>
      <c r="J23798" s="770"/>
    </row>
    <row r="23799" spans="8:10" x14ac:dyDescent="0.35">
      <c r="H23799" s="676"/>
      <c r="I23799" s="676"/>
      <c r="J23799" s="770"/>
    </row>
    <row r="23800" spans="8:10" x14ac:dyDescent="0.35">
      <c r="H23800" s="676"/>
      <c r="I23800" s="676"/>
      <c r="J23800" s="770"/>
    </row>
    <row r="23801" spans="8:10" x14ac:dyDescent="0.35">
      <c r="H23801" s="676"/>
      <c r="I23801" s="676"/>
      <c r="J23801" s="770"/>
    </row>
    <row r="23802" spans="8:10" x14ac:dyDescent="0.35">
      <c r="H23802" s="676"/>
      <c r="I23802" s="676"/>
      <c r="J23802" s="770"/>
    </row>
    <row r="23803" spans="8:10" x14ac:dyDescent="0.35">
      <c r="H23803" s="676"/>
      <c r="I23803" s="676"/>
      <c r="J23803" s="770"/>
    </row>
    <row r="23804" spans="8:10" x14ac:dyDescent="0.35">
      <c r="H23804" s="676"/>
      <c r="I23804" s="676"/>
      <c r="J23804" s="770"/>
    </row>
    <row r="23805" spans="8:10" x14ac:dyDescent="0.35">
      <c r="H23805" s="676"/>
      <c r="I23805" s="676"/>
      <c r="J23805" s="770"/>
    </row>
    <row r="23806" spans="8:10" x14ac:dyDescent="0.35">
      <c r="H23806" s="676"/>
      <c r="I23806" s="676"/>
      <c r="J23806" s="770"/>
    </row>
    <row r="23807" spans="8:10" x14ac:dyDescent="0.35">
      <c r="H23807" s="676"/>
      <c r="I23807" s="676"/>
      <c r="J23807" s="770"/>
    </row>
    <row r="23808" spans="8:10" x14ac:dyDescent="0.35">
      <c r="H23808" s="676"/>
      <c r="I23808" s="676"/>
      <c r="J23808" s="770"/>
    </row>
    <row r="23809" spans="8:10" x14ac:dyDescent="0.35">
      <c r="H23809" s="676"/>
      <c r="I23809" s="676"/>
      <c r="J23809" s="770"/>
    </row>
    <row r="23810" spans="8:10" x14ac:dyDescent="0.35">
      <c r="H23810" s="676"/>
      <c r="I23810" s="676"/>
      <c r="J23810" s="770"/>
    </row>
    <row r="23811" spans="8:10" x14ac:dyDescent="0.35">
      <c r="H23811" s="676"/>
      <c r="I23811" s="676"/>
      <c r="J23811" s="770"/>
    </row>
    <row r="23812" spans="8:10" x14ac:dyDescent="0.35">
      <c r="H23812" s="676"/>
      <c r="I23812" s="676"/>
      <c r="J23812" s="770"/>
    </row>
    <row r="23813" spans="8:10" x14ac:dyDescent="0.35">
      <c r="H23813" s="676"/>
      <c r="I23813" s="676"/>
      <c r="J23813" s="770"/>
    </row>
    <row r="23814" spans="8:10" x14ac:dyDescent="0.35">
      <c r="H23814" s="676"/>
      <c r="I23814" s="676"/>
      <c r="J23814" s="770"/>
    </row>
    <row r="23815" spans="8:10" x14ac:dyDescent="0.35">
      <c r="H23815" s="676"/>
      <c r="I23815" s="676"/>
      <c r="J23815" s="770"/>
    </row>
    <row r="23816" spans="8:10" x14ac:dyDescent="0.35">
      <c r="H23816" s="676"/>
      <c r="I23816" s="676"/>
      <c r="J23816" s="770"/>
    </row>
    <row r="23817" spans="8:10" x14ac:dyDescent="0.35">
      <c r="H23817" s="676"/>
      <c r="I23817" s="676"/>
      <c r="J23817" s="770"/>
    </row>
    <row r="23818" spans="8:10" x14ac:dyDescent="0.35">
      <c r="H23818" s="676"/>
      <c r="I23818" s="676"/>
      <c r="J23818" s="770"/>
    </row>
    <row r="23819" spans="8:10" x14ac:dyDescent="0.35">
      <c r="H23819" s="676"/>
      <c r="I23819" s="676"/>
      <c r="J23819" s="770"/>
    </row>
    <row r="23820" spans="8:10" x14ac:dyDescent="0.35">
      <c r="H23820" s="676"/>
      <c r="I23820" s="676"/>
      <c r="J23820" s="770"/>
    </row>
    <row r="23821" spans="8:10" x14ac:dyDescent="0.35">
      <c r="H23821" s="676"/>
      <c r="I23821" s="676"/>
      <c r="J23821" s="770"/>
    </row>
    <row r="23822" spans="8:10" x14ac:dyDescent="0.35">
      <c r="H23822" s="676"/>
      <c r="I23822" s="676"/>
      <c r="J23822" s="770"/>
    </row>
    <row r="23823" spans="8:10" x14ac:dyDescent="0.35">
      <c r="H23823" s="676"/>
      <c r="I23823" s="676"/>
      <c r="J23823" s="770"/>
    </row>
    <row r="23824" spans="8:10" x14ac:dyDescent="0.35">
      <c r="H23824" s="676"/>
      <c r="I23824" s="676"/>
      <c r="J23824" s="770"/>
    </row>
    <row r="23825" spans="8:10" x14ac:dyDescent="0.35">
      <c r="H23825" s="676"/>
      <c r="I23825" s="676"/>
      <c r="J23825" s="770"/>
    </row>
    <row r="23826" spans="8:10" x14ac:dyDescent="0.35">
      <c r="H23826" s="676"/>
      <c r="I23826" s="676"/>
      <c r="J23826" s="770"/>
    </row>
    <row r="23827" spans="8:10" x14ac:dyDescent="0.35">
      <c r="H23827" s="676"/>
      <c r="I23827" s="676"/>
      <c r="J23827" s="770"/>
    </row>
    <row r="23828" spans="8:10" x14ac:dyDescent="0.35">
      <c r="H23828" s="676"/>
      <c r="I23828" s="676"/>
      <c r="J23828" s="770"/>
    </row>
    <row r="23829" spans="8:10" x14ac:dyDescent="0.35">
      <c r="H23829" s="676"/>
      <c r="I23829" s="676"/>
      <c r="J23829" s="770"/>
    </row>
    <row r="23830" spans="8:10" x14ac:dyDescent="0.35">
      <c r="H23830" s="676"/>
      <c r="I23830" s="676"/>
      <c r="J23830" s="770"/>
    </row>
    <row r="23831" spans="8:10" x14ac:dyDescent="0.35">
      <c r="H23831" s="676"/>
      <c r="I23831" s="676"/>
      <c r="J23831" s="770"/>
    </row>
    <row r="23832" spans="8:10" x14ac:dyDescent="0.35">
      <c r="H23832" s="676"/>
      <c r="I23832" s="676"/>
      <c r="J23832" s="770"/>
    </row>
    <row r="23833" spans="8:10" x14ac:dyDescent="0.35">
      <c r="H23833" s="676"/>
      <c r="I23833" s="676"/>
      <c r="J23833" s="770"/>
    </row>
    <row r="23834" spans="8:10" x14ac:dyDescent="0.35">
      <c r="H23834" s="676"/>
      <c r="I23834" s="676"/>
      <c r="J23834" s="770"/>
    </row>
    <row r="23835" spans="8:10" x14ac:dyDescent="0.35">
      <c r="H23835" s="676"/>
      <c r="I23835" s="676"/>
      <c r="J23835" s="770"/>
    </row>
    <row r="23836" spans="8:10" x14ac:dyDescent="0.35">
      <c r="H23836" s="676"/>
      <c r="I23836" s="676"/>
      <c r="J23836" s="770"/>
    </row>
    <row r="23837" spans="8:10" x14ac:dyDescent="0.35">
      <c r="H23837" s="676"/>
      <c r="I23837" s="676"/>
      <c r="J23837" s="770"/>
    </row>
    <row r="23838" spans="8:10" x14ac:dyDescent="0.35">
      <c r="H23838" s="676"/>
      <c r="I23838" s="676"/>
      <c r="J23838" s="770"/>
    </row>
    <row r="23839" spans="8:10" x14ac:dyDescent="0.35">
      <c r="H23839" s="676"/>
      <c r="I23839" s="676"/>
      <c r="J23839" s="770"/>
    </row>
    <row r="23840" spans="8:10" x14ac:dyDescent="0.35">
      <c r="H23840" s="676"/>
      <c r="I23840" s="676"/>
      <c r="J23840" s="770"/>
    </row>
    <row r="23841" spans="8:10" x14ac:dyDescent="0.35">
      <c r="H23841" s="676"/>
      <c r="I23841" s="676"/>
      <c r="J23841" s="770"/>
    </row>
    <row r="23842" spans="8:10" x14ac:dyDescent="0.35">
      <c r="H23842" s="676"/>
      <c r="I23842" s="676"/>
      <c r="J23842" s="770"/>
    </row>
    <row r="23843" spans="8:10" x14ac:dyDescent="0.35">
      <c r="H23843" s="676"/>
      <c r="I23843" s="676"/>
      <c r="J23843" s="770"/>
    </row>
    <row r="23844" spans="8:10" x14ac:dyDescent="0.35">
      <c r="H23844" s="676"/>
      <c r="I23844" s="676"/>
      <c r="J23844" s="770"/>
    </row>
    <row r="23845" spans="8:10" x14ac:dyDescent="0.35">
      <c r="H23845" s="676"/>
      <c r="I23845" s="676"/>
      <c r="J23845" s="770"/>
    </row>
    <row r="23846" spans="8:10" x14ac:dyDescent="0.35">
      <c r="H23846" s="676"/>
      <c r="I23846" s="676"/>
      <c r="J23846" s="770"/>
    </row>
    <row r="23847" spans="8:10" x14ac:dyDescent="0.35">
      <c r="H23847" s="676"/>
      <c r="I23847" s="676"/>
      <c r="J23847" s="770"/>
    </row>
    <row r="23848" spans="8:10" x14ac:dyDescent="0.35">
      <c r="H23848" s="676"/>
      <c r="I23848" s="676"/>
      <c r="J23848" s="770"/>
    </row>
    <row r="23849" spans="8:10" x14ac:dyDescent="0.35">
      <c r="H23849" s="676"/>
      <c r="I23849" s="676"/>
      <c r="J23849" s="770"/>
    </row>
    <row r="23850" spans="8:10" x14ac:dyDescent="0.35">
      <c r="H23850" s="676"/>
      <c r="I23850" s="676"/>
      <c r="J23850" s="770"/>
    </row>
    <row r="23851" spans="8:10" x14ac:dyDescent="0.35">
      <c r="H23851" s="676"/>
      <c r="I23851" s="676"/>
      <c r="J23851" s="770"/>
    </row>
    <row r="23852" spans="8:10" x14ac:dyDescent="0.35">
      <c r="H23852" s="676"/>
      <c r="I23852" s="676"/>
      <c r="J23852" s="770"/>
    </row>
    <row r="23853" spans="8:10" x14ac:dyDescent="0.35">
      <c r="H23853" s="676"/>
      <c r="I23853" s="676"/>
      <c r="J23853" s="770"/>
    </row>
    <row r="23854" spans="8:10" x14ac:dyDescent="0.35">
      <c r="H23854" s="676"/>
      <c r="I23854" s="676"/>
      <c r="J23854" s="770"/>
    </row>
    <row r="23855" spans="8:10" x14ac:dyDescent="0.35">
      <c r="H23855" s="676"/>
      <c r="I23855" s="676"/>
      <c r="J23855" s="770"/>
    </row>
    <row r="23856" spans="8:10" x14ac:dyDescent="0.35">
      <c r="H23856" s="676"/>
      <c r="I23856" s="676"/>
      <c r="J23856" s="770"/>
    </row>
    <row r="23857" spans="8:10" x14ac:dyDescent="0.35">
      <c r="H23857" s="676"/>
      <c r="I23857" s="676"/>
      <c r="J23857" s="770"/>
    </row>
    <row r="23858" spans="8:10" x14ac:dyDescent="0.35">
      <c r="H23858" s="676"/>
      <c r="I23858" s="676"/>
      <c r="J23858" s="770"/>
    </row>
    <row r="23859" spans="8:10" x14ac:dyDescent="0.35">
      <c r="H23859" s="676"/>
      <c r="I23859" s="676"/>
      <c r="J23859" s="770"/>
    </row>
    <row r="23860" spans="8:10" x14ac:dyDescent="0.35">
      <c r="H23860" s="676"/>
      <c r="I23860" s="676"/>
      <c r="J23860" s="770"/>
    </row>
    <row r="23861" spans="8:10" x14ac:dyDescent="0.35">
      <c r="H23861" s="676"/>
      <c r="I23861" s="676"/>
      <c r="J23861" s="770"/>
    </row>
    <row r="23862" spans="8:10" x14ac:dyDescent="0.35">
      <c r="H23862" s="676"/>
      <c r="I23862" s="676"/>
      <c r="J23862" s="770"/>
    </row>
    <row r="23863" spans="8:10" x14ac:dyDescent="0.35">
      <c r="H23863" s="676"/>
      <c r="I23863" s="676"/>
      <c r="J23863" s="770"/>
    </row>
    <row r="23864" spans="8:10" x14ac:dyDescent="0.35">
      <c r="H23864" s="676"/>
      <c r="I23864" s="676"/>
      <c r="J23864" s="770"/>
    </row>
    <row r="23865" spans="8:10" x14ac:dyDescent="0.35">
      <c r="H23865" s="676"/>
      <c r="I23865" s="676"/>
      <c r="J23865" s="770"/>
    </row>
    <row r="23866" spans="8:10" x14ac:dyDescent="0.35">
      <c r="H23866" s="676"/>
      <c r="I23866" s="676"/>
      <c r="J23866" s="770"/>
    </row>
    <row r="23867" spans="8:10" x14ac:dyDescent="0.35">
      <c r="H23867" s="676"/>
      <c r="I23867" s="676"/>
      <c r="J23867" s="770"/>
    </row>
    <row r="23868" spans="8:10" x14ac:dyDescent="0.35">
      <c r="H23868" s="676"/>
      <c r="I23868" s="676"/>
      <c r="J23868" s="770"/>
    </row>
    <row r="23869" spans="8:10" x14ac:dyDescent="0.35">
      <c r="H23869" s="676"/>
      <c r="I23869" s="676"/>
      <c r="J23869" s="770"/>
    </row>
    <row r="23870" spans="8:10" x14ac:dyDescent="0.35">
      <c r="H23870" s="676"/>
      <c r="I23870" s="676"/>
      <c r="J23870" s="770"/>
    </row>
    <row r="23871" spans="8:10" x14ac:dyDescent="0.35">
      <c r="H23871" s="676"/>
      <c r="I23871" s="676"/>
      <c r="J23871" s="770"/>
    </row>
    <row r="23872" spans="8:10" x14ac:dyDescent="0.35">
      <c r="H23872" s="676"/>
      <c r="I23872" s="676"/>
      <c r="J23872" s="770"/>
    </row>
    <row r="23873" spans="8:10" x14ac:dyDescent="0.35">
      <c r="H23873" s="676"/>
      <c r="I23873" s="676"/>
      <c r="J23873" s="770"/>
    </row>
    <row r="23874" spans="8:10" x14ac:dyDescent="0.35">
      <c r="H23874" s="676"/>
      <c r="I23874" s="676"/>
      <c r="J23874" s="770"/>
    </row>
    <row r="23875" spans="8:10" x14ac:dyDescent="0.35">
      <c r="H23875" s="676"/>
      <c r="I23875" s="676"/>
      <c r="J23875" s="770"/>
    </row>
    <row r="23876" spans="8:10" x14ac:dyDescent="0.35">
      <c r="H23876" s="676"/>
      <c r="I23876" s="676"/>
      <c r="J23876" s="770"/>
    </row>
    <row r="23877" spans="8:10" x14ac:dyDescent="0.35">
      <c r="H23877" s="676"/>
      <c r="I23877" s="676"/>
      <c r="J23877" s="770"/>
    </row>
    <row r="23878" spans="8:10" x14ac:dyDescent="0.35">
      <c r="H23878" s="676"/>
      <c r="I23878" s="676"/>
      <c r="J23878" s="770"/>
    </row>
    <row r="23879" spans="8:10" x14ac:dyDescent="0.35">
      <c r="H23879" s="676"/>
      <c r="I23879" s="676"/>
      <c r="J23879" s="770"/>
    </row>
    <row r="23880" spans="8:10" x14ac:dyDescent="0.35">
      <c r="H23880" s="676"/>
      <c r="I23880" s="676"/>
      <c r="J23880" s="770"/>
    </row>
    <row r="23881" spans="8:10" x14ac:dyDescent="0.35">
      <c r="H23881" s="676"/>
      <c r="I23881" s="676"/>
      <c r="J23881" s="770"/>
    </row>
    <row r="23882" spans="8:10" x14ac:dyDescent="0.35">
      <c r="H23882" s="676"/>
      <c r="I23882" s="676"/>
      <c r="J23882" s="770"/>
    </row>
    <row r="23883" spans="8:10" x14ac:dyDescent="0.35">
      <c r="H23883" s="676"/>
      <c r="I23883" s="676"/>
      <c r="J23883" s="770"/>
    </row>
    <row r="23884" spans="8:10" x14ac:dyDescent="0.35">
      <c r="H23884" s="676"/>
      <c r="I23884" s="676"/>
      <c r="J23884" s="770"/>
    </row>
    <row r="23885" spans="8:10" x14ac:dyDescent="0.35">
      <c r="H23885" s="676"/>
      <c r="I23885" s="676"/>
      <c r="J23885" s="770"/>
    </row>
    <row r="23886" spans="8:10" x14ac:dyDescent="0.35">
      <c r="H23886" s="676"/>
      <c r="I23886" s="676"/>
      <c r="J23886" s="770"/>
    </row>
    <row r="23887" spans="8:10" x14ac:dyDescent="0.35">
      <c r="H23887" s="676"/>
      <c r="I23887" s="676"/>
      <c r="J23887" s="770"/>
    </row>
    <row r="23888" spans="8:10" x14ac:dyDescent="0.35">
      <c r="H23888" s="676"/>
      <c r="I23888" s="676"/>
      <c r="J23888" s="770"/>
    </row>
    <row r="23889" spans="8:10" x14ac:dyDescent="0.35">
      <c r="H23889" s="676"/>
      <c r="I23889" s="676"/>
      <c r="J23889" s="770"/>
    </row>
    <row r="23890" spans="8:10" x14ac:dyDescent="0.35">
      <c r="H23890" s="676"/>
      <c r="I23890" s="676"/>
      <c r="J23890" s="770"/>
    </row>
    <row r="23891" spans="8:10" x14ac:dyDescent="0.35">
      <c r="H23891" s="676"/>
      <c r="I23891" s="676"/>
      <c r="J23891" s="770"/>
    </row>
    <row r="23892" spans="8:10" x14ac:dyDescent="0.35">
      <c r="H23892" s="676"/>
      <c r="I23892" s="676"/>
      <c r="J23892" s="770"/>
    </row>
    <row r="23893" spans="8:10" x14ac:dyDescent="0.35">
      <c r="H23893" s="676"/>
      <c r="I23893" s="676"/>
      <c r="J23893" s="770"/>
    </row>
    <row r="23894" spans="8:10" x14ac:dyDescent="0.35">
      <c r="H23894" s="676"/>
      <c r="I23894" s="676"/>
      <c r="J23894" s="770"/>
    </row>
    <row r="23895" spans="8:10" x14ac:dyDescent="0.35">
      <c r="H23895" s="676"/>
      <c r="I23895" s="676"/>
      <c r="J23895" s="770"/>
    </row>
    <row r="23896" spans="8:10" x14ac:dyDescent="0.35">
      <c r="H23896" s="676"/>
      <c r="I23896" s="676"/>
      <c r="J23896" s="770"/>
    </row>
    <row r="23897" spans="8:10" x14ac:dyDescent="0.35">
      <c r="H23897" s="676"/>
      <c r="I23897" s="676"/>
      <c r="J23897" s="770"/>
    </row>
    <row r="23898" spans="8:10" x14ac:dyDescent="0.35">
      <c r="H23898" s="676"/>
      <c r="I23898" s="676"/>
      <c r="J23898" s="770"/>
    </row>
    <row r="23899" spans="8:10" x14ac:dyDescent="0.35">
      <c r="H23899" s="676"/>
      <c r="I23899" s="676"/>
      <c r="J23899" s="770"/>
    </row>
    <row r="23900" spans="8:10" x14ac:dyDescent="0.35">
      <c r="H23900" s="676"/>
      <c r="I23900" s="676"/>
      <c r="J23900" s="770"/>
    </row>
    <row r="23901" spans="8:10" x14ac:dyDescent="0.35">
      <c r="H23901" s="676"/>
      <c r="I23901" s="676"/>
      <c r="J23901" s="770"/>
    </row>
    <row r="23902" spans="8:10" x14ac:dyDescent="0.35">
      <c r="H23902" s="676"/>
      <c r="I23902" s="676"/>
      <c r="J23902" s="770"/>
    </row>
    <row r="23903" spans="8:10" x14ac:dyDescent="0.35">
      <c r="H23903" s="676"/>
      <c r="I23903" s="676"/>
      <c r="J23903" s="770"/>
    </row>
    <row r="23904" spans="8:10" x14ac:dyDescent="0.35">
      <c r="H23904" s="676"/>
      <c r="I23904" s="676"/>
      <c r="J23904" s="770"/>
    </row>
    <row r="23905" spans="8:10" x14ac:dyDescent="0.35">
      <c r="H23905" s="676"/>
      <c r="I23905" s="676"/>
      <c r="J23905" s="770"/>
    </row>
    <row r="23906" spans="8:10" x14ac:dyDescent="0.35">
      <c r="H23906" s="676"/>
      <c r="I23906" s="676"/>
      <c r="J23906" s="770"/>
    </row>
    <row r="23907" spans="8:10" x14ac:dyDescent="0.35">
      <c r="H23907" s="676"/>
      <c r="I23907" s="676"/>
      <c r="J23907" s="770"/>
    </row>
    <row r="23908" spans="8:10" x14ac:dyDescent="0.35">
      <c r="H23908" s="676"/>
      <c r="I23908" s="676"/>
      <c r="J23908" s="770"/>
    </row>
    <row r="23909" spans="8:10" x14ac:dyDescent="0.35">
      <c r="H23909" s="676"/>
      <c r="I23909" s="676"/>
      <c r="J23909" s="770"/>
    </row>
    <row r="23910" spans="8:10" x14ac:dyDescent="0.35">
      <c r="H23910" s="676"/>
      <c r="I23910" s="676"/>
      <c r="J23910" s="770"/>
    </row>
    <row r="23911" spans="8:10" x14ac:dyDescent="0.35">
      <c r="H23911" s="676"/>
      <c r="I23911" s="676"/>
      <c r="J23911" s="770"/>
    </row>
    <row r="23912" spans="8:10" x14ac:dyDescent="0.35">
      <c r="H23912" s="676"/>
      <c r="I23912" s="676"/>
      <c r="J23912" s="770"/>
    </row>
    <row r="23913" spans="8:10" x14ac:dyDescent="0.35">
      <c r="H23913" s="676"/>
      <c r="I23913" s="676"/>
      <c r="J23913" s="770"/>
    </row>
    <row r="23914" spans="8:10" x14ac:dyDescent="0.35">
      <c r="H23914" s="676"/>
      <c r="I23914" s="676"/>
      <c r="J23914" s="770"/>
    </row>
    <row r="23915" spans="8:10" x14ac:dyDescent="0.35">
      <c r="H23915" s="676"/>
      <c r="I23915" s="676"/>
      <c r="J23915" s="770"/>
    </row>
    <row r="23916" spans="8:10" x14ac:dyDescent="0.35">
      <c r="H23916" s="676"/>
      <c r="I23916" s="676"/>
      <c r="J23916" s="770"/>
    </row>
    <row r="23917" spans="8:10" x14ac:dyDescent="0.35">
      <c r="H23917" s="676"/>
      <c r="I23917" s="676"/>
      <c r="J23917" s="770"/>
    </row>
    <row r="23918" spans="8:10" x14ac:dyDescent="0.35">
      <c r="H23918" s="676"/>
      <c r="I23918" s="676"/>
      <c r="J23918" s="770"/>
    </row>
    <row r="23919" spans="8:10" x14ac:dyDescent="0.35">
      <c r="H23919" s="676"/>
      <c r="I23919" s="676"/>
      <c r="J23919" s="770"/>
    </row>
    <row r="23920" spans="8:10" x14ac:dyDescent="0.35">
      <c r="H23920" s="676"/>
      <c r="I23920" s="676"/>
      <c r="J23920" s="770"/>
    </row>
    <row r="23921" spans="8:10" x14ac:dyDescent="0.35">
      <c r="H23921" s="676"/>
      <c r="I23921" s="676"/>
      <c r="J23921" s="770"/>
    </row>
    <row r="23922" spans="8:10" x14ac:dyDescent="0.35">
      <c r="H23922" s="676"/>
      <c r="I23922" s="676"/>
      <c r="J23922" s="770"/>
    </row>
    <row r="23923" spans="8:10" x14ac:dyDescent="0.35">
      <c r="H23923" s="676"/>
      <c r="I23923" s="676"/>
      <c r="J23923" s="770"/>
    </row>
    <row r="23924" spans="8:10" x14ac:dyDescent="0.35">
      <c r="H23924" s="676"/>
      <c r="I23924" s="676"/>
      <c r="J23924" s="770"/>
    </row>
    <row r="23925" spans="8:10" x14ac:dyDescent="0.35">
      <c r="H23925" s="676"/>
      <c r="I23925" s="676"/>
      <c r="J23925" s="770"/>
    </row>
    <row r="23926" spans="8:10" x14ac:dyDescent="0.35">
      <c r="H23926" s="676"/>
      <c r="I23926" s="676"/>
      <c r="J23926" s="770"/>
    </row>
    <row r="23927" spans="8:10" x14ac:dyDescent="0.35">
      <c r="H23927" s="676"/>
      <c r="I23927" s="676"/>
      <c r="J23927" s="770"/>
    </row>
    <row r="23928" spans="8:10" x14ac:dyDescent="0.35">
      <c r="H23928" s="676"/>
      <c r="I23928" s="676"/>
      <c r="J23928" s="770"/>
    </row>
    <row r="23929" spans="8:10" x14ac:dyDescent="0.35">
      <c r="H23929" s="676"/>
      <c r="I23929" s="676"/>
      <c r="J23929" s="770"/>
    </row>
    <row r="23930" spans="8:10" x14ac:dyDescent="0.35">
      <c r="H23930" s="676"/>
      <c r="I23930" s="676"/>
      <c r="J23930" s="770"/>
    </row>
    <row r="23931" spans="8:10" x14ac:dyDescent="0.35">
      <c r="H23931" s="676"/>
      <c r="I23931" s="676"/>
      <c r="J23931" s="770"/>
    </row>
    <row r="23932" spans="8:10" x14ac:dyDescent="0.35">
      <c r="H23932" s="676"/>
      <c r="I23932" s="676"/>
      <c r="J23932" s="770"/>
    </row>
    <row r="23933" spans="8:10" x14ac:dyDescent="0.35">
      <c r="H23933" s="676"/>
      <c r="I23933" s="676"/>
      <c r="J23933" s="770"/>
    </row>
    <row r="23934" spans="8:10" x14ac:dyDescent="0.35">
      <c r="H23934" s="676"/>
      <c r="I23934" s="676"/>
      <c r="J23934" s="770"/>
    </row>
    <row r="23935" spans="8:10" x14ac:dyDescent="0.35">
      <c r="H23935" s="676"/>
      <c r="I23935" s="676"/>
      <c r="J23935" s="770"/>
    </row>
    <row r="23936" spans="8:10" x14ac:dyDescent="0.35">
      <c r="H23936" s="676"/>
      <c r="I23936" s="676"/>
      <c r="J23936" s="770"/>
    </row>
    <row r="23937" spans="8:10" x14ac:dyDescent="0.35">
      <c r="H23937" s="676"/>
      <c r="I23937" s="676"/>
      <c r="J23937" s="770"/>
    </row>
    <row r="23938" spans="8:10" x14ac:dyDescent="0.35">
      <c r="H23938" s="676"/>
      <c r="I23938" s="676"/>
      <c r="J23938" s="770"/>
    </row>
    <row r="23939" spans="8:10" x14ac:dyDescent="0.35">
      <c r="H23939" s="676"/>
      <c r="I23939" s="676"/>
      <c r="J23939" s="770"/>
    </row>
    <row r="23940" spans="8:10" x14ac:dyDescent="0.35">
      <c r="H23940" s="676"/>
      <c r="I23940" s="676"/>
      <c r="J23940" s="770"/>
    </row>
    <row r="23941" spans="8:10" x14ac:dyDescent="0.35">
      <c r="H23941" s="676"/>
      <c r="I23941" s="676"/>
      <c r="J23941" s="770"/>
    </row>
    <row r="23942" spans="8:10" x14ac:dyDescent="0.35">
      <c r="H23942" s="676"/>
      <c r="I23942" s="676"/>
      <c r="J23942" s="770"/>
    </row>
    <row r="23943" spans="8:10" x14ac:dyDescent="0.35">
      <c r="H23943" s="676"/>
      <c r="I23943" s="676"/>
      <c r="J23943" s="770"/>
    </row>
    <row r="23944" spans="8:10" x14ac:dyDescent="0.35">
      <c r="H23944" s="676"/>
      <c r="I23944" s="676"/>
      <c r="J23944" s="770"/>
    </row>
    <row r="23945" spans="8:10" x14ac:dyDescent="0.35">
      <c r="H23945" s="676"/>
      <c r="I23945" s="676"/>
      <c r="J23945" s="770"/>
    </row>
    <row r="23946" spans="8:10" x14ac:dyDescent="0.35">
      <c r="H23946" s="676"/>
      <c r="I23946" s="676"/>
      <c r="J23946" s="770"/>
    </row>
    <row r="23947" spans="8:10" x14ac:dyDescent="0.35">
      <c r="H23947" s="676"/>
      <c r="I23947" s="676"/>
      <c r="J23947" s="770"/>
    </row>
    <row r="23948" spans="8:10" x14ac:dyDescent="0.35">
      <c r="H23948" s="676"/>
      <c r="I23948" s="676"/>
      <c r="J23948" s="770"/>
    </row>
    <row r="23949" spans="8:10" x14ac:dyDescent="0.35">
      <c r="H23949" s="676"/>
      <c r="I23949" s="676"/>
      <c r="J23949" s="770"/>
    </row>
    <row r="23950" spans="8:10" x14ac:dyDescent="0.35">
      <c r="H23950" s="676"/>
      <c r="I23950" s="676"/>
      <c r="J23950" s="770"/>
    </row>
    <row r="23951" spans="8:10" x14ac:dyDescent="0.35">
      <c r="H23951" s="676"/>
      <c r="I23951" s="676"/>
      <c r="J23951" s="770"/>
    </row>
    <row r="23952" spans="8:10" x14ac:dyDescent="0.35">
      <c r="H23952" s="676"/>
      <c r="I23952" s="676"/>
      <c r="J23952" s="770"/>
    </row>
    <row r="23953" spans="8:10" x14ac:dyDescent="0.35">
      <c r="H23953" s="676"/>
      <c r="I23953" s="676"/>
      <c r="J23953" s="770"/>
    </row>
    <row r="23954" spans="8:10" x14ac:dyDescent="0.35">
      <c r="H23954" s="676"/>
      <c r="I23954" s="676"/>
      <c r="J23954" s="770"/>
    </row>
    <row r="23955" spans="8:10" x14ac:dyDescent="0.35">
      <c r="H23955" s="676"/>
      <c r="I23955" s="676"/>
      <c r="J23955" s="770"/>
    </row>
    <row r="23956" spans="8:10" x14ac:dyDescent="0.35">
      <c r="H23956" s="676"/>
      <c r="I23956" s="676"/>
      <c r="J23956" s="770"/>
    </row>
    <row r="23957" spans="8:10" x14ac:dyDescent="0.35">
      <c r="H23957" s="676"/>
      <c r="I23957" s="676"/>
      <c r="J23957" s="770"/>
    </row>
    <row r="23958" spans="8:10" x14ac:dyDescent="0.35">
      <c r="H23958" s="676"/>
      <c r="I23958" s="676"/>
      <c r="J23958" s="770"/>
    </row>
    <row r="23959" spans="8:10" x14ac:dyDescent="0.35">
      <c r="H23959" s="676"/>
      <c r="I23959" s="676"/>
      <c r="J23959" s="770"/>
    </row>
    <row r="23960" spans="8:10" x14ac:dyDescent="0.35">
      <c r="H23960" s="676"/>
      <c r="I23960" s="676"/>
      <c r="J23960" s="770"/>
    </row>
    <row r="23961" spans="8:10" x14ac:dyDescent="0.35">
      <c r="H23961" s="676"/>
      <c r="I23961" s="676"/>
      <c r="J23961" s="770"/>
    </row>
    <row r="23962" spans="8:10" x14ac:dyDescent="0.35">
      <c r="H23962" s="676"/>
      <c r="I23962" s="676"/>
      <c r="J23962" s="770"/>
    </row>
    <row r="23963" spans="8:10" x14ac:dyDescent="0.35">
      <c r="H23963" s="676"/>
      <c r="I23963" s="676"/>
      <c r="J23963" s="770"/>
    </row>
    <row r="23964" spans="8:10" x14ac:dyDescent="0.35">
      <c r="H23964" s="676"/>
      <c r="I23964" s="676"/>
      <c r="J23964" s="770"/>
    </row>
    <row r="23965" spans="8:10" x14ac:dyDescent="0.35">
      <c r="H23965" s="676"/>
      <c r="I23965" s="676"/>
      <c r="J23965" s="770"/>
    </row>
    <row r="23966" spans="8:10" x14ac:dyDescent="0.35">
      <c r="H23966" s="676"/>
      <c r="I23966" s="676"/>
      <c r="J23966" s="770"/>
    </row>
    <row r="23967" spans="8:10" x14ac:dyDescent="0.35">
      <c r="H23967" s="676"/>
      <c r="I23967" s="676"/>
      <c r="J23967" s="770"/>
    </row>
    <row r="23968" spans="8:10" x14ac:dyDescent="0.35">
      <c r="H23968" s="676"/>
      <c r="I23968" s="676"/>
      <c r="J23968" s="770"/>
    </row>
    <row r="23969" spans="8:10" x14ac:dyDescent="0.35">
      <c r="H23969" s="676"/>
      <c r="I23969" s="676"/>
      <c r="J23969" s="770"/>
    </row>
    <row r="23970" spans="8:10" x14ac:dyDescent="0.35">
      <c r="H23970" s="676"/>
      <c r="I23970" s="676"/>
      <c r="J23970" s="770"/>
    </row>
    <row r="23971" spans="8:10" x14ac:dyDescent="0.35">
      <c r="H23971" s="676"/>
      <c r="I23971" s="676"/>
      <c r="J23971" s="770"/>
    </row>
    <row r="23972" spans="8:10" x14ac:dyDescent="0.35">
      <c r="H23972" s="676"/>
      <c r="I23972" s="676"/>
      <c r="J23972" s="770"/>
    </row>
    <row r="23973" spans="8:10" x14ac:dyDescent="0.35">
      <c r="H23973" s="676"/>
      <c r="I23973" s="676"/>
      <c r="J23973" s="770"/>
    </row>
    <row r="23974" spans="8:10" x14ac:dyDescent="0.35">
      <c r="H23974" s="676"/>
      <c r="I23974" s="676"/>
      <c r="J23974" s="770"/>
    </row>
    <row r="23975" spans="8:10" x14ac:dyDescent="0.35">
      <c r="H23975" s="676"/>
      <c r="I23975" s="676"/>
      <c r="J23975" s="770"/>
    </row>
    <row r="23976" spans="8:10" x14ac:dyDescent="0.35">
      <c r="H23976" s="676"/>
      <c r="I23976" s="676"/>
      <c r="J23976" s="770"/>
    </row>
    <row r="23977" spans="8:10" x14ac:dyDescent="0.35">
      <c r="H23977" s="676"/>
      <c r="I23977" s="676"/>
      <c r="J23977" s="770"/>
    </row>
    <row r="23978" spans="8:10" x14ac:dyDescent="0.35">
      <c r="H23978" s="676"/>
      <c r="I23978" s="676"/>
      <c r="J23978" s="770"/>
    </row>
    <row r="23979" spans="8:10" x14ac:dyDescent="0.35">
      <c r="H23979" s="676"/>
      <c r="I23979" s="676"/>
      <c r="J23979" s="770"/>
    </row>
    <row r="23980" spans="8:10" x14ac:dyDescent="0.35">
      <c r="H23980" s="676"/>
      <c r="I23980" s="676"/>
      <c r="J23980" s="770"/>
    </row>
    <row r="23981" spans="8:10" x14ac:dyDescent="0.35">
      <c r="H23981" s="676"/>
      <c r="I23981" s="676"/>
      <c r="J23981" s="770"/>
    </row>
    <row r="23982" spans="8:10" x14ac:dyDescent="0.35">
      <c r="H23982" s="676"/>
      <c r="I23982" s="676"/>
      <c r="J23982" s="770"/>
    </row>
    <row r="23983" spans="8:10" x14ac:dyDescent="0.35">
      <c r="H23983" s="676"/>
      <c r="I23983" s="676"/>
      <c r="J23983" s="770"/>
    </row>
    <row r="23984" spans="8:10" x14ac:dyDescent="0.35">
      <c r="H23984" s="676"/>
      <c r="I23984" s="676"/>
      <c r="J23984" s="770"/>
    </row>
    <row r="23985" spans="8:10" x14ac:dyDescent="0.35">
      <c r="H23985" s="676"/>
      <c r="I23985" s="676"/>
      <c r="J23985" s="770"/>
    </row>
    <row r="23986" spans="8:10" x14ac:dyDescent="0.35">
      <c r="H23986" s="676"/>
      <c r="I23986" s="676"/>
      <c r="J23986" s="770"/>
    </row>
    <row r="23987" spans="8:10" x14ac:dyDescent="0.35">
      <c r="H23987" s="676"/>
      <c r="I23987" s="676"/>
      <c r="J23987" s="770"/>
    </row>
    <row r="23988" spans="8:10" x14ac:dyDescent="0.35">
      <c r="H23988" s="676"/>
      <c r="I23988" s="676"/>
      <c r="J23988" s="770"/>
    </row>
    <row r="23989" spans="8:10" x14ac:dyDescent="0.35">
      <c r="H23989" s="676"/>
      <c r="I23989" s="676"/>
      <c r="J23989" s="770"/>
    </row>
    <row r="23990" spans="8:10" x14ac:dyDescent="0.35">
      <c r="H23990" s="676"/>
      <c r="I23990" s="676"/>
      <c r="J23990" s="770"/>
    </row>
    <row r="23991" spans="8:10" x14ac:dyDescent="0.35">
      <c r="H23991" s="676"/>
      <c r="I23991" s="676"/>
      <c r="J23991" s="770"/>
    </row>
    <row r="23992" spans="8:10" x14ac:dyDescent="0.35">
      <c r="H23992" s="676"/>
      <c r="I23992" s="676"/>
      <c r="J23992" s="770"/>
    </row>
    <row r="23993" spans="8:10" x14ac:dyDescent="0.35">
      <c r="H23993" s="676"/>
      <c r="I23993" s="676"/>
      <c r="J23993" s="770"/>
    </row>
    <row r="23994" spans="8:10" x14ac:dyDescent="0.35">
      <c r="H23994" s="676"/>
      <c r="I23994" s="676"/>
      <c r="J23994" s="770"/>
    </row>
    <row r="23995" spans="8:10" x14ac:dyDescent="0.35">
      <c r="H23995" s="676"/>
      <c r="I23995" s="676"/>
      <c r="J23995" s="770"/>
    </row>
    <row r="23996" spans="8:10" x14ac:dyDescent="0.35">
      <c r="H23996" s="676"/>
      <c r="I23996" s="676"/>
      <c r="J23996" s="770"/>
    </row>
    <row r="23997" spans="8:10" x14ac:dyDescent="0.35">
      <c r="H23997" s="676"/>
      <c r="I23997" s="676"/>
      <c r="J23997" s="770"/>
    </row>
    <row r="23998" spans="8:10" x14ac:dyDescent="0.35">
      <c r="H23998" s="676"/>
      <c r="I23998" s="676"/>
      <c r="J23998" s="770"/>
    </row>
    <row r="23999" spans="8:10" x14ac:dyDescent="0.35">
      <c r="H23999" s="676"/>
      <c r="I23999" s="676"/>
      <c r="J23999" s="770"/>
    </row>
    <row r="24000" spans="8:10" x14ac:dyDescent="0.35">
      <c r="H24000" s="676"/>
      <c r="I24000" s="676"/>
      <c r="J24000" s="770"/>
    </row>
    <row r="24001" spans="8:10" x14ac:dyDescent="0.35">
      <c r="H24001" s="676"/>
      <c r="I24001" s="676"/>
      <c r="J24001" s="770"/>
    </row>
    <row r="24002" spans="8:10" x14ac:dyDescent="0.35">
      <c r="H24002" s="676"/>
      <c r="I24002" s="676"/>
      <c r="J24002" s="770"/>
    </row>
    <row r="24003" spans="8:10" x14ac:dyDescent="0.35">
      <c r="H24003" s="676"/>
      <c r="I24003" s="676"/>
      <c r="J24003" s="770"/>
    </row>
    <row r="24004" spans="8:10" x14ac:dyDescent="0.35">
      <c r="H24004" s="676"/>
      <c r="I24004" s="676"/>
      <c r="J24004" s="770"/>
    </row>
    <row r="24005" spans="8:10" x14ac:dyDescent="0.35">
      <c r="H24005" s="676"/>
      <c r="I24005" s="676"/>
      <c r="J24005" s="770"/>
    </row>
    <row r="24006" spans="8:10" x14ac:dyDescent="0.35">
      <c r="H24006" s="676"/>
      <c r="I24006" s="676"/>
      <c r="J24006" s="770"/>
    </row>
    <row r="24007" spans="8:10" x14ac:dyDescent="0.35">
      <c r="H24007" s="676"/>
      <c r="I24007" s="676"/>
      <c r="J24007" s="770"/>
    </row>
    <row r="24008" spans="8:10" x14ac:dyDescent="0.35">
      <c r="H24008" s="676"/>
      <c r="I24008" s="676"/>
      <c r="J24008" s="770"/>
    </row>
    <row r="24009" spans="8:10" x14ac:dyDescent="0.35">
      <c r="H24009" s="676"/>
      <c r="I24009" s="676"/>
      <c r="J24009" s="770"/>
    </row>
    <row r="24010" spans="8:10" x14ac:dyDescent="0.35">
      <c r="H24010" s="676"/>
      <c r="I24010" s="676"/>
      <c r="J24010" s="770"/>
    </row>
    <row r="24011" spans="8:10" x14ac:dyDescent="0.35">
      <c r="H24011" s="676"/>
      <c r="I24011" s="676"/>
      <c r="J24011" s="770"/>
    </row>
    <row r="24012" spans="8:10" x14ac:dyDescent="0.35">
      <c r="H24012" s="676"/>
      <c r="I24012" s="676"/>
      <c r="J24012" s="770"/>
    </row>
    <row r="24013" spans="8:10" x14ac:dyDescent="0.35">
      <c r="H24013" s="676"/>
      <c r="I24013" s="676"/>
      <c r="J24013" s="770"/>
    </row>
    <row r="24014" spans="8:10" x14ac:dyDescent="0.35">
      <c r="H24014" s="676"/>
      <c r="I24014" s="676"/>
      <c r="J24014" s="770"/>
    </row>
    <row r="24015" spans="8:10" x14ac:dyDescent="0.35">
      <c r="H24015" s="676"/>
      <c r="I24015" s="676"/>
      <c r="J24015" s="770"/>
    </row>
    <row r="24016" spans="8:10" x14ac:dyDescent="0.35">
      <c r="H24016" s="676"/>
      <c r="I24016" s="676"/>
      <c r="J24016" s="770"/>
    </row>
    <row r="24017" spans="8:10" x14ac:dyDescent="0.35">
      <c r="H24017" s="676"/>
      <c r="I24017" s="676"/>
      <c r="J24017" s="770"/>
    </row>
    <row r="24018" spans="8:10" x14ac:dyDescent="0.35">
      <c r="H24018" s="676"/>
      <c r="I24018" s="676"/>
      <c r="J24018" s="770"/>
    </row>
    <row r="24019" spans="8:10" x14ac:dyDescent="0.35">
      <c r="H24019" s="676"/>
      <c r="I24019" s="676"/>
      <c r="J24019" s="770"/>
    </row>
    <row r="24020" spans="8:10" x14ac:dyDescent="0.35">
      <c r="H24020" s="676"/>
      <c r="I24020" s="676"/>
      <c r="J24020" s="770"/>
    </row>
    <row r="24021" spans="8:10" x14ac:dyDescent="0.35">
      <c r="H24021" s="676"/>
      <c r="I24021" s="676"/>
      <c r="J24021" s="770"/>
    </row>
    <row r="24022" spans="8:10" x14ac:dyDescent="0.35">
      <c r="H24022" s="676"/>
      <c r="I24022" s="676"/>
      <c r="J24022" s="770"/>
    </row>
    <row r="24023" spans="8:10" x14ac:dyDescent="0.35">
      <c r="H24023" s="676"/>
      <c r="I24023" s="676"/>
      <c r="J24023" s="770"/>
    </row>
    <row r="24024" spans="8:10" x14ac:dyDescent="0.35">
      <c r="H24024" s="676"/>
      <c r="I24024" s="676"/>
      <c r="J24024" s="770"/>
    </row>
    <row r="24025" spans="8:10" x14ac:dyDescent="0.35">
      <c r="H24025" s="676"/>
      <c r="I24025" s="676"/>
      <c r="J24025" s="770"/>
    </row>
    <row r="24026" spans="8:10" x14ac:dyDescent="0.35">
      <c r="H24026" s="676"/>
      <c r="I24026" s="676"/>
      <c r="J24026" s="770"/>
    </row>
    <row r="24027" spans="8:10" x14ac:dyDescent="0.35">
      <c r="H24027" s="676"/>
      <c r="I24027" s="676"/>
      <c r="J24027" s="770"/>
    </row>
    <row r="24028" spans="8:10" x14ac:dyDescent="0.35">
      <c r="H24028" s="676"/>
      <c r="I24028" s="676"/>
      <c r="J24028" s="770"/>
    </row>
    <row r="24029" spans="8:10" x14ac:dyDescent="0.35">
      <c r="H24029" s="676"/>
      <c r="I24029" s="676"/>
      <c r="J24029" s="770"/>
    </row>
    <row r="24030" spans="8:10" x14ac:dyDescent="0.35">
      <c r="H24030" s="676"/>
      <c r="I24030" s="676"/>
      <c r="J24030" s="770"/>
    </row>
    <row r="24031" spans="8:10" x14ac:dyDescent="0.35">
      <c r="H24031" s="676"/>
      <c r="I24031" s="676"/>
      <c r="J24031" s="770"/>
    </row>
    <row r="24032" spans="8:10" x14ac:dyDescent="0.35">
      <c r="H24032" s="676"/>
      <c r="I24032" s="676"/>
      <c r="J24032" s="770"/>
    </row>
    <row r="24033" spans="8:10" x14ac:dyDescent="0.35">
      <c r="H24033" s="676"/>
      <c r="I24033" s="676"/>
      <c r="J24033" s="770"/>
    </row>
    <row r="24034" spans="8:10" x14ac:dyDescent="0.35">
      <c r="H24034" s="676"/>
      <c r="I24034" s="676"/>
      <c r="J24034" s="770"/>
    </row>
    <row r="24035" spans="8:10" x14ac:dyDescent="0.35">
      <c r="H24035" s="676"/>
      <c r="I24035" s="676"/>
      <c r="J24035" s="770"/>
    </row>
    <row r="24036" spans="8:10" x14ac:dyDescent="0.35">
      <c r="H24036" s="676"/>
      <c r="I24036" s="676"/>
      <c r="J24036" s="770"/>
    </row>
    <row r="24037" spans="8:10" x14ac:dyDescent="0.35">
      <c r="H24037" s="676"/>
      <c r="I24037" s="676"/>
      <c r="J24037" s="770"/>
    </row>
    <row r="24038" spans="8:10" x14ac:dyDescent="0.35">
      <c r="H24038" s="676"/>
      <c r="I24038" s="676"/>
      <c r="J24038" s="770"/>
    </row>
    <row r="24039" spans="8:10" x14ac:dyDescent="0.35">
      <c r="H24039" s="676"/>
      <c r="I24039" s="676"/>
      <c r="J24039" s="770"/>
    </row>
    <row r="24040" spans="8:10" x14ac:dyDescent="0.35">
      <c r="H24040" s="676"/>
      <c r="I24040" s="676"/>
      <c r="J24040" s="770"/>
    </row>
    <row r="24041" spans="8:10" x14ac:dyDescent="0.35">
      <c r="H24041" s="676"/>
      <c r="I24041" s="676"/>
      <c r="J24041" s="770"/>
    </row>
    <row r="24042" spans="8:10" x14ac:dyDescent="0.35">
      <c r="H24042" s="676"/>
      <c r="I24042" s="676"/>
      <c r="J24042" s="770"/>
    </row>
    <row r="24043" spans="8:10" x14ac:dyDescent="0.35">
      <c r="H24043" s="676"/>
      <c r="I24043" s="676"/>
      <c r="J24043" s="770"/>
    </row>
    <row r="24044" spans="8:10" x14ac:dyDescent="0.35">
      <c r="H24044" s="676"/>
      <c r="I24044" s="676"/>
      <c r="J24044" s="770"/>
    </row>
    <row r="24045" spans="8:10" x14ac:dyDescent="0.35">
      <c r="H24045" s="676"/>
      <c r="I24045" s="676"/>
      <c r="J24045" s="770"/>
    </row>
    <row r="24046" spans="8:10" x14ac:dyDescent="0.35">
      <c r="H24046" s="676"/>
      <c r="I24046" s="676"/>
      <c r="J24046" s="770"/>
    </row>
    <row r="24047" spans="8:10" x14ac:dyDescent="0.35">
      <c r="H24047" s="676"/>
      <c r="I24047" s="676"/>
      <c r="J24047" s="770"/>
    </row>
    <row r="24048" spans="8:10" x14ac:dyDescent="0.35">
      <c r="H24048" s="676"/>
      <c r="I24048" s="676"/>
      <c r="J24048" s="770"/>
    </row>
    <row r="24049" spans="8:10" x14ac:dyDescent="0.35">
      <c r="H24049" s="676"/>
      <c r="I24049" s="676"/>
      <c r="J24049" s="770"/>
    </row>
    <row r="24050" spans="8:10" x14ac:dyDescent="0.35">
      <c r="H24050" s="676"/>
      <c r="I24050" s="676"/>
      <c r="J24050" s="770"/>
    </row>
    <row r="24051" spans="8:10" x14ac:dyDescent="0.35">
      <c r="H24051" s="676"/>
      <c r="I24051" s="676"/>
      <c r="J24051" s="770"/>
    </row>
    <row r="24052" spans="8:10" x14ac:dyDescent="0.35">
      <c r="H24052" s="676"/>
      <c r="I24052" s="676"/>
      <c r="J24052" s="770"/>
    </row>
    <row r="24053" spans="8:10" x14ac:dyDescent="0.35">
      <c r="H24053" s="676"/>
      <c r="I24053" s="676"/>
      <c r="J24053" s="770"/>
    </row>
    <row r="24054" spans="8:10" x14ac:dyDescent="0.35">
      <c r="H24054" s="676"/>
      <c r="I24054" s="676"/>
      <c r="J24054" s="770"/>
    </row>
    <row r="24055" spans="8:10" x14ac:dyDescent="0.35">
      <c r="H24055" s="676"/>
      <c r="I24055" s="676"/>
      <c r="J24055" s="770"/>
    </row>
    <row r="24056" spans="8:10" x14ac:dyDescent="0.35">
      <c r="H24056" s="676"/>
      <c r="I24056" s="676"/>
      <c r="J24056" s="770"/>
    </row>
    <row r="24057" spans="8:10" x14ac:dyDescent="0.35">
      <c r="H24057" s="676"/>
      <c r="I24057" s="676"/>
      <c r="J24057" s="770"/>
    </row>
    <row r="24058" spans="8:10" x14ac:dyDescent="0.35">
      <c r="H24058" s="676"/>
      <c r="I24058" s="676"/>
      <c r="J24058" s="770"/>
    </row>
    <row r="24059" spans="8:10" x14ac:dyDescent="0.35">
      <c r="H24059" s="676"/>
      <c r="I24059" s="676"/>
      <c r="J24059" s="770"/>
    </row>
    <row r="24060" spans="8:10" x14ac:dyDescent="0.35">
      <c r="H24060" s="676"/>
      <c r="I24060" s="676"/>
      <c r="J24060" s="770"/>
    </row>
    <row r="24061" spans="8:10" x14ac:dyDescent="0.35">
      <c r="H24061" s="676"/>
      <c r="I24061" s="676"/>
      <c r="J24061" s="770"/>
    </row>
    <row r="24062" spans="8:10" x14ac:dyDescent="0.35">
      <c r="H24062" s="676"/>
      <c r="I24062" s="676"/>
      <c r="J24062" s="770"/>
    </row>
    <row r="24063" spans="8:10" x14ac:dyDescent="0.35">
      <c r="H24063" s="676"/>
      <c r="I24063" s="676"/>
      <c r="J24063" s="770"/>
    </row>
    <row r="24064" spans="8:10" x14ac:dyDescent="0.35">
      <c r="H24064" s="676"/>
      <c r="I24064" s="676"/>
      <c r="J24064" s="770"/>
    </row>
    <row r="24065" spans="8:10" x14ac:dyDescent="0.35">
      <c r="H24065" s="676"/>
      <c r="I24065" s="676"/>
      <c r="J24065" s="770"/>
    </row>
    <row r="24066" spans="8:10" x14ac:dyDescent="0.35">
      <c r="H24066" s="676"/>
      <c r="I24066" s="676"/>
      <c r="J24066" s="770"/>
    </row>
    <row r="24067" spans="8:10" x14ac:dyDescent="0.35">
      <c r="H24067" s="676"/>
      <c r="I24067" s="676"/>
      <c r="J24067" s="770"/>
    </row>
    <row r="24068" spans="8:10" x14ac:dyDescent="0.35">
      <c r="H24068" s="676"/>
      <c r="I24068" s="676"/>
      <c r="J24068" s="770"/>
    </row>
    <row r="24069" spans="8:10" x14ac:dyDescent="0.35">
      <c r="H24069" s="676"/>
      <c r="I24069" s="676"/>
      <c r="J24069" s="770"/>
    </row>
    <row r="24070" spans="8:10" x14ac:dyDescent="0.35">
      <c r="H24070" s="676"/>
      <c r="I24070" s="676"/>
      <c r="J24070" s="770"/>
    </row>
    <row r="24071" spans="8:10" x14ac:dyDescent="0.35">
      <c r="H24071" s="676"/>
      <c r="I24071" s="676"/>
      <c r="J24071" s="770"/>
    </row>
    <row r="24072" spans="8:10" x14ac:dyDescent="0.35">
      <c r="H24072" s="676"/>
      <c r="I24072" s="676"/>
      <c r="J24072" s="770"/>
    </row>
    <row r="24073" spans="8:10" x14ac:dyDescent="0.35">
      <c r="H24073" s="676"/>
      <c r="I24073" s="676"/>
      <c r="J24073" s="770"/>
    </row>
    <row r="24074" spans="8:10" x14ac:dyDescent="0.35">
      <c r="H24074" s="676"/>
      <c r="I24074" s="676"/>
      <c r="J24074" s="770"/>
    </row>
    <row r="24075" spans="8:10" x14ac:dyDescent="0.35">
      <c r="H24075" s="676"/>
      <c r="I24075" s="676"/>
      <c r="J24075" s="770"/>
    </row>
    <row r="24076" spans="8:10" x14ac:dyDescent="0.35">
      <c r="H24076" s="676"/>
      <c r="I24076" s="676"/>
      <c r="J24076" s="770"/>
    </row>
    <row r="24077" spans="8:10" x14ac:dyDescent="0.35">
      <c r="H24077" s="676"/>
      <c r="I24077" s="676"/>
      <c r="J24077" s="770"/>
    </row>
    <row r="24078" spans="8:10" x14ac:dyDescent="0.35">
      <c r="H24078" s="676"/>
      <c r="I24078" s="676"/>
      <c r="J24078" s="770"/>
    </row>
    <row r="24079" spans="8:10" x14ac:dyDescent="0.35">
      <c r="H24079" s="676"/>
      <c r="I24079" s="676"/>
      <c r="J24079" s="770"/>
    </row>
    <row r="24080" spans="8:10" x14ac:dyDescent="0.35">
      <c r="H24080" s="676"/>
      <c r="I24080" s="676"/>
      <c r="J24080" s="770"/>
    </row>
    <row r="24081" spans="8:10" x14ac:dyDescent="0.35">
      <c r="H24081" s="676"/>
      <c r="I24081" s="676"/>
      <c r="J24081" s="770"/>
    </row>
    <row r="24082" spans="8:10" x14ac:dyDescent="0.35">
      <c r="H24082" s="676"/>
      <c r="I24082" s="676"/>
      <c r="J24082" s="770"/>
    </row>
    <row r="24083" spans="8:10" x14ac:dyDescent="0.35">
      <c r="H24083" s="676"/>
      <c r="I24083" s="676"/>
      <c r="J24083" s="770"/>
    </row>
    <row r="24084" spans="8:10" x14ac:dyDescent="0.35">
      <c r="H24084" s="676"/>
      <c r="I24084" s="676"/>
      <c r="J24084" s="770"/>
    </row>
    <row r="24085" spans="8:10" x14ac:dyDescent="0.35">
      <c r="H24085" s="676"/>
      <c r="I24085" s="676"/>
      <c r="J24085" s="770"/>
    </row>
    <row r="24086" spans="8:10" x14ac:dyDescent="0.35">
      <c r="H24086" s="676"/>
      <c r="I24086" s="676"/>
      <c r="J24086" s="770"/>
    </row>
    <row r="24087" spans="8:10" x14ac:dyDescent="0.35">
      <c r="H24087" s="676"/>
      <c r="I24087" s="676"/>
      <c r="J24087" s="770"/>
    </row>
    <row r="24088" spans="8:10" x14ac:dyDescent="0.35">
      <c r="H24088" s="676"/>
      <c r="I24088" s="676"/>
      <c r="J24088" s="770"/>
    </row>
    <row r="24089" spans="8:10" x14ac:dyDescent="0.35">
      <c r="H24089" s="676"/>
      <c r="I24089" s="676"/>
      <c r="J24089" s="770"/>
    </row>
    <row r="24090" spans="8:10" x14ac:dyDescent="0.35">
      <c r="H24090" s="676"/>
      <c r="I24090" s="676"/>
      <c r="J24090" s="770"/>
    </row>
    <row r="24091" spans="8:10" x14ac:dyDescent="0.35">
      <c r="H24091" s="676"/>
      <c r="I24091" s="676"/>
      <c r="J24091" s="770"/>
    </row>
    <row r="24092" spans="8:10" x14ac:dyDescent="0.35">
      <c r="H24092" s="676"/>
      <c r="I24092" s="676"/>
      <c r="J24092" s="770"/>
    </row>
    <row r="24093" spans="8:10" x14ac:dyDescent="0.35">
      <c r="H24093" s="676"/>
      <c r="I24093" s="676"/>
      <c r="J24093" s="770"/>
    </row>
    <row r="24094" spans="8:10" x14ac:dyDescent="0.35">
      <c r="H24094" s="676"/>
      <c r="I24094" s="676"/>
      <c r="J24094" s="770"/>
    </row>
    <row r="24095" spans="8:10" x14ac:dyDescent="0.35">
      <c r="H24095" s="676"/>
      <c r="I24095" s="676"/>
      <c r="J24095" s="770"/>
    </row>
    <row r="24096" spans="8:10" x14ac:dyDescent="0.35">
      <c r="H24096" s="676"/>
      <c r="I24096" s="676"/>
      <c r="J24096" s="770"/>
    </row>
    <row r="24097" spans="8:10" x14ac:dyDescent="0.35">
      <c r="H24097" s="676"/>
      <c r="I24097" s="676"/>
      <c r="J24097" s="770"/>
    </row>
    <row r="24098" spans="8:10" x14ac:dyDescent="0.35">
      <c r="H24098" s="676"/>
      <c r="I24098" s="676"/>
      <c r="J24098" s="770"/>
    </row>
    <row r="24099" spans="8:10" x14ac:dyDescent="0.35">
      <c r="H24099" s="676"/>
      <c r="I24099" s="676"/>
      <c r="J24099" s="770"/>
    </row>
    <row r="24100" spans="8:10" x14ac:dyDescent="0.35">
      <c r="H24100" s="676"/>
      <c r="I24100" s="676"/>
      <c r="J24100" s="770"/>
    </row>
    <row r="24101" spans="8:10" x14ac:dyDescent="0.35">
      <c r="H24101" s="676"/>
      <c r="I24101" s="676"/>
      <c r="J24101" s="770"/>
    </row>
    <row r="24102" spans="8:10" x14ac:dyDescent="0.35">
      <c r="H24102" s="676"/>
      <c r="I24102" s="676"/>
      <c r="J24102" s="770"/>
    </row>
    <row r="24103" spans="8:10" x14ac:dyDescent="0.35">
      <c r="H24103" s="676"/>
      <c r="I24103" s="676"/>
      <c r="J24103" s="770"/>
    </row>
    <row r="24104" spans="8:10" x14ac:dyDescent="0.35">
      <c r="H24104" s="676"/>
      <c r="I24104" s="676"/>
      <c r="J24104" s="770"/>
    </row>
    <row r="24105" spans="8:10" x14ac:dyDescent="0.35">
      <c r="H24105" s="676"/>
      <c r="I24105" s="676"/>
      <c r="J24105" s="770"/>
    </row>
    <row r="24106" spans="8:10" x14ac:dyDescent="0.35">
      <c r="H24106" s="676"/>
      <c r="I24106" s="676"/>
      <c r="J24106" s="770"/>
    </row>
    <row r="24107" spans="8:10" x14ac:dyDescent="0.35">
      <c r="H24107" s="676"/>
      <c r="I24107" s="676"/>
      <c r="J24107" s="770"/>
    </row>
    <row r="24108" spans="8:10" x14ac:dyDescent="0.35">
      <c r="H24108" s="676"/>
      <c r="I24108" s="676"/>
      <c r="J24108" s="770"/>
    </row>
    <row r="24109" spans="8:10" x14ac:dyDescent="0.35">
      <c r="H24109" s="676"/>
      <c r="I24109" s="676"/>
      <c r="J24109" s="770"/>
    </row>
    <row r="24110" spans="8:10" x14ac:dyDescent="0.35">
      <c r="H24110" s="676"/>
      <c r="I24110" s="676"/>
      <c r="J24110" s="770"/>
    </row>
    <row r="24111" spans="8:10" x14ac:dyDescent="0.35">
      <c r="H24111" s="676"/>
      <c r="I24111" s="676"/>
      <c r="J24111" s="770"/>
    </row>
    <row r="24112" spans="8:10" x14ac:dyDescent="0.35">
      <c r="H24112" s="676"/>
      <c r="I24112" s="676"/>
      <c r="J24112" s="770"/>
    </row>
    <row r="24113" spans="8:10" x14ac:dyDescent="0.35">
      <c r="H24113" s="676"/>
      <c r="I24113" s="676"/>
      <c r="J24113" s="770"/>
    </row>
    <row r="24114" spans="8:10" x14ac:dyDescent="0.35">
      <c r="H24114" s="676"/>
      <c r="I24114" s="676"/>
      <c r="J24114" s="770"/>
    </row>
    <row r="24115" spans="8:10" x14ac:dyDescent="0.35">
      <c r="H24115" s="676"/>
      <c r="I24115" s="676"/>
      <c r="J24115" s="770"/>
    </row>
    <row r="24116" spans="8:10" x14ac:dyDescent="0.35">
      <c r="H24116" s="676"/>
      <c r="I24116" s="676"/>
      <c r="J24116" s="770"/>
    </row>
    <row r="24117" spans="8:10" x14ac:dyDescent="0.35">
      <c r="H24117" s="676"/>
      <c r="I24117" s="676"/>
      <c r="J24117" s="770"/>
    </row>
    <row r="24118" spans="8:10" x14ac:dyDescent="0.35">
      <c r="H24118" s="676"/>
      <c r="I24118" s="676"/>
      <c r="J24118" s="770"/>
    </row>
    <row r="24119" spans="8:10" x14ac:dyDescent="0.35">
      <c r="H24119" s="676"/>
      <c r="I24119" s="676"/>
      <c r="J24119" s="770"/>
    </row>
    <row r="24120" spans="8:10" x14ac:dyDescent="0.35">
      <c r="H24120" s="676"/>
      <c r="I24120" s="676"/>
      <c r="J24120" s="770"/>
    </row>
    <row r="24121" spans="8:10" x14ac:dyDescent="0.35">
      <c r="H24121" s="676"/>
      <c r="I24121" s="676"/>
      <c r="J24121" s="770"/>
    </row>
    <row r="24122" spans="8:10" x14ac:dyDescent="0.35">
      <c r="H24122" s="676"/>
      <c r="I24122" s="676"/>
      <c r="J24122" s="770"/>
    </row>
    <row r="24123" spans="8:10" x14ac:dyDescent="0.35">
      <c r="H24123" s="676"/>
      <c r="I24123" s="676"/>
      <c r="J24123" s="770"/>
    </row>
    <row r="24124" spans="8:10" x14ac:dyDescent="0.35">
      <c r="H24124" s="676"/>
      <c r="I24124" s="676"/>
      <c r="J24124" s="770"/>
    </row>
    <row r="24125" spans="8:10" x14ac:dyDescent="0.35">
      <c r="H24125" s="676"/>
      <c r="I24125" s="676"/>
      <c r="J24125" s="770"/>
    </row>
    <row r="24126" spans="8:10" x14ac:dyDescent="0.35">
      <c r="H24126" s="676"/>
      <c r="I24126" s="676"/>
      <c r="J24126" s="770"/>
    </row>
    <row r="24127" spans="8:10" x14ac:dyDescent="0.35">
      <c r="H24127" s="676"/>
      <c r="I24127" s="676"/>
      <c r="J24127" s="770"/>
    </row>
    <row r="24128" spans="8:10" x14ac:dyDescent="0.35">
      <c r="H24128" s="676"/>
      <c r="I24128" s="676"/>
      <c r="J24128" s="770"/>
    </row>
    <row r="24129" spans="8:10" x14ac:dyDescent="0.35">
      <c r="H24129" s="676"/>
      <c r="I24129" s="676"/>
      <c r="J24129" s="770"/>
    </row>
    <row r="24130" spans="8:10" x14ac:dyDescent="0.35">
      <c r="H24130" s="676"/>
      <c r="I24130" s="676"/>
      <c r="J24130" s="770"/>
    </row>
    <row r="24131" spans="8:10" x14ac:dyDescent="0.35">
      <c r="H24131" s="676"/>
      <c r="I24131" s="676"/>
      <c r="J24131" s="770"/>
    </row>
    <row r="24132" spans="8:10" x14ac:dyDescent="0.35">
      <c r="H24132" s="676"/>
      <c r="I24132" s="676"/>
      <c r="J24132" s="770"/>
    </row>
    <row r="24133" spans="8:10" x14ac:dyDescent="0.35">
      <c r="H24133" s="676"/>
      <c r="I24133" s="676"/>
      <c r="J24133" s="770"/>
    </row>
    <row r="24134" spans="8:10" x14ac:dyDescent="0.35">
      <c r="H24134" s="676"/>
      <c r="I24134" s="676"/>
      <c r="J24134" s="770"/>
    </row>
    <row r="24135" spans="8:10" x14ac:dyDescent="0.35">
      <c r="H24135" s="676"/>
      <c r="I24135" s="676"/>
      <c r="J24135" s="770"/>
    </row>
    <row r="24136" spans="8:10" x14ac:dyDescent="0.35">
      <c r="H24136" s="676"/>
      <c r="I24136" s="676"/>
      <c r="J24136" s="770"/>
    </row>
    <row r="24137" spans="8:10" x14ac:dyDescent="0.35">
      <c r="H24137" s="676"/>
      <c r="I24137" s="676"/>
      <c r="J24137" s="770"/>
    </row>
    <row r="24138" spans="8:10" x14ac:dyDescent="0.35">
      <c r="H24138" s="676"/>
      <c r="I24138" s="676"/>
      <c r="J24138" s="770"/>
    </row>
    <row r="24139" spans="8:10" x14ac:dyDescent="0.35">
      <c r="H24139" s="676"/>
      <c r="I24139" s="676"/>
      <c r="J24139" s="770"/>
    </row>
    <row r="24140" spans="8:10" x14ac:dyDescent="0.35">
      <c r="H24140" s="676"/>
      <c r="I24140" s="676"/>
      <c r="J24140" s="770"/>
    </row>
    <row r="24141" spans="8:10" x14ac:dyDescent="0.35">
      <c r="H24141" s="676"/>
      <c r="I24141" s="676"/>
      <c r="J24141" s="770"/>
    </row>
    <row r="24142" spans="8:10" x14ac:dyDescent="0.35">
      <c r="H24142" s="676"/>
      <c r="I24142" s="676"/>
      <c r="J24142" s="770"/>
    </row>
    <row r="24143" spans="8:10" x14ac:dyDescent="0.35">
      <c r="H24143" s="676"/>
      <c r="I24143" s="676"/>
      <c r="J24143" s="770"/>
    </row>
    <row r="24144" spans="8:10" x14ac:dyDescent="0.35">
      <c r="H24144" s="676"/>
      <c r="I24144" s="676"/>
      <c r="J24144" s="770"/>
    </row>
    <row r="24145" spans="8:10" x14ac:dyDescent="0.35">
      <c r="H24145" s="676"/>
      <c r="I24145" s="676"/>
      <c r="J24145" s="770"/>
    </row>
    <row r="24146" spans="8:10" x14ac:dyDescent="0.35">
      <c r="H24146" s="676"/>
      <c r="I24146" s="676"/>
      <c r="J24146" s="770"/>
    </row>
    <row r="24147" spans="8:10" x14ac:dyDescent="0.35">
      <c r="H24147" s="676"/>
      <c r="I24147" s="676"/>
      <c r="J24147" s="770"/>
    </row>
    <row r="24148" spans="8:10" x14ac:dyDescent="0.35">
      <c r="H24148" s="676"/>
      <c r="I24148" s="676"/>
      <c r="J24148" s="770"/>
    </row>
    <row r="24149" spans="8:10" x14ac:dyDescent="0.35">
      <c r="H24149" s="676"/>
      <c r="I24149" s="676"/>
      <c r="J24149" s="770"/>
    </row>
    <row r="24150" spans="8:10" x14ac:dyDescent="0.35">
      <c r="H24150" s="676"/>
      <c r="I24150" s="676"/>
      <c r="J24150" s="770"/>
    </row>
    <row r="24151" spans="8:10" x14ac:dyDescent="0.35">
      <c r="H24151" s="676"/>
      <c r="I24151" s="676"/>
      <c r="J24151" s="770"/>
    </row>
    <row r="24152" spans="8:10" x14ac:dyDescent="0.35">
      <c r="H24152" s="676"/>
      <c r="I24152" s="676"/>
      <c r="J24152" s="770"/>
    </row>
    <row r="24153" spans="8:10" x14ac:dyDescent="0.35">
      <c r="H24153" s="676"/>
      <c r="I24153" s="676"/>
      <c r="J24153" s="770"/>
    </row>
    <row r="24154" spans="8:10" x14ac:dyDescent="0.35">
      <c r="H24154" s="676"/>
      <c r="I24154" s="676"/>
      <c r="J24154" s="770"/>
    </row>
    <row r="24155" spans="8:10" x14ac:dyDescent="0.35">
      <c r="H24155" s="676"/>
      <c r="I24155" s="676"/>
      <c r="J24155" s="770"/>
    </row>
    <row r="24156" spans="8:10" x14ac:dyDescent="0.35">
      <c r="H24156" s="676"/>
      <c r="I24156" s="676"/>
      <c r="J24156" s="770"/>
    </row>
    <row r="24157" spans="8:10" x14ac:dyDescent="0.35">
      <c r="H24157" s="676"/>
      <c r="I24157" s="676"/>
      <c r="J24157" s="770"/>
    </row>
    <row r="24158" spans="8:10" x14ac:dyDescent="0.35">
      <c r="H24158" s="676"/>
      <c r="I24158" s="676"/>
      <c r="J24158" s="770"/>
    </row>
    <row r="24159" spans="8:10" x14ac:dyDescent="0.35">
      <c r="H24159" s="676"/>
      <c r="I24159" s="676"/>
      <c r="J24159" s="770"/>
    </row>
    <row r="24160" spans="8:10" x14ac:dyDescent="0.35">
      <c r="H24160" s="676"/>
      <c r="I24160" s="676"/>
      <c r="J24160" s="770"/>
    </row>
    <row r="24161" spans="8:10" x14ac:dyDescent="0.35">
      <c r="H24161" s="676"/>
      <c r="I24161" s="676"/>
      <c r="J24161" s="770"/>
    </row>
    <row r="24162" spans="8:10" x14ac:dyDescent="0.35">
      <c r="H24162" s="676"/>
      <c r="I24162" s="676"/>
      <c r="J24162" s="770"/>
    </row>
    <row r="24163" spans="8:10" x14ac:dyDescent="0.35">
      <c r="H24163" s="676"/>
      <c r="I24163" s="676"/>
      <c r="J24163" s="770"/>
    </row>
    <row r="24164" spans="8:10" x14ac:dyDescent="0.35">
      <c r="H24164" s="676"/>
      <c r="I24164" s="676"/>
      <c r="J24164" s="770"/>
    </row>
    <row r="24165" spans="8:10" x14ac:dyDescent="0.35">
      <c r="H24165" s="676"/>
      <c r="I24165" s="676"/>
      <c r="J24165" s="770"/>
    </row>
    <row r="24166" spans="8:10" x14ac:dyDescent="0.35">
      <c r="H24166" s="676"/>
      <c r="I24166" s="676"/>
      <c r="J24166" s="770"/>
    </row>
    <row r="24167" spans="8:10" x14ac:dyDescent="0.35">
      <c r="H24167" s="676"/>
      <c r="I24167" s="676"/>
      <c r="J24167" s="770"/>
    </row>
    <row r="24168" spans="8:10" x14ac:dyDescent="0.35">
      <c r="H24168" s="676"/>
      <c r="I24168" s="676"/>
      <c r="J24168" s="770"/>
    </row>
    <row r="24169" spans="8:10" x14ac:dyDescent="0.35">
      <c r="H24169" s="676"/>
      <c r="I24169" s="676"/>
      <c r="J24169" s="770"/>
    </row>
    <row r="24170" spans="8:10" x14ac:dyDescent="0.35">
      <c r="H24170" s="676"/>
      <c r="I24170" s="676"/>
      <c r="J24170" s="770"/>
    </row>
    <row r="24171" spans="8:10" x14ac:dyDescent="0.35">
      <c r="H24171" s="676"/>
      <c r="I24171" s="676"/>
      <c r="J24171" s="770"/>
    </row>
    <row r="24172" spans="8:10" x14ac:dyDescent="0.35">
      <c r="H24172" s="676"/>
      <c r="I24172" s="676"/>
      <c r="J24172" s="770"/>
    </row>
    <row r="24173" spans="8:10" x14ac:dyDescent="0.35">
      <c r="H24173" s="676"/>
      <c r="I24173" s="676"/>
      <c r="J24173" s="770"/>
    </row>
    <row r="24174" spans="8:10" x14ac:dyDescent="0.35">
      <c r="H24174" s="676"/>
      <c r="I24174" s="676"/>
      <c r="J24174" s="770"/>
    </row>
    <row r="24175" spans="8:10" x14ac:dyDescent="0.35">
      <c r="H24175" s="676"/>
      <c r="I24175" s="676"/>
      <c r="J24175" s="770"/>
    </row>
    <row r="24176" spans="8:10" x14ac:dyDescent="0.35">
      <c r="H24176" s="676"/>
      <c r="I24176" s="676"/>
      <c r="J24176" s="770"/>
    </row>
    <row r="24177" spans="8:10" x14ac:dyDescent="0.35">
      <c r="H24177" s="676"/>
      <c r="I24177" s="676"/>
      <c r="J24177" s="770"/>
    </row>
    <row r="24178" spans="8:10" x14ac:dyDescent="0.35">
      <c r="H24178" s="676"/>
      <c r="I24178" s="676"/>
      <c r="J24178" s="770"/>
    </row>
    <row r="24179" spans="8:10" x14ac:dyDescent="0.35">
      <c r="H24179" s="676"/>
      <c r="I24179" s="676"/>
      <c r="J24179" s="770"/>
    </row>
    <row r="24180" spans="8:10" x14ac:dyDescent="0.35">
      <c r="H24180" s="676"/>
      <c r="I24180" s="676"/>
      <c r="J24180" s="770"/>
    </row>
    <row r="24181" spans="8:10" x14ac:dyDescent="0.35">
      <c r="H24181" s="676"/>
      <c r="I24181" s="676"/>
      <c r="J24181" s="770"/>
    </row>
    <row r="24182" spans="8:10" x14ac:dyDescent="0.35">
      <c r="H24182" s="676"/>
      <c r="I24182" s="676"/>
      <c r="J24182" s="770"/>
    </row>
    <row r="24183" spans="8:10" x14ac:dyDescent="0.35">
      <c r="H24183" s="676"/>
      <c r="I24183" s="676"/>
      <c r="J24183" s="770"/>
    </row>
    <row r="24184" spans="8:10" x14ac:dyDescent="0.35">
      <c r="H24184" s="676"/>
      <c r="I24184" s="676"/>
      <c r="J24184" s="770"/>
    </row>
    <row r="24185" spans="8:10" x14ac:dyDescent="0.35">
      <c r="H24185" s="676"/>
      <c r="I24185" s="676"/>
      <c r="J24185" s="770"/>
    </row>
    <row r="24186" spans="8:10" x14ac:dyDescent="0.35">
      <c r="H24186" s="676"/>
      <c r="I24186" s="676"/>
      <c r="J24186" s="770"/>
    </row>
    <row r="24187" spans="8:10" x14ac:dyDescent="0.35">
      <c r="H24187" s="676"/>
      <c r="I24187" s="676"/>
      <c r="J24187" s="770"/>
    </row>
    <row r="24188" spans="8:10" x14ac:dyDescent="0.35">
      <c r="H24188" s="676"/>
      <c r="I24188" s="676"/>
      <c r="J24188" s="770"/>
    </row>
    <row r="24189" spans="8:10" x14ac:dyDescent="0.35">
      <c r="H24189" s="676"/>
      <c r="I24189" s="676"/>
      <c r="J24189" s="770"/>
    </row>
    <row r="24190" spans="8:10" x14ac:dyDescent="0.35">
      <c r="H24190" s="676"/>
      <c r="I24190" s="676"/>
      <c r="J24190" s="770"/>
    </row>
    <row r="24191" spans="8:10" x14ac:dyDescent="0.35">
      <c r="H24191" s="676"/>
      <c r="I24191" s="676"/>
      <c r="J24191" s="770"/>
    </row>
    <row r="24192" spans="8:10" x14ac:dyDescent="0.35">
      <c r="H24192" s="676"/>
      <c r="I24192" s="676"/>
      <c r="J24192" s="770"/>
    </row>
    <row r="24193" spans="8:10" x14ac:dyDescent="0.35">
      <c r="H24193" s="676"/>
      <c r="I24193" s="676"/>
      <c r="J24193" s="770"/>
    </row>
    <row r="24194" spans="8:10" x14ac:dyDescent="0.35">
      <c r="H24194" s="676"/>
      <c r="I24194" s="676"/>
      <c r="J24194" s="770"/>
    </row>
    <row r="24195" spans="8:10" x14ac:dyDescent="0.35">
      <c r="H24195" s="676"/>
      <c r="I24195" s="676"/>
      <c r="J24195" s="770"/>
    </row>
    <row r="24196" spans="8:10" x14ac:dyDescent="0.35">
      <c r="H24196" s="676"/>
      <c r="I24196" s="676"/>
      <c r="J24196" s="770"/>
    </row>
    <row r="24197" spans="8:10" x14ac:dyDescent="0.35">
      <c r="H24197" s="676"/>
      <c r="I24197" s="676"/>
      <c r="J24197" s="770"/>
    </row>
    <row r="24198" spans="8:10" x14ac:dyDescent="0.35">
      <c r="H24198" s="676"/>
      <c r="I24198" s="676"/>
      <c r="J24198" s="770"/>
    </row>
    <row r="24199" spans="8:10" x14ac:dyDescent="0.35">
      <c r="H24199" s="676"/>
      <c r="I24199" s="676"/>
      <c r="J24199" s="770"/>
    </row>
    <row r="24200" spans="8:10" x14ac:dyDescent="0.35">
      <c r="H24200" s="676"/>
      <c r="I24200" s="676"/>
      <c r="J24200" s="770"/>
    </row>
    <row r="24201" spans="8:10" x14ac:dyDescent="0.35">
      <c r="H24201" s="676"/>
      <c r="I24201" s="676"/>
      <c r="J24201" s="770"/>
    </row>
    <row r="24202" spans="8:10" x14ac:dyDescent="0.35">
      <c r="H24202" s="676"/>
      <c r="I24202" s="676"/>
      <c r="J24202" s="770"/>
    </row>
    <row r="24203" spans="8:10" x14ac:dyDescent="0.35">
      <c r="H24203" s="676"/>
      <c r="I24203" s="676"/>
      <c r="J24203" s="770"/>
    </row>
    <row r="24204" spans="8:10" x14ac:dyDescent="0.35">
      <c r="H24204" s="676"/>
      <c r="I24204" s="676"/>
      <c r="J24204" s="770"/>
    </row>
    <row r="24205" spans="8:10" x14ac:dyDescent="0.35">
      <c r="H24205" s="676"/>
      <c r="I24205" s="676"/>
      <c r="J24205" s="770"/>
    </row>
    <row r="24206" spans="8:10" x14ac:dyDescent="0.35">
      <c r="H24206" s="676"/>
      <c r="I24206" s="676"/>
      <c r="J24206" s="770"/>
    </row>
    <row r="24207" spans="8:10" x14ac:dyDescent="0.35">
      <c r="H24207" s="676"/>
      <c r="I24207" s="676"/>
      <c r="J24207" s="770"/>
    </row>
    <row r="24208" spans="8:10" x14ac:dyDescent="0.35">
      <c r="H24208" s="676"/>
      <c r="I24208" s="676"/>
      <c r="J24208" s="770"/>
    </row>
    <row r="24209" spans="8:10" x14ac:dyDescent="0.35">
      <c r="H24209" s="676"/>
      <c r="I24209" s="676"/>
      <c r="J24209" s="770"/>
    </row>
    <row r="24210" spans="8:10" x14ac:dyDescent="0.35">
      <c r="H24210" s="676"/>
      <c r="I24210" s="676"/>
      <c r="J24210" s="770"/>
    </row>
    <row r="24211" spans="8:10" x14ac:dyDescent="0.35">
      <c r="H24211" s="676"/>
      <c r="I24211" s="676"/>
      <c r="J24211" s="770"/>
    </row>
    <row r="24212" spans="8:10" x14ac:dyDescent="0.35">
      <c r="H24212" s="676"/>
      <c r="I24212" s="676"/>
      <c r="J24212" s="770"/>
    </row>
    <row r="24213" spans="8:10" x14ac:dyDescent="0.35">
      <c r="H24213" s="676"/>
      <c r="I24213" s="676"/>
      <c r="J24213" s="770"/>
    </row>
    <row r="24214" spans="8:10" x14ac:dyDescent="0.35">
      <c r="H24214" s="676"/>
      <c r="I24214" s="676"/>
      <c r="J24214" s="770"/>
    </row>
    <row r="24215" spans="8:10" x14ac:dyDescent="0.35">
      <c r="H24215" s="676"/>
      <c r="I24215" s="676"/>
      <c r="J24215" s="770"/>
    </row>
    <row r="24216" spans="8:10" x14ac:dyDescent="0.35">
      <c r="H24216" s="676"/>
      <c r="I24216" s="676"/>
      <c r="J24216" s="770"/>
    </row>
    <row r="24217" spans="8:10" x14ac:dyDescent="0.35">
      <c r="H24217" s="676"/>
      <c r="I24217" s="676"/>
      <c r="J24217" s="770"/>
    </row>
    <row r="24218" spans="8:10" x14ac:dyDescent="0.35">
      <c r="H24218" s="676"/>
      <c r="I24218" s="676"/>
      <c r="J24218" s="770"/>
    </row>
    <row r="24219" spans="8:10" x14ac:dyDescent="0.35">
      <c r="H24219" s="676"/>
      <c r="I24219" s="676"/>
      <c r="J24219" s="770"/>
    </row>
    <row r="24220" spans="8:10" x14ac:dyDescent="0.35">
      <c r="H24220" s="676"/>
      <c r="I24220" s="676"/>
      <c r="J24220" s="770"/>
    </row>
    <row r="24221" spans="8:10" x14ac:dyDescent="0.35">
      <c r="H24221" s="676"/>
      <c r="I24221" s="676"/>
      <c r="J24221" s="770"/>
    </row>
    <row r="24222" spans="8:10" x14ac:dyDescent="0.35">
      <c r="H24222" s="676"/>
      <c r="I24222" s="676"/>
      <c r="J24222" s="770"/>
    </row>
    <row r="24223" spans="8:10" x14ac:dyDescent="0.35">
      <c r="H24223" s="676"/>
      <c r="I24223" s="676"/>
      <c r="J24223" s="770"/>
    </row>
    <row r="24224" spans="8:10" x14ac:dyDescent="0.35">
      <c r="H24224" s="676"/>
      <c r="I24224" s="676"/>
      <c r="J24224" s="770"/>
    </row>
    <row r="24225" spans="8:10" x14ac:dyDescent="0.35">
      <c r="H24225" s="676"/>
      <c r="I24225" s="676"/>
      <c r="J24225" s="770"/>
    </row>
    <row r="24226" spans="8:10" x14ac:dyDescent="0.35">
      <c r="H24226" s="676"/>
      <c r="I24226" s="676"/>
      <c r="J24226" s="770"/>
    </row>
    <row r="24227" spans="8:10" x14ac:dyDescent="0.35">
      <c r="H24227" s="676"/>
      <c r="I24227" s="676"/>
      <c r="J24227" s="770"/>
    </row>
    <row r="24228" spans="8:10" x14ac:dyDescent="0.35">
      <c r="H24228" s="676"/>
      <c r="I24228" s="676"/>
      <c r="J24228" s="770"/>
    </row>
    <row r="24229" spans="8:10" x14ac:dyDescent="0.35">
      <c r="H24229" s="676"/>
      <c r="I24229" s="676"/>
      <c r="J24229" s="770"/>
    </row>
    <row r="24230" spans="8:10" x14ac:dyDescent="0.35">
      <c r="H24230" s="676"/>
      <c r="I24230" s="676"/>
      <c r="J24230" s="770"/>
    </row>
    <row r="24231" spans="8:10" x14ac:dyDescent="0.35">
      <c r="H24231" s="676"/>
      <c r="I24231" s="676"/>
      <c r="J24231" s="770"/>
    </row>
    <row r="24232" spans="8:10" x14ac:dyDescent="0.35">
      <c r="H24232" s="676"/>
      <c r="I24232" s="676"/>
      <c r="J24232" s="770"/>
    </row>
    <row r="24233" spans="8:10" x14ac:dyDescent="0.35">
      <c r="H24233" s="676"/>
      <c r="I24233" s="676"/>
      <c r="J24233" s="770"/>
    </row>
    <row r="24234" spans="8:10" x14ac:dyDescent="0.35">
      <c r="H24234" s="676"/>
      <c r="I24234" s="676"/>
      <c r="J24234" s="770"/>
    </row>
    <row r="24235" spans="8:10" x14ac:dyDescent="0.35">
      <c r="H24235" s="676"/>
      <c r="I24235" s="676"/>
      <c r="J24235" s="770"/>
    </row>
    <row r="24236" spans="8:10" x14ac:dyDescent="0.35">
      <c r="H24236" s="676"/>
      <c r="I24236" s="676"/>
      <c r="J24236" s="770"/>
    </row>
    <row r="24237" spans="8:10" x14ac:dyDescent="0.35">
      <c r="H24237" s="676"/>
      <c r="I24237" s="676"/>
      <c r="J24237" s="770"/>
    </row>
    <row r="24238" spans="8:10" x14ac:dyDescent="0.35">
      <c r="H24238" s="676"/>
      <c r="I24238" s="676"/>
      <c r="J24238" s="770"/>
    </row>
    <row r="24239" spans="8:10" x14ac:dyDescent="0.35">
      <c r="H24239" s="676"/>
      <c r="I24239" s="676"/>
      <c r="J24239" s="770"/>
    </row>
    <row r="24240" spans="8:10" x14ac:dyDescent="0.35">
      <c r="H24240" s="676"/>
      <c r="I24240" s="676"/>
      <c r="J24240" s="770"/>
    </row>
    <row r="24241" spans="8:10" x14ac:dyDescent="0.35">
      <c r="H24241" s="676"/>
      <c r="I24241" s="676"/>
      <c r="J24241" s="770"/>
    </row>
    <row r="24242" spans="8:10" x14ac:dyDescent="0.35">
      <c r="H24242" s="676"/>
      <c r="I24242" s="676"/>
      <c r="J24242" s="770"/>
    </row>
    <row r="24243" spans="8:10" x14ac:dyDescent="0.35">
      <c r="H24243" s="676"/>
      <c r="I24243" s="676"/>
      <c r="J24243" s="770"/>
    </row>
    <row r="24244" spans="8:10" x14ac:dyDescent="0.35">
      <c r="H24244" s="676"/>
      <c r="I24244" s="676"/>
      <c r="J24244" s="770"/>
    </row>
    <row r="24245" spans="8:10" x14ac:dyDescent="0.35">
      <c r="H24245" s="676"/>
      <c r="I24245" s="676"/>
      <c r="J24245" s="770"/>
    </row>
    <row r="24246" spans="8:10" x14ac:dyDescent="0.35">
      <c r="H24246" s="676"/>
      <c r="I24246" s="676"/>
      <c r="J24246" s="770"/>
    </row>
    <row r="24247" spans="8:10" x14ac:dyDescent="0.35">
      <c r="H24247" s="676"/>
      <c r="I24247" s="676"/>
      <c r="J24247" s="770"/>
    </row>
    <row r="24248" spans="8:10" x14ac:dyDescent="0.35">
      <c r="H24248" s="676"/>
      <c r="I24248" s="676"/>
      <c r="J24248" s="770"/>
    </row>
    <row r="24249" spans="8:10" x14ac:dyDescent="0.35">
      <c r="H24249" s="676"/>
      <c r="I24249" s="676"/>
      <c r="J24249" s="770"/>
    </row>
    <row r="24250" spans="8:10" x14ac:dyDescent="0.35">
      <c r="H24250" s="676"/>
      <c r="I24250" s="676"/>
      <c r="J24250" s="770"/>
    </row>
    <row r="24251" spans="8:10" x14ac:dyDescent="0.35">
      <c r="H24251" s="676"/>
      <c r="I24251" s="676"/>
      <c r="J24251" s="770"/>
    </row>
    <row r="24252" spans="8:10" x14ac:dyDescent="0.35">
      <c r="H24252" s="676"/>
      <c r="I24252" s="676"/>
      <c r="J24252" s="770"/>
    </row>
    <row r="24253" spans="8:10" x14ac:dyDescent="0.35">
      <c r="H24253" s="676"/>
      <c r="I24253" s="676"/>
      <c r="J24253" s="770"/>
    </row>
    <row r="24254" spans="8:10" x14ac:dyDescent="0.35">
      <c r="H24254" s="676"/>
      <c r="I24254" s="676"/>
      <c r="J24254" s="770"/>
    </row>
    <row r="24255" spans="8:10" x14ac:dyDescent="0.35">
      <c r="H24255" s="676"/>
      <c r="I24255" s="676"/>
      <c r="J24255" s="770"/>
    </row>
    <row r="24256" spans="8:10" x14ac:dyDescent="0.35">
      <c r="H24256" s="676"/>
      <c r="I24256" s="676"/>
      <c r="J24256" s="770"/>
    </row>
    <row r="24257" spans="8:10" x14ac:dyDescent="0.35">
      <c r="H24257" s="676"/>
      <c r="I24257" s="676"/>
      <c r="J24257" s="770"/>
    </row>
    <row r="24258" spans="8:10" x14ac:dyDescent="0.35">
      <c r="H24258" s="676"/>
      <c r="I24258" s="676"/>
      <c r="J24258" s="770"/>
    </row>
    <row r="24259" spans="8:10" x14ac:dyDescent="0.35">
      <c r="H24259" s="676"/>
      <c r="I24259" s="676"/>
      <c r="J24259" s="770"/>
    </row>
    <row r="24260" spans="8:10" x14ac:dyDescent="0.35">
      <c r="H24260" s="676"/>
      <c r="I24260" s="676"/>
      <c r="J24260" s="770"/>
    </row>
    <row r="24261" spans="8:10" x14ac:dyDescent="0.35">
      <c r="H24261" s="676"/>
      <c r="I24261" s="676"/>
      <c r="J24261" s="770"/>
    </row>
    <row r="24262" spans="8:10" x14ac:dyDescent="0.35">
      <c r="H24262" s="676"/>
      <c r="I24262" s="676"/>
      <c r="J24262" s="770"/>
    </row>
    <row r="24263" spans="8:10" x14ac:dyDescent="0.35">
      <c r="H24263" s="676"/>
      <c r="I24263" s="676"/>
      <c r="J24263" s="770"/>
    </row>
    <row r="24264" spans="8:10" x14ac:dyDescent="0.35">
      <c r="H24264" s="676"/>
      <c r="I24264" s="676"/>
      <c r="J24264" s="770"/>
    </row>
    <row r="24265" spans="8:10" x14ac:dyDescent="0.35">
      <c r="H24265" s="676"/>
      <c r="I24265" s="676"/>
      <c r="J24265" s="770"/>
    </row>
    <row r="24266" spans="8:10" x14ac:dyDescent="0.35">
      <c r="H24266" s="676"/>
      <c r="I24266" s="676"/>
      <c r="J24266" s="770"/>
    </row>
    <row r="24267" spans="8:10" x14ac:dyDescent="0.35">
      <c r="H24267" s="676"/>
      <c r="I24267" s="676"/>
      <c r="J24267" s="770"/>
    </row>
    <row r="24268" spans="8:10" x14ac:dyDescent="0.35">
      <c r="H24268" s="676"/>
      <c r="I24268" s="676"/>
      <c r="J24268" s="770"/>
    </row>
    <row r="24269" spans="8:10" x14ac:dyDescent="0.35">
      <c r="H24269" s="676"/>
      <c r="I24269" s="676"/>
      <c r="J24269" s="770"/>
    </row>
    <row r="24270" spans="8:10" x14ac:dyDescent="0.35">
      <c r="H24270" s="676"/>
      <c r="I24270" s="676"/>
      <c r="J24270" s="770"/>
    </row>
    <row r="24271" spans="8:10" x14ac:dyDescent="0.35">
      <c r="H24271" s="676"/>
      <c r="I24271" s="676"/>
      <c r="J24271" s="770"/>
    </row>
    <row r="24272" spans="8:10" x14ac:dyDescent="0.35">
      <c r="H24272" s="676"/>
      <c r="I24272" s="676"/>
      <c r="J24272" s="770"/>
    </row>
    <row r="24273" spans="8:10" x14ac:dyDescent="0.35">
      <c r="H24273" s="676"/>
      <c r="I24273" s="676"/>
      <c r="J24273" s="770"/>
    </row>
    <row r="24274" spans="8:10" x14ac:dyDescent="0.35">
      <c r="H24274" s="676"/>
      <c r="I24274" s="676"/>
      <c r="J24274" s="770"/>
    </row>
    <row r="24275" spans="8:10" x14ac:dyDescent="0.35">
      <c r="H24275" s="676"/>
      <c r="I24275" s="676"/>
      <c r="J24275" s="770"/>
    </row>
    <row r="24276" spans="8:10" x14ac:dyDescent="0.35">
      <c r="H24276" s="676"/>
      <c r="I24276" s="676"/>
      <c r="J24276" s="770"/>
    </row>
    <row r="24277" spans="8:10" x14ac:dyDescent="0.35">
      <c r="H24277" s="676"/>
      <c r="I24277" s="676"/>
      <c r="J24277" s="770"/>
    </row>
    <row r="24278" spans="8:10" x14ac:dyDescent="0.35">
      <c r="H24278" s="676"/>
      <c r="I24278" s="676"/>
      <c r="J24278" s="770"/>
    </row>
    <row r="24279" spans="8:10" x14ac:dyDescent="0.35">
      <c r="H24279" s="676"/>
      <c r="I24279" s="676"/>
      <c r="J24279" s="770"/>
    </row>
    <row r="24280" spans="8:10" x14ac:dyDescent="0.35">
      <c r="H24280" s="676"/>
      <c r="I24280" s="676"/>
      <c r="J24280" s="770"/>
    </row>
    <row r="24281" spans="8:10" x14ac:dyDescent="0.35">
      <c r="H24281" s="676"/>
      <c r="I24281" s="676"/>
      <c r="J24281" s="770"/>
    </row>
    <row r="24282" spans="8:10" x14ac:dyDescent="0.35">
      <c r="H24282" s="676"/>
      <c r="I24282" s="676"/>
      <c r="J24282" s="770"/>
    </row>
    <row r="24283" spans="8:10" x14ac:dyDescent="0.35">
      <c r="H24283" s="676"/>
      <c r="I24283" s="676"/>
      <c r="J24283" s="770"/>
    </row>
    <row r="24284" spans="8:10" x14ac:dyDescent="0.35">
      <c r="H24284" s="676"/>
      <c r="I24284" s="676"/>
      <c r="J24284" s="770"/>
    </row>
    <row r="24285" spans="8:10" x14ac:dyDescent="0.35">
      <c r="H24285" s="676"/>
      <c r="I24285" s="676"/>
      <c r="J24285" s="770"/>
    </row>
    <row r="24286" spans="8:10" x14ac:dyDescent="0.35">
      <c r="H24286" s="676"/>
      <c r="I24286" s="676"/>
      <c r="J24286" s="770"/>
    </row>
    <row r="24287" spans="8:10" x14ac:dyDescent="0.35">
      <c r="H24287" s="676"/>
      <c r="I24287" s="676"/>
      <c r="J24287" s="770"/>
    </row>
    <row r="24288" spans="8:10" x14ac:dyDescent="0.35">
      <c r="H24288" s="676"/>
      <c r="I24288" s="676"/>
      <c r="J24288" s="770"/>
    </row>
    <row r="24289" spans="8:10" x14ac:dyDescent="0.35">
      <c r="H24289" s="676"/>
      <c r="I24289" s="676"/>
      <c r="J24289" s="770"/>
    </row>
    <row r="24290" spans="8:10" x14ac:dyDescent="0.35">
      <c r="H24290" s="676"/>
      <c r="I24290" s="676"/>
      <c r="J24290" s="770"/>
    </row>
    <row r="24291" spans="8:10" x14ac:dyDescent="0.35">
      <c r="H24291" s="676"/>
      <c r="I24291" s="676"/>
      <c r="J24291" s="770"/>
    </row>
    <row r="24292" spans="8:10" x14ac:dyDescent="0.35">
      <c r="H24292" s="676"/>
      <c r="I24292" s="676"/>
      <c r="J24292" s="770"/>
    </row>
    <row r="24293" spans="8:10" x14ac:dyDescent="0.35">
      <c r="H24293" s="676"/>
      <c r="I24293" s="676"/>
      <c r="J24293" s="770"/>
    </row>
    <row r="24294" spans="8:10" x14ac:dyDescent="0.35">
      <c r="H24294" s="676"/>
      <c r="I24294" s="676"/>
      <c r="J24294" s="770"/>
    </row>
    <row r="24295" spans="8:10" x14ac:dyDescent="0.35">
      <c r="H24295" s="676"/>
      <c r="I24295" s="676"/>
      <c r="J24295" s="770"/>
    </row>
    <row r="24296" spans="8:10" x14ac:dyDescent="0.35">
      <c r="H24296" s="676"/>
      <c r="I24296" s="676"/>
      <c r="J24296" s="770"/>
    </row>
    <row r="24297" spans="8:10" x14ac:dyDescent="0.35">
      <c r="H24297" s="676"/>
      <c r="I24297" s="676"/>
      <c r="J24297" s="770"/>
    </row>
    <row r="24298" spans="8:10" x14ac:dyDescent="0.35">
      <c r="H24298" s="676"/>
      <c r="I24298" s="676"/>
      <c r="J24298" s="770"/>
    </row>
    <row r="24299" spans="8:10" x14ac:dyDescent="0.35">
      <c r="H24299" s="676"/>
      <c r="I24299" s="676"/>
      <c r="J24299" s="770"/>
    </row>
    <row r="24300" spans="8:10" x14ac:dyDescent="0.35">
      <c r="H24300" s="676"/>
      <c r="I24300" s="676"/>
      <c r="J24300" s="770"/>
    </row>
    <row r="24301" spans="8:10" x14ac:dyDescent="0.35">
      <c r="H24301" s="676"/>
      <c r="I24301" s="676"/>
      <c r="J24301" s="770"/>
    </row>
    <row r="24302" spans="8:10" x14ac:dyDescent="0.35">
      <c r="H24302" s="676"/>
      <c r="I24302" s="676"/>
      <c r="J24302" s="770"/>
    </row>
    <row r="24303" spans="8:10" x14ac:dyDescent="0.35">
      <c r="H24303" s="676"/>
      <c r="I24303" s="676"/>
      <c r="J24303" s="770"/>
    </row>
    <row r="24304" spans="8:10" x14ac:dyDescent="0.35">
      <c r="H24304" s="676"/>
      <c r="I24304" s="676"/>
      <c r="J24304" s="770"/>
    </row>
    <row r="24305" spans="8:10" x14ac:dyDescent="0.35">
      <c r="H24305" s="676"/>
      <c r="I24305" s="676"/>
      <c r="J24305" s="770"/>
    </row>
    <row r="24306" spans="8:10" x14ac:dyDescent="0.35">
      <c r="H24306" s="676"/>
      <c r="I24306" s="676"/>
      <c r="J24306" s="770"/>
    </row>
    <row r="24307" spans="8:10" x14ac:dyDescent="0.35">
      <c r="H24307" s="676"/>
      <c r="I24307" s="676"/>
      <c r="J24307" s="770"/>
    </row>
    <row r="24308" spans="8:10" x14ac:dyDescent="0.35">
      <c r="H24308" s="676"/>
      <c r="I24308" s="676"/>
      <c r="J24308" s="770"/>
    </row>
    <row r="24309" spans="8:10" x14ac:dyDescent="0.35">
      <c r="H24309" s="676"/>
      <c r="I24309" s="676"/>
      <c r="J24309" s="770"/>
    </row>
    <row r="24310" spans="8:10" x14ac:dyDescent="0.35">
      <c r="H24310" s="676"/>
      <c r="I24310" s="676"/>
      <c r="J24310" s="770"/>
    </row>
    <row r="24311" spans="8:10" x14ac:dyDescent="0.35">
      <c r="H24311" s="676"/>
      <c r="I24311" s="676"/>
      <c r="J24311" s="770"/>
    </row>
    <row r="24312" spans="8:10" x14ac:dyDescent="0.35">
      <c r="H24312" s="676"/>
      <c r="I24312" s="676"/>
      <c r="J24312" s="770"/>
    </row>
    <row r="24313" spans="8:10" x14ac:dyDescent="0.35">
      <c r="H24313" s="676"/>
      <c r="I24313" s="676"/>
      <c r="J24313" s="770"/>
    </row>
    <row r="24314" spans="8:10" x14ac:dyDescent="0.35">
      <c r="H24314" s="676"/>
      <c r="I24314" s="676"/>
      <c r="J24314" s="770"/>
    </row>
    <row r="24315" spans="8:10" x14ac:dyDescent="0.35">
      <c r="H24315" s="676"/>
      <c r="I24315" s="676"/>
      <c r="J24315" s="770"/>
    </row>
    <row r="24316" spans="8:10" x14ac:dyDescent="0.35">
      <c r="H24316" s="676"/>
      <c r="I24316" s="676"/>
      <c r="J24316" s="770"/>
    </row>
    <row r="24317" spans="8:10" x14ac:dyDescent="0.35">
      <c r="H24317" s="676"/>
      <c r="I24317" s="676"/>
      <c r="J24317" s="770"/>
    </row>
    <row r="24318" spans="8:10" x14ac:dyDescent="0.35">
      <c r="H24318" s="676"/>
      <c r="I24318" s="676"/>
      <c r="J24318" s="770"/>
    </row>
    <row r="24319" spans="8:10" x14ac:dyDescent="0.35">
      <c r="H24319" s="676"/>
      <c r="I24319" s="676"/>
      <c r="J24319" s="770"/>
    </row>
    <row r="24320" spans="8:10" x14ac:dyDescent="0.35">
      <c r="H24320" s="676"/>
      <c r="I24320" s="676"/>
      <c r="J24320" s="770"/>
    </row>
    <row r="24321" spans="8:10" x14ac:dyDescent="0.35">
      <c r="H24321" s="676"/>
      <c r="I24321" s="676"/>
      <c r="J24321" s="770"/>
    </row>
    <row r="24322" spans="8:10" x14ac:dyDescent="0.35">
      <c r="H24322" s="676"/>
      <c r="I24322" s="676"/>
      <c r="J24322" s="770"/>
    </row>
    <row r="24323" spans="8:10" x14ac:dyDescent="0.35">
      <c r="H24323" s="676"/>
      <c r="I24323" s="676"/>
      <c r="J24323" s="770"/>
    </row>
    <row r="24324" spans="8:10" x14ac:dyDescent="0.35">
      <c r="H24324" s="676"/>
      <c r="I24324" s="676"/>
      <c r="J24324" s="770"/>
    </row>
    <row r="24325" spans="8:10" x14ac:dyDescent="0.35">
      <c r="H24325" s="676"/>
      <c r="I24325" s="676"/>
      <c r="J24325" s="770"/>
    </row>
    <row r="24326" spans="8:10" x14ac:dyDescent="0.35">
      <c r="H24326" s="676"/>
      <c r="I24326" s="676"/>
      <c r="J24326" s="770"/>
    </row>
    <row r="24327" spans="8:10" x14ac:dyDescent="0.35">
      <c r="H24327" s="676"/>
      <c r="I24327" s="676"/>
      <c r="J24327" s="770"/>
    </row>
    <row r="24328" spans="8:10" x14ac:dyDescent="0.35">
      <c r="H24328" s="676"/>
      <c r="I24328" s="676"/>
      <c r="J24328" s="770"/>
    </row>
    <row r="24329" spans="8:10" x14ac:dyDescent="0.35">
      <c r="H24329" s="676"/>
      <c r="I24329" s="676"/>
      <c r="J24329" s="770"/>
    </row>
    <row r="24330" spans="8:10" x14ac:dyDescent="0.35">
      <c r="H24330" s="676"/>
      <c r="I24330" s="676"/>
      <c r="J24330" s="770"/>
    </row>
    <row r="24331" spans="8:10" x14ac:dyDescent="0.35">
      <c r="H24331" s="676"/>
      <c r="I24331" s="676"/>
      <c r="J24331" s="770"/>
    </row>
    <row r="24332" spans="8:10" x14ac:dyDescent="0.35">
      <c r="H24332" s="676"/>
      <c r="I24332" s="676"/>
      <c r="J24332" s="770"/>
    </row>
    <row r="24333" spans="8:10" x14ac:dyDescent="0.35">
      <c r="H24333" s="676"/>
      <c r="I24333" s="676"/>
      <c r="J24333" s="770"/>
    </row>
    <row r="24334" spans="8:10" x14ac:dyDescent="0.35">
      <c r="H24334" s="676"/>
      <c r="I24334" s="676"/>
      <c r="J24334" s="770"/>
    </row>
    <row r="24335" spans="8:10" x14ac:dyDescent="0.35">
      <c r="H24335" s="676"/>
      <c r="I24335" s="676"/>
      <c r="J24335" s="770"/>
    </row>
    <row r="24336" spans="8:10" x14ac:dyDescent="0.35">
      <c r="H24336" s="676"/>
      <c r="I24336" s="676"/>
      <c r="J24336" s="770"/>
    </row>
    <row r="24337" spans="8:10" x14ac:dyDescent="0.35">
      <c r="H24337" s="676"/>
      <c r="I24337" s="676"/>
      <c r="J24337" s="770"/>
    </row>
    <row r="24338" spans="8:10" x14ac:dyDescent="0.35">
      <c r="H24338" s="676"/>
      <c r="I24338" s="676"/>
      <c r="J24338" s="770"/>
    </row>
    <row r="24339" spans="8:10" x14ac:dyDescent="0.35">
      <c r="H24339" s="676"/>
      <c r="I24339" s="676"/>
      <c r="J24339" s="770"/>
    </row>
    <row r="24340" spans="8:10" x14ac:dyDescent="0.35">
      <c r="H24340" s="676"/>
      <c r="I24340" s="676"/>
      <c r="J24340" s="770"/>
    </row>
    <row r="24341" spans="8:10" x14ac:dyDescent="0.35">
      <c r="H24341" s="676"/>
      <c r="I24341" s="676"/>
      <c r="J24341" s="770"/>
    </row>
    <row r="24342" spans="8:10" x14ac:dyDescent="0.35">
      <c r="H24342" s="676"/>
      <c r="I24342" s="676"/>
      <c r="J24342" s="770"/>
    </row>
    <row r="24343" spans="8:10" x14ac:dyDescent="0.35">
      <c r="H24343" s="676"/>
      <c r="I24343" s="676"/>
      <c r="J24343" s="770"/>
    </row>
    <row r="24344" spans="8:10" x14ac:dyDescent="0.35">
      <c r="H24344" s="676"/>
      <c r="I24344" s="676"/>
      <c r="J24344" s="770"/>
    </row>
    <row r="24345" spans="8:10" x14ac:dyDescent="0.35">
      <c r="H24345" s="676"/>
      <c r="I24345" s="676"/>
      <c r="J24345" s="770"/>
    </row>
    <row r="24346" spans="8:10" x14ac:dyDescent="0.35">
      <c r="H24346" s="676"/>
      <c r="I24346" s="676"/>
      <c r="J24346" s="770"/>
    </row>
    <row r="24347" spans="8:10" x14ac:dyDescent="0.35">
      <c r="H24347" s="676"/>
      <c r="I24347" s="676"/>
      <c r="J24347" s="770"/>
    </row>
    <row r="24348" spans="8:10" x14ac:dyDescent="0.35">
      <c r="H24348" s="676"/>
      <c r="I24348" s="676"/>
      <c r="J24348" s="770"/>
    </row>
    <row r="24349" spans="8:10" x14ac:dyDescent="0.35">
      <c r="H24349" s="676"/>
      <c r="I24349" s="676"/>
      <c r="J24349" s="770"/>
    </row>
    <row r="24350" spans="8:10" x14ac:dyDescent="0.35">
      <c r="H24350" s="676"/>
      <c r="I24350" s="676"/>
      <c r="J24350" s="770"/>
    </row>
    <row r="24351" spans="8:10" x14ac:dyDescent="0.35">
      <c r="H24351" s="676"/>
      <c r="I24351" s="676"/>
      <c r="J24351" s="770"/>
    </row>
    <row r="24352" spans="8:10" x14ac:dyDescent="0.35">
      <c r="H24352" s="676"/>
      <c r="I24352" s="676"/>
      <c r="J24352" s="770"/>
    </row>
    <row r="24353" spans="8:10" x14ac:dyDescent="0.35">
      <c r="H24353" s="676"/>
      <c r="I24353" s="676"/>
      <c r="J24353" s="770"/>
    </row>
    <row r="24354" spans="8:10" x14ac:dyDescent="0.35">
      <c r="H24354" s="676"/>
      <c r="I24354" s="676"/>
      <c r="J24354" s="770"/>
    </row>
    <row r="24355" spans="8:10" x14ac:dyDescent="0.35">
      <c r="H24355" s="676"/>
      <c r="I24355" s="676"/>
      <c r="J24355" s="770"/>
    </row>
    <row r="24356" spans="8:10" x14ac:dyDescent="0.35">
      <c r="H24356" s="676"/>
      <c r="I24356" s="676"/>
      <c r="J24356" s="770"/>
    </row>
    <row r="24357" spans="8:10" x14ac:dyDescent="0.35">
      <c r="H24357" s="676"/>
      <c r="I24357" s="676"/>
      <c r="J24357" s="770"/>
    </row>
    <row r="24358" spans="8:10" x14ac:dyDescent="0.35">
      <c r="H24358" s="676"/>
      <c r="I24358" s="676"/>
      <c r="J24358" s="770"/>
    </row>
    <row r="24359" spans="8:10" x14ac:dyDescent="0.35">
      <c r="H24359" s="676"/>
      <c r="I24359" s="676"/>
      <c r="J24359" s="770"/>
    </row>
    <row r="24360" spans="8:10" x14ac:dyDescent="0.35">
      <c r="H24360" s="676"/>
      <c r="I24360" s="676"/>
      <c r="J24360" s="770"/>
    </row>
    <row r="24361" spans="8:10" x14ac:dyDescent="0.35">
      <c r="H24361" s="676"/>
      <c r="I24361" s="676"/>
      <c r="J24361" s="770"/>
    </row>
    <row r="24362" spans="8:10" x14ac:dyDescent="0.35">
      <c r="H24362" s="676"/>
      <c r="I24362" s="676"/>
      <c r="J24362" s="770"/>
    </row>
    <row r="24363" spans="8:10" x14ac:dyDescent="0.35">
      <c r="H24363" s="676"/>
      <c r="I24363" s="676"/>
      <c r="J24363" s="770"/>
    </row>
    <row r="24364" spans="8:10" x14ac:dyDescent="0.35">
      <c r="H24364" s="676"/>
      <c r="I24364" s="676"/>
      <c r="J24364" s="770"/>
    </row>
    <row r="24365" spans="8:10" x14ac:dyDescent="0.35">
      <c r="H24365" s="676"/>
      <c r="I24365" s="676"/>
      <c r="J24365" s="770"/>
    </row>
    <row r="24366" spans="8:10" x14ac:dyDescent="0.35">
      <c r="H24366" s="676"/>
      <c r="I24366" s="676"/>
      <c r="J24366" s="770"/>
    </row>
    <row r="24367" spans="8:10" x14ac:dyDescent="0.35">
      <c r="H24367" s="676"/>
      <c r="I24367" s="676"/>
      <c r="J24367" s="770"/>
    </row>
    <row r="24368" spans="8:10" x14ac:dyDescent="0.35">
      <c r="H24368" s="676"/>
      <c r="I24368" s="676"/>
      <c r="J24368" s="770"/>
    </row>
    <row r="24369" spans="8:10" x14ac:dyDescent="0.35">
      <c r="H24369" s="676"/>
      <c r="I24369" s="676"/>
      <c r="J24369" s="770"/>
    </row>
    <row r="24370" spans="8:10" x14ac:dyDescent="0.35">
      <c r="H24370" s="676"/>
      <c r="I24370" s="676"/>
      <c r="J24370" s="770"/>
    </row>
    <row r="24371" spans="8:10" x14ac:dyDescent="0.35">
      <c r="H24371" s="676"/>
      <c r="I24371" s="676"/>
      <c r="J24371" s="770"/>
    </row>
    <row r="24372" spans="8:10" x14ac:dyDescent="0.35">
      <c r="H24372" s="676"/>
      <c r="I24372" s="676"/>
      <c r="J24372" s="770"/>
    </row>
    <row r="24373" spans="8:10" x14ac:dyDescent="0.35">
      <c r="H24373" s="676"/>
      <c r="I24373" s="676"/>
      <c r="J24373" s="770"/>
    </row>
    <row r="24374" spans="8:10" x14ac:dyDescent="0.35">
      <c r="H24374" s="676"/>
      <c r="I24374" s="676"/>
      <c r="J24374" s="770"/>
    </row>
    <row r="24375" spans="8:10" x14ac:dyDescent="0.35">
      <c r="H24375" s="676"/>
      <c r="I24375" s="676"/>
      <c r="J24375" s="770"/>
    </row>
    <row r="24376" spans="8:10" x14ac:dyDescent="0.35">
      <c r="H24376" s="676"/>
      <c r="I24376" s="676"/>
      <c r="J24376" s="770"/>
    </row>
    <row r="24377" spans="8:10" x14ac:dyDescent="0.35">
      <c r="H24377" s="676"/>
      <c r="I24377" s="676"/>
      <c r="J24377" s="770"/>
    </row>
    <row r="24378" spans="8:10" x14ac:dyDescent="0.35">
      <c r="H24378" s="676"/>
      <c r="I24378" s="676"/>
      <c r="J24378" s="770"/>
    </row>
    <row r="24379" spans="8:10" x14ac:dyDescent="0.35">
      <c r="H24379" s="676"/>
      <c r="I24379" s="676"/>
      <c r="J24379" s="770"/>
    </row>
    <row r="24380" spans="8:10" x14ac:dyDescent="0.35">
      <c r="H24380" s="676"/>
      <c r="I24380" s="676"/>
      <c r="J24380" s="770"/>
    </row>
    <row r="24381" spans="8:10" x14ac:dyDescent="0.35">
      <c r="H24381" s="676"/>
      <c r="I24381" s="676"/>
      <c r="J24381" s="770"/>
    </row>
    <row r="24382" spans="8:10" x14ac:dyDescent="0.35">
      <c r="H24382" s="676"/>
      <c r="I24382" s="676"/>
      <c r="J24382" s="770"/>
    </row>
    <row r="24383" spans="8:10" x14ac:dyDescent="0.35">
      <c r="H24383" s="676"/>
      <c r="I24383" s="676"/>
      <c r="J24383" s="770"/>
    </row>
    <row r="24384" spans="8:10" x14ac:dyDescent="0.35">
      <c r="H24384" s="676"/>
      <c r="I24384" s="676"/>
      <c r="J24384" s="770"/>
    </row>
    <row r="24385" spans="8:10" x14ac:dyDescent="0.35">
      <c r="H24385" s="676"/>
      <c r="I24385" s="676"/>
      <c r="J24385" s="770"/>
    </row>
    <row r="24386" spans="8:10" x14ac:dyDescent="0.35">
      <c r="H24386" s="676"/>
      <c r="I24386" s="676"/>
      <c r="J24386" s="770"/>
    </row>
    <row r="24387" spans="8:10" x14ac:dyDescent="0.35">
      <c r="H24387" s="676"/>
      <c r="I24387" s="676"/>
      <c r="J24387" s="770"/>
    </row>
    <row r="24388" spans="8:10" x14ac:dyDescent="0.35">
      <c r="H24388" s="676"/>
      <c r="I24388" s="676"/>
      <c r="J24388" s="770"/>
    </row>
    <row r="24389" spans="8:10" x14ac:dyDescent="0.35">
      <c r="H24389" s="676"/>
      <c r="I24389" s="676"/>
      <c r="J24389" s="770"/>
    </row>
    <row r="24390" spans="8:10" x14ac:dyDescent="0.35">
      <c r="H24390" s="676"/>
      <c r="I24390" s="676"/>
      <c r="J24390" s="770"/>
    </row>
    <row r="24391" spans="8:10" x14ac:dyDescent="0.35">
      <c r="H24391" s="676"/>
      <c r="I24391" s="676"/>
      <c r="J24391" s="770"/>
    </row>
    <row r="24392" spans="8:10" x14ac:dyDescent="0.35">
      <c r="H24392" s="676"/>
      <c r="I24392" s="676"/>
      <c r="J24392" s="770"/>
    </row>
    <row r="24393" spans="8:10" x14ac:dyDescent="0.35">
      <c r="H24393" s="676"/>
      <c r="I24393" s="676"/>
      <c r="J24393" s="770"/>
    </row>
    <row r="24394" spans="8:10" x14ac:dyDescent="0.35">
      <c r="H24394" s="676"/>
      <c r="I24394" s="676"/>
      <c r="J24394" s="770"/>
    </row>
    <row r="24395" spans="8:10" x14ac:dyDescent="0.35">
      <c r="H24395" s="676"/>
      <c r="I24395" s="676"/>
      <c r="J24395" s="770"/>
    </row>
    <row r="24396" spans="8:10" x14ac:dyDescent="0.35">
      <c r="H24396" s="676"/>
      <c r="I24396" s="676"/>
      <c r="J24396" s="770"/>
    </row>
    <row r="24397" spans="8:10" x14ac:dyDescent="0.35">
      <c r="H24397" s="676"/>
      <c r="I24397" s="676"/>
      <c r="J24397" s="770"/>
    </row>
    <row r="24398" spans="8:10" x14ac:dyDescent="0.35">
      <c r="H24398" s="676"/>
      <c r="I24398" s="676"/>
      <c r="J24398" s="770"/>
    </row>
    <row r="24399" spans="8:10" x14ac:dyDescent="0.35">
      <c r="H24399" s="676"/>
      <c r="I24399" s="676"/>
      <c r="J24399" s="770"/>
    </row>
    <row r="24400" spans="8:10" x14ac:dyDescent="0.35">
      <c r="H24400" s="676"/>
      <c r="I24400" s="676"/>
      <c r="J24400" s="770"/>
    </row>
    <row r="24401" spans="8:10" x14ac:dyDescent="0.35">
      <c r="H24401" s="676"/>
      <c r="I24401" s="676"/>
      <c r="J24401" s="770"/>
    </row>
    <row r="24402" spans="8:10" x14ac:dyDescent="0.35">
      <c r="H24402" s="676"/>
      <c r="I24402" s="676"/>
      <c r="J24402" s="770"/>
    </row>
    <row r="24403" spans="8:10" x14ac:dyDescent="0.35">
      <c r="H24403" s="676"/>
      <c r="I24403" s="676"/>
      <c r="J24403" s="770"/>
    </row>
    <row r="24404" spans="8:10" x14ac:dyDescent="0.35">
      <c r="H24404" s="676"/>
      <c r="I24404" s="676"/>
      <c r="J24404" s="770"/>
    </row>
    <row r="24405" spans="8:10" x14ac:dyDescent="0.35">
      <c r="H24405" s="676"/>
      <c r="I24405" s="676"/>
      <c r="J24405" s="770"/>
    </row>
    <row r="24406" spans="8:10" x14ac:dyDescent="0.35">
      <c r="H24406" s="676"/>
      <c r="I24406" s="676"/>
      <c r="J24406" s="770"/>
    </row>
    <row r="24407" spans="8:10" x14ac:dyDescent="0.35">
      <c r="H24407" s="676"/>
      <c r="I24407" s="676"/>
      <c r="J24407" s="770"/>
    </row>
    <row r="24408" spans="8:10" x14ac:dyDescent="0.35">
      <c r="H24408" s="676"/>
      <c r="I24408" s="676"/>
      <c r="J24408" s="770"/>
    </row>
    <row r="24409" spans="8:10" x14ac:dyDescent="0.35">
      <c r="H24409" s="676"/>
      <c r="I24409" s="676"/>
      <c r="J24409" s="770"/>
    </row>
    <row r="24410" spans="8:10" x14ac:dyDescent="0.35">
      <c r="H24410" s="676"/>
      <c r="I24410" s="676"/>
      <c r="J24410" s="770"/>
    </row>
    <row r="24411" spans="8:10" x14ac:dyDescent="0.35">
      <c r="H24411" s="676"/>
      <c r="I24411" s="676"/>
      <c r="J24411" s="770"/>
    </row>
    <row r="24412" spans="8:10" x14ac:dyDescent="0.35">
      <c r="H24412" s="676"/>
      <c r="I24412" s="676"/>
      <c r="J24412" s="770"/>
    </row>
    <row r="24413" spans="8:10" x14ac:dyDescent="0.35">
      <c r="H24413" s="676"/>
      <c r="I24413" s="676"/>
      <c r="J24413" s="770"/>
    </row>
    <row r="24414" spans="8:10" x14ac:dyDescent="0.35">
      <c r="H24414" s="676"/>
      <c r="I24414" s="676"/>
      <c r="J24414" s="770"/>
    </row>
    <row r="24415" spans="8:10" x14ac:dyDescent="0.35">
      <c r="H24415" s="676"/>
      <c r="I24415" s="676"/>
      <c r="J24415" s="770"/>
    </row>
    <row r="24416" spans="8:10" x14ac:dyDescent="0.35">
      <c r="H24416" s="676"/>
      <c r="I24416" s="676"/>
      <c r="J24416" s="770"/>
    </row>
    <row r="24417" spans="8:10" x14ac:dyDescent="0.35">
      <c r="H24417" s="676"/>
      <c r="I24417" s="676"/>
      <c r="J24417" s="770"/>
    </row>
    <row r="24418" spans="8:10" x14ac:dyDescent="0.35">
      <c r="H24418" s="676"/>
      <c r="I24418" s="676"/>
      <c r="J24418" s="770"/>
    </row>
    <row r="24419" spans="8:10" x14ac:dyDescent="0.35">
      <c r="H24419" s="676"/>
      <c r="I24419" s="676"/>
      <c r="J24419" s="770"/>
    </row>
    <row r="24420" spans="8:10" x14ac:dyDescent="0.35">
      <c r="H24420" s="676"/>
      <c r="I24420" s="676"/>
      <c r="J24420" s="770"/>
    </row>
    <row r="24421" spans="8:10" x14ac:dyDescent="0.35">
      <c r="H24421" s="676"/>
      <c r="I24421" s="676"/>
      <c r="J24421" s="770"/>
    </row>
    <row r="24422" spans="8:10" x14ac:dyDescent="0.35">
      <c r="H24422" s="676"/>
      <c r="I24422" s="676"/>
      <c r="J24422" s="770"/>
    </row>
    <row r="24423" spans="8:10" x14ac:dyDescent="0.35">
      <c r="H24423" s="676"/>
      <c r="I24423" s="676"/>
      <c r="J24423" s="770"/>
    </row>
    <row r="24424" spans="8:10" x14ac:dyDescent="0.35">
      <c r="H24424" s="676"/>
      <c r="I24424" s="676"/>
      <c r="J24424" s="770"/>
    </row>
    <row r="24425" spans="8:10" x14ac:dyDescent="0.35">
      <c r="H24425" s="676"/>
      <c r="I24425" s="676"/>
      <c r="J24425" s="770"/>
    </row>
    <row r="24426" spans="8:10" x14ac:dyDescent="0.35">
      <c r="H24426" s="676"/>
      <c r="I24426" s="676"/>
      <c r="J24426" s="770"/>
    </row>
    <row r="24427" spans="8:10" x14ac:dyDescent="0.35">
      <c r="H24427" s="676"/>
      <c r="I24427" s="676"/>
      <c r="J24427" s="770"/>
    </row>
    <row r="24428" spans="8:10" x14ac:dyDescent="0.35">
      <c r="H24428" s="676"/>
      <c r="I24428" s="676"/>
      <c r="J24428" s="770"/>
    </row>
    <row r="24429" spans="8:10" x14ac:dyDescent="0.35">
      <c r="H24429" s="676"/>
      <c r="I24429" s="676"/>
      <c r="J24429" s="770"/>
    </row>
    <row r="24430" spans="8:10" x14ac:dyDescent="0.35">
      <c r="H24430" s="676"/>
      <c r="I24430" s="676"/>
      <c r="J24430" s="770"/>
    </row>
    <row r="24431" spans="8:10" x14ac:dyDescent="0.35">
      <c r="H24431" s="676"/>
      <c r="I24431" s="676"/>
      <c r="J24431" s="770"/>
    </row>
    <row r="24432" spans="8:10" x14ac:dyDescent="0.35">
      <c r="H24432" s="676"/>
      <c r="I24432" s="676"/>
      <c r="J24432" s="770"/>
    </row>
    <row r="24433" spans="8:10" x14ac:dyDescent="0.35">
      <c r="H24433" s="676"/>
      <c r="I24433" s="676"/>
      <c r="J24433" s="770"/>
    </row>
    <row r="24434" spans="8:10" x14ac:dyDescent="0.35">
      <c r="H24434" s="676"/>
      <c r="I24434" s="676"/>
      <c r="J24434" s="770"/>
    </row>
    <row r="24435" spans="8:10" x14ac:dyDescent="0.35">
      <c r="H24435" s="676"/>
      <c r="I24435" s="676"/>
      <c r="J24435" s="770"/>
    </row>
    <row r="24436" spans="8:10" x14ac:dyDescent="0.35">
      <c r="H24436" s="676"/>
      <c r="I24436" s="676"/>
      <c r="J24436" s="770"/>
    </row>
    <row r="24437" spans="8:10" x14ac:dyDescent="0.35">
      <c r="H24437" s="676"/>
      <c r="I24437" s="676"/>
      <c r="J24437" s="770"/>
    </row>
    <row r="24438" spans="8:10" x14ac:dyDescent="0.35">
      <c r="H24438" s="676"/>
      <c r="I24438" s="676"/>
      <c r="J24438" s="770"/>
    </row>
    <row r="24439" spans="8:10" x14ac:dyDescent="0.35">
      <c r="H24439" s="676"/>
      <c r="I24439" s="676"/>
      <c r="J24439" s="770"/>
    </row>
    <row r="24440" spans="8:10" x14ac:dyDescent="0.35">
      <c r="H24440" s="676"/>
      <c r="I24440" s="676"/>
      <c r="J24440" s="770"/>
    </row>
    <row r="24441" spans="8:10" x14ac:dyDescent="0.35">
      <c r="H24441" s="676"/>
      <c r="I24441" s="676"/>
      <c r="J24441" s="770"/>
    </row>
    <row r="24442" spans="8:10" x14ac:dyDescent="0.35">
      <c r="H24442" s="676"/>
      <c r="I24442" s="676"/>
      <c r="J24442" s="770"/>
    </row>
    <row r="24443" spans="8:10" x14ac:dyDescent="0.35">
      <c r="H24443" s="676"/>
      <c r="I24443" s="676"/>
      <c r="J24443" s="770"/>
    </row>
    <row r="24444" spans="8:10" x14ac:dyDescent="0.35">
      <c r="H24444" s="676"/>
      <c r="I24444" s="676"/>
      <c r="J24444" s="770"/>
    </row>
    <row r="24445" spans="8:10" x14ac:dyDescent="0.35">
      <c r="H24445" s="676"/>
      <c r="I24445" s="676"/>
      <c r="J24445" s="770"/>
    </row>
    <row r="24446" spans="8:10" x14ac:dyDescent="0.35">
      <c r="H24446" s="676"/>
      <c r="I24446" s="676"/>
      <c r="J24446" s="770"/>
    </row>
    <row r="24447" spans="8:10" x14ac:dyDescent="0.35">
      <c r="H24447" s="676"/>
      <c r="I24447" s="676"/>
      <c r="J24447" s="770"/>
    </row>
    <row r="24448" spans="8:10" x14ac:dyDescent="0.35">
      <c r="H24448" s="676"/>
      <c r="I24448" s="676"/>
      <c r="J24448" s="770"/>
    </row>
    <row r="24449" spans="8:10" x14ac:dyDescent="0.35">
      <c r="H24449" s="676"/>
      <c r="I24449" s="676"/>
      <c r="J24449" s="770"/>
    </row>
    <row r="24450" spans="8:10" x14ac:dyDescent="0.35">
      <c r="H24450" s="676"/>
      <c r="I24450" s="676"/>
      <c r="J24450" s="770"/>
    </row>
    <row r="24451" spans="8:10" x14ac:dyDescent="0.35">
      <c r="H24451" s="676"/>
      <c r="I24451" s="676"/>
      <c r="J24451" s="770"/>
    </row>
    <row r="24452" spans="8:10" x14ac:dyDescent="0.35">
      <c r="H24452" s="676"/>
      <c r="I24452" s="676"/>
      <c r="J24452" s="770"/>
    </row>
    <row r="24453" spans="8:10" x14ac:dyDescent="0.35">
      <c r="H24453" s="676"/>
      <c r="I24453" s="676"/>
      <c r="J24453" s="770"/>
    </row>
    <row r="24454" spans="8:10" x14ac:dyDescent="0.35">
      <c r="H24454" s="676"/>
      <c r="I24454" s="676"/>
      <c r="J24454" s="770"/>
    </row>
    <row r="24455" spans="8:10" x14ac:dyDescent="0.35">
      <c r="H24455" s="676"/>
      <c r="I24455" s="676"/>
      <c r="J24455" s="770"/>
    </row>
    <row r="24456" spans="8:10" x14ac:dyDescent="0.35">
      <c r="H24456" s="676"/>
      <c r="I24456" s="676"/>
      <c r="J24456" s="770"/>
    </row>
    <row r="24457" spans="8:10" x14ac:dyDescent="0.35">
      <c r="H24457" s="676"/>
      <c r="I24457" s="676"/>
      <c r="J24457" s="770"/>
    </row>
    <row r="24458" spans="8:10" x14ac:dyDescent="0.35">
      <c r="H24458" s="676"/>
      <c r="I24458" s="676"/>
      <c r="J24458" s="770"/>
    </row>
    <row r="24459" spans="8:10" x14ac:dyDescent="0.35">
      <c r="H24459" s="676"/>
      <c r="I24459" s="676"/>
      <c r="J24459" s="770"/>
    </row>
    <row r="24460" spans="8:10" x14ac:dyDescent="0.35">
      <c r="H24460" s="676"/>
      <c r="I24460" s="676"/>
      <c r="J24460" s="770"/>
    </row>
    <row r="24461" spans="8:10" x14ac:dyDescent="0.35">
      <c r="H24461" s="676"/>
      <c r="I24461" s="676"/>
      <c r="J24461" s="770"/>
    </row>
    <row r="24462" spans="8:10" x14ac:dyDescent="0.35">
      <c r="H24462" s="676"/>
      <c r="I24462" s="676"/>
      <c r="J24462" s="770"/>
    </row>
    <row r="24463" spans="8:10" x14ac:dyDescent="0.35">
      <c r="H24463" s="676"/>
      <c r="I24463" s="676"/>
      <c r="J24463" s="770"/>
    </row>
    <row r="24464" spans="8:10" x14ac:dyDescent="0.35">
      <c r="H24464" s="676"/>
      <c r="I24464" s="676"/>
      <c r="J24464" s="770"/>
    </row>
    <row r="24465" spans="8:10" x14ac:dyDescent="0.35">
      <c r="H24465" s="676"/>
      <c r="I24465" s="676"/>
      <c r="J24465" s="770"/>
    </row>
    <row r="24466" spans="8:10" x14ac:dyDescent="0.35">
      <c r="H24466" s="676"/>
      <c r="I24466" s="676"/>
      <c r="J24466" s="770"/>
    </row>
    <row r="24467" spans="8:10" x14ac:dyDescent="0.35">
      <c r="H24467" s="676"/>
      <c r="I24467" s="676"/>
      <c r="J24467" s="770"/>
    </row>
    <row r="24468" spans="8:10" x14ac:dyDescent="0.35">
      <c r="H24468" s="676"/>
      <c r="I24468" s="676"/>
      <c r="J24468" s="770"/>
    </row>
    <row r="24469" spans="8:10" x14ac:dyDescent="0.35">
      <c r="H24469" s="676"/>
      <c r="I24469" s="676"/>
      <c r="J24469" s="770"/>
    </row>
    <row r="24470" spans="8:10" x14ac:dyDescent="0.35">
      <c r="H24470" s="676"/>
      <c r="I24470" s="676"/>
      <c r="J24470" s="770"/>
    </row>
    <row r="24471" spans="8:10" x14ac:dyDescent="0.35">
      <c r="H24471" s="676"/>
      <c r="I24471" s="676"/>
      <c r="J24471" s="770"/>
    </row>
    <row r="24472" spans="8:10" x14ac:dyDescent="0.35">
      <c r="H24472" s="676"/>
      <c r="I24472" s="676"/>
      <c r="J24472" s="770"/>
    </row>
    <row r="24473" spans="8:10" x14ac:dyDescent="0.35">
      <c r="H24473" s="676"/>
      <c r="I24473" s="676"/>
      <c r="J24473" s="770"/>
    </row>
    <row r="24474" spans="8:10" x14ac:dyDescent="0.35">
      <c r="H24474" s="676"/>
      <c r="I24474" s="676"/>
      <c r="J24474" s="770"/>
    </row>
    <row r="24475" spans="8:10" x14ac:dyDescent="0.35">
      <c r="H24475" s="676"/>
      <c r="I24475" s="676"/>
      <c r="J24475" s="770"/>
    </row>
    <row r="24476" spans="8:10" x14ac:dyDescent="0.35">
      <c r="H24476" s="676"/>
      <c r="I24476" s="676"/>
      <c r="J24476" s="770"/>
    </row>
    <row r="24477" spans="8:10" x14ac:dyDescent="0.35">
      <c r="H24477" s="676"/>
      <c r="I24477" s="676"/>
      <c r="J24477" s="770"/>
    </row>
    <row r="24478" spans="8:10" x14ac:dyDescent="0.35">
      <c r="H24478" s="676"/>
      <c r="I24478" s="676"/>
      <c r="J24478" s="770"/>
    </row>
    <row r="24479" spans="8:10" x14ac:dyDescent="0.35">
      <c r="H24479" s="676"/>
      <c r="I24479" s="676"/>
      <c r="J24479" s="770"/>
    </row>
    <row r="24480" spans="8:10" x14ac:dyDescent="0.35">
      <c r="H24480" s="676"/>
      <c r="I24480" s="676"/>
      <c r="J24480" s="770"/>
    </row>
    <row r="24481" spans="8:10" x14ac:dyDescent="0.35">
      <c r="H24481" s="676"/>
      <c r="I24481" s="676"/>
      <c r="J24481" s="770"/>
    </row>
    <row r="24482" spans="8:10" x14ac:dyDescent="0.35">
      <c r="H24482" s="676"/>
      <c r="I24482" s="676"/>
      <c r="J24482" s="770"/>
    </row>
    <row r="24483" spans="8:10" x14ac:dyDescent="0.35">
      <c r="H24483" s="676"/>
      <c r="I24483" s="676"/>
      <c r="J24483" s="770"/>
    </row>
    <row r="24484" spans="8:10" x14ac:dyDescent="0.35">
      <c r="H24484" s="676"/>
      <c r="I24484" s="676"/>
      <c r="J24484" s="770"/>
    </row>
    <row r="24485" spans="8:10" x14ac:dyDescent="0.35">
      <c r="H24485" s="676"/>
      <c r="I24485" s="676"/>
      <c r="J24485" s="770"/>
    </row>
    <row r="24486" spans="8:10" x14ac:dyDescent="0.35">
      <c r="H24486" s="676"/>
      <c r="I24486" s="676"/>
      <c r="J24486" s="770"/>
    </row>
    <row r="24487" spans="8:10" x14ac:dyDescent="0.35">
      <c r="H24487" s="676"/>
      <c r="I24487" s="676"/>
      <c r="J24487" s="770"/>
    </row>
    <row r="24488" spans="8:10" x14ac:dyDescent="0.35">
      <c r="H24488" s="676"/>
      <c r="I24488" s="676"/>
      <c r="J24488" s="770"/>
    </row>
    <row r="24489" spans="8:10" x14ac:dyDescent="0.35">
      <c r="H24489" s="676"/>
      <c r="I24489" s="676"/>
      <c r="J24489" s="770"/>
    </row>
    <row r="24490" spans="8:10" x14ac:dyDescent="0.35">
      <c r="H24490" s="676"/>
      <c r="I24490" s="676"/>
      <c r="J24490" s="770"/>
    </row>
    <row r="24491" spans="8:10" x14ac:dyDescent="0.35">
      <c r="H24491" s="676"/>
      <c r="I24491" s="676"/>
      <c r="J24491" s="770"/>
    </row>
    <row r="24492" spans="8:10" x14ac:dyDescent="0.35">
      <c r="H24492" s="676"/>
      <c r="I24492" s="676"/>
      <c r="J24492" s="770"/>
    </row>
    <row r="24493" spans="8:10" x14ac:dyDescent="0.35">
      <c r="H24493" s="676"/>
      <c r="I24493" s="676"/>
      <c r="J24493" s="770"/>
    </row>
    <row r="24494" spans="8:10" x14ac:dyDescent="0.35">
      <c r="H24494" s="676"/>
      <c r="I24494" s="676"/>
      <c r="J24494" s="770"/>
    </row>
    <row r="24495" spans="8:10" x14ac:dyDescent="0.35">
      <c r="H24495" s="676"/>
      <c r="I24495" s="676"/>
      <c r="J24495" s="770"/>
    </row>
    <row r="24496" spans="8:10" x14ac:dyDescent="0.35">
      <c r="H24496" s="676"/>
      <c r="I24496" s="676"/>
      <c r="J24496" s="770"/>
    </row>
    <row r="24497" spans="8:10" x14ac:dyDescent="0.35">
      <c r="H24497" s="676"/>
      <c r="I24497" s="676"/>
      <c r="J24497" s="770"/>
    </row>
    <row r="24498" spans="8:10" x14ac:dyDescent="0.35">
      <c r="H24498" s="676"/>
      <c r="I24498" s="676"/>
      <c r="J24498" s="770"/>
    </row>
    <row r="24499" spans="8:10" x14ac:dyDescent="0.35">
      <c r="H24499" s="676"/>
      <c r="I24499" s="676"/>
      <c r="J24499" s="770"/>
    </row>
    <row r="24500" spans="8:10" x14ac:dyDescent="0.35">
      <c r="H24500" s="676"/>
      <c r="I24500" s="676"/>
      <c r="J24500" s="770"/>
    </row>
    <row r="24501" spans="8:10" x14ac:dyDescent="0.35">
      <c r="H24501" s="676"/>
      <c r="I24501" s="676"/>
      <c r="J24501" s="770"/>
    </row>
    <row r="24502" spans="8:10" x14ac:dyDescent="0.35">
      <c r="H24502" s="676"/>
      <c r="I24502" s="676"/>
      <c r="J24502" s="770"/>
    </row>
    <row r="24503" spans="8:10" x14ac:dyDescent="0.35">
      <c r="H24503" s="676"/>
      <c r="I24503" s="676"/>
      <c r="J24503" s="770"/>
    </row>
    <row r="24504" spans="8:10" x14ac:dyDescent="0.35">
      <c r="H24504" s="676"/>
      <c r="I24504" s="676"/>
      <c r="J24504" s="770"/>
    </row>
    <row r="24505" spans="8:10" x14ac:dyDescent="0.35">
      <c r="H24505" s="676"/>
      <c r="I24505" s="676"/>
      <c r="J24505" s="770"/>
    </row>
    <row r="24506" spans="8:10" x14ac:dyDescent="0.35">
      <c r="H24506" s="676"/>
      <c r="I24506" s="676"/>
      <c r="J24506" s="770"/>
    </row>
    <row r="24507" spans="8:10" x14ac:dyDescent="0.35">
      <c r="H24507" s="676"/>
      <c r="I24507" s="676"/>
      <c r="J24507" s="770"/>
    </row>
    <row r="24508" spans="8:10" x14ac:dyDescent="0.35">
      <c r="H24508" s="676"/>
      <c r="I24508" s="676"/>
      <c r="J24508" s="770"/>
    </row>
    <row r="24509" spans="8:10" x14ac:dyDescent="0.35">
      <c r="H24509" s="676"/>
      <c r="I24509" s="676"/>
      <c r="J24509" s="770"/>
    </row>
    <row r="24510" spans="8:10" x14ac:dyDescent="0.35">
      <c r="H24510" s="676"/>
      <c r="I24510" s="676"/>
      <c r="J24510" s="770"/>
    </row>
    <row r="24511" spans="8:10" x14ac:dyDescent="0.35">
      <c r="H24511" s="676"/>
      <c r="I24511" s="676"/>
      <c r="J24511" s="770"/>
    </row>
    <row r="24512" spans="8:10" x14ac:dyDescent="0.35">
      <c r="H24512" s="676"/>
      <c r="I24512" s="676"/>
      <c r="J24512" s="770"/>
    </row>
    <row r="24513" spans="8:10" x14ac:dyDescent="0.35">
      <c r="H24513" s="676"/>
      <c r="I24513" s="676"/>
      <c r="J24513" s="770"/>
    </row>
    <row r="24514" spans="8:10" x14ac:dyDescent="0.35">
      <c r="H24514" s="676"/>
      <c r="I24514" s="676"/>
      <c r="J24514" s="770"/>
    </row>
    <row r="24515" spans="8:10" x14ac:dyDescent="0.35">
      <c r="H24515" s="676"/>
      <c r="I24515" s="676"/>
      <c r="J24515" s="770"/>
    </row>
    <row r="24516" spans="8:10" x14ac:dyDescent="0.35">
      <c r="H24516" s="676"/>
      <c r="I24516" s="676"/>
      <c r="J24516" s="770"/>
    </row>
    <row r="24517" spans="8:10" x14ac:dyDescent="0.35">
      <c r="H24517" s="676"/>
      <c r="I24517" s="676"/>
      <c r="J24517" s="770"/>
    </row>
    <row r="24518" spans="8:10" x14ac:dyDescent="0.35">
      <c r="H24518" s="676"/>
      <c r="I24518" s="676"/>
      <c r="J24518" s="770"/>
    </row>
    <row r="24519" spans="8:10" x14ac:dyDescent="0.35">
      <c r="H24519" s="676"/>
      <c r="I24519" s="676"/>
      <c r="J24519" s="770"/>
    </row>
    <row r="24520" spans="8:10" x14ac:dyDescent="0.35">
      <c r="H24520" s="676"/>
      <c r="I24520" s="676"/>
      <c r="J24520" s="770"/>
    </row>
    <row r="24521" spans="8:10" x14ac:dyDescent="0.35">
      <c r="H24521" s="676"/>
      <c r="I24521" s="676"/>
      <c r="J24521" s="770"/>
    </row>
    <row r="24522" spans="8:10" x14ac:dyDescent="0.35">
      <c r="H24522" s="676"/>
      <c r="I24522" s="676"/>
      <c r="J24522" s="770"/>
    </row>
    <row r="24523" spans="8:10" x14ac:dyDescent="0.35">
      <c r="H24523" s="676"/>
      <c r="I24523" s="676"/>
      <c r="J24523" s="770"/>
    </row>
    <row r="24524" spans="8:10" x14ac:dyDescent="0.35">
      <c r="H24524" s="676"/>
      <c r="I24524" s="676"/>
      <c r="J24524" s="770"/>
    </row>
    <row r="24525" spans="8:10" x14ac:dyDescent="0.35">
      <c r="H24525" s="676"/>
      <c r="I24525" s="676"/>
      <c r="J24525" s="770"/>
    </row>
    <row r="24526" spans="8:10" x14ac:dyDescent="0.35">
      <c r="H24526" s="676"/>
      <c r="I24526" s="676"/>
      <c r="J24526" s="770"/>
    </row>
    <row r="24527" spans="8:10" x14ac:dyDescent="0.35">
      <c r="H24527" s="676"/>
      <c r="I24527" s="676"/>
      <c r="J24527" s="770"/>
    </row>
    <row r="24528" spans="8:10" x14ac:dyDescent="0.35">
      <c r="H24528" s="676"/>
      <c r="I24528" s="676"/>
      <c r="J24528" s="770"/>
    </row>
    <row r="24529" spans="8:10" x14ac:dyDescent="0.35">
      <c r="H24529" s="676"/>
      <c r="I24529" s="676"/>
      <c r="J24529" s="770"/>
    </row>
    <row r="24530" spans="8:10" x14ac:dyDescent="0.35">
      <c r="H24530" s="676"/>
      <c r="I24530" s="676"/>
      <c r="J24530" s="770"/>
    </row>
    <row r="24531" spans="8:10" x14ac:dyDescent="0.35">
      <c r="H24531" s="676"/>
      <c r="I24531" s="676"/>
      <c r="J24531" s="770"/>
    </row>
    <row r="24532" spans="8:10" x14ac:dyDescent="0.35">
      <c r="H24532" s="676"/>
      <c r="I24532" s="676"/>
      <c r="J24532" s="770"/>
    </row>
    <row r="24533" spans="8:10" x14ac:dyDescent="0.35">
      <c r="H24533" s="676"/>
      <c r="I24533" s="676"/>
      <c r="J24533" s="770"/>
    </row>
    <row r="24534" spans="8:10" x14ac:dyDescent="0.35">
      <c r="H24534" s="676"/>
      <c r="I24534" s="676"/>
      <c r="J24534" s="770"/>
    </row>
    <row r="24535" spans="8:10" x14ac:dyDescent="0.35">
      <c r="H24535" s="676"/>
      <c r="I24535" s="676"/>
      <c r="J24535" s="770"/>
    </row>
    <row r="24536" spans="8:10" x14ac:dyDescent="0.35">
      <c r="H24536" s="676"/>
      <c r="I24536" s="676"/>
      <c r="J24536" s="770"/>
    </row>
    <row r="24537" spans="8:10" x14ac:dyDescent="0.35">
      <c r="H24537" s="676"/>
      <c r="I24537" s="676"/>
      <c r="J24537" s="770"/>
    </row>
    <row r="24538" spans="8:10" x14ac:dyDescent="0.35">
      <c r="H24538" s="676"/>
      <c r="I24538" s="676"/>
      <c r="J24538" s="770"/>
    </row>
    <row r="24539" spans="8:10" x14ac:dyDescent="0.35">
      <c r="H24539" s="676"/>
      <c r="I24539" s="676"/>
      <c r="J24539" s="770"/>
    </row>
    <row r="24540" spans="8:10" x14ac:dyDescent="0.35">
      <c r="H24540" s="676"/>
      <c r="I24540" s="676"/>
      <c r="J24540" s="770"/>
    </row>
    <row r="24541" spans="8:10" x14ac:dyDescent="0.35">
      <c r="H24541" s="676"/>
      <c r="I24541" s="676"/>
      <c r="J24541" s="770"/>
    </row>
    <row r="24542" spans="8:10" x14ac:dyDescent="0.35">
      <c r="H24542" s="676"/>
      <c r="I24542" s="676"/>
      <c r="J24542" s="770"/>
    </row>
    <row r="24543" spans="8:10" x14ac:dyDescent="0.35">
      <c r="H24543" s="676"/>
      <c r="I24543" s="676"/>
      <c r="J24543" s="770"/>
    </row>
    <row r="24544" spans="8:10" x14ac:dyDescent="0.35">
      <c r="H24544" s="676"/>
      <c r="I24544" s="676"/>
      <c r="J24544" s="770"/>
    </row>
    <row r="24545" spans="8:10" x14ac:dyDescent="0.35">
      <c r="H24545" s="676"/>
      <c r="I24545" s="676"/>
      <c r="J24545" s="770"/>
    </row>
    <row r="24546" spans="8:10" x14ac:dyDescent="0.35">
      <c r="H24546" s="676"/>
      <c r="I24546" s="676"/>
      <c r="J24546" s="770"/>
    </row>
    <row r="24547" spans="8:10" x14ac:dyDescent="0.35">
      <c r="H24547" s="676"/>
      <c r="I24547" s="676"/>
      <c r="J24547" s="770"/>
    </row>
    <row r="24548" spans="8:10" x14ac:dyDescent="0.35">
      <c r="H24548" s="676"/>
      <c r="I24548" s="676"/>
      <c r="J24548" s="770"/>
    </row>
    <row r="24549" spans="8:10" x14ac:dyDescent="0.35">
      <c r="H24549" s="676"/>
      <c r="I24549" s="676"/>
      <c r="J24549" s="770"/>
    </row>
    <row r="24550" spans="8:10" x14ac:dyDescent="0.35">
      <c r="H24550" s="676"/>
      <c r="I24550" s="676"/>
      <c r="J24550" s="770"/>
    </row>
    <row r="24551" spans="8:10" x14ac:dyDescent="0.35">
      <c r="H24551" s="676"/>
      <c r="I24551" s="676"/>
      <c r="J24551" s="770"/>
    </row>
    <row r="24552" spans="8:10" x14ac:dyDescent="0.35">
      <c r="H24552" s="676"/>
      <c r="I24552" s="676"/>
      <c r="J24552" s="770"/>
    </row>
    <row r="24553" spans="8:10" x14ac:dyDescent="0.35">
      <c r="H24553" s="676"/>
      <c r="I24553" s="676"/>
      <c r="J24553" s="770"/>
    </row>
    <row r="24554" spans="8:10" x14ac:dyDescent="0.35">
      <c r="H24554" s="676"/>
      <c r="I24554" s="676"/>
      <c r="J24554" s="770"/>
    </row>
    <row r="24555" spans="8:10" x14ac:dyDescent="0.35">
      <c r="H24555" s="676"/>
      <c r="I24555" s="676"/>
      <c r="J24555" s="770"/>
    </row>
    <row r="24556" spans="8:10" x14ac:dyDescent="0.35">
      <c r="H24556" s="676"/>
      <c r="I24556" s="676"/>
      <c r="J24556" s="770"/>
    </row>
    <row r="24557" spans="8:10" x14ac:dyDescent="0.35">
      <c r="H24557" s="676"/>
      <c r="I24557" s="676"/>
      <c r="J24557" s="770"/>
    </row>
    <row r="24558" spans="8:10" x14ac:dyDescent="0.35">
      <c r="H24558" s="676"/>
      <c r="I24558" s="676"/>
      <c r="J24558" s="770"/>
    </row>
    <row r="24559" spans="8:10" x14ac:dyDescent="0.35">
      <c r="H24559" s="676"/>
      <c r="I24559" s="676"/>
      <c r="J24559" s="770"/>
    </row>
    <row r="24560" spans="8:10" x14ac:dyDescent="0.35">
      <c r="H24560" s="676"/>
      <c r="I24560" s="676"/>
      <c r="J24560" s="770"/>
    </row>
    <row r="24561" spans="8:10" x14ac:dyDescent="0.35">
      <c r="H24561" s="676"/>
      <c r="I24561" s="676"/>
      <c r="J24561" s="770"/>
    </row>
    <row r="24562" spans="8:10" x14ac:dyDescent="0.35">
      <c r="H24562" s="676"/>
      <c r="I24562" s="676"/>
      <c r="J24562" s="770"/>
    </row>
    <row r="24563" spans="8:10" x14ac:dyDescent="0.35">
      <c r="H24563" s="676"/>
      <c r="I24563" s="676"/>
      <c r="J24563" s="770"/>
    </row>
    <row r="24564" spans="8:10" x14ac:dyDescent="0.35">
      <c r="H24564" s="676"/>
      <c r="I24564" s="676"/>
      <c r="J24564" s="770"/>
    </row>
    <row r="24565" spans="8:10" x14ac:dyDescent="0.35">
      <c r="H24565" s="676"/>
      <c r="I24565" s="676"/>
      <c r="J24565" s="770"/>
    </row>
    <row r="24566" spans="8:10" x14ac:dyDescent="0.35">
      <c r="H24566" s="676"/>
      <c r="I24566" s="676"/>
      <c r="J24566" s="770"/>
    </row>
    <row r="24567" spans="8:10" x14ac:dyDescent="0.35">
      <c r="H24567" s="676"/>
      <c r="I24567" s="676"/>
      <c r="J24567" s="770"/>
    </row>
    <row r="24568" spans="8:10" x14ac:dyDescent="0.35">
      <c r="H24568" s="676"/>
      <c r="I24568" s="676"/>
      <c r="J24568" s="770"/>
    </row>
    <row r="24569" spans="8:10" x14ac:dyDescent="0.35">
      <c r="H24569" s="676"/>
      <c r="I24569" s="676"/>
      <c r="J24569" s="770"/>
    </row>
    <row r="24570" spans="8:10" x14ac:dyDescent="0.35">
      <c r="H24570" s="676"/>
      <c r="I24570" s="676"/>
      <c r="J24570" s="770"/>
    </row>
    <row r="24571" spans="8:10" x14ac:dyDescent="0.35">
      <c r="H24571" s="676"/>
      <c r="I24571" s="676"/>
      <c r="J24571" s="770"/>
    </row>
    <row r="24572" spans="8:10" x14ac:dyDescent="0.35">
      <c r="H24572" s="676"/>
      <c r="I24572" s="676"/>
      <c r="J24572" s="770"/>
    </row>
    <row r="24573" spans="8:10" x14ac:dyDescent="0.35">
      <c r="H24573" s="676"/>
      <c r="I24573" s="676"/>
      <c r="J24573" s="770"/>
    </row>
    <row r="24574" spans="8:10" x14ac:dyDescent="0.35">
      <c r="H24574" s="676"/>
      <c r="I24574" s="676"/>
      <c r="J24574" s="770"/>
    </row>
    <row r="24575" spans="8:10" x14ac:dyDescent="0.35">
      <c r="H24575" s="676"/>
      <c r="I24575" s="676"/>
      <c r="J24575" s="770"/>
    </row>
    <row r="24576" spans="8:10" x14ac:dyDescent="0.35">
      <c r="H24576" s="676"/>
      <c r="I24576" s="676"/>
      <c r="J24576" s="770"/>
    </row>
    <row r="24577" spans="8:10" x14ac:dyDescent="0.35">
      <c r="H24577" s="676"/>
      <c r="I24577" s="676"/>
      <c r="J24577" s="770"/>
    </row>
    <row r="24578" spans="8:10" x14ac:dyDescent="0.35">
      <c r="H24578" s="676"/>
      <c r="I24578" s="676"/>
      <c r="J24578" s="770"/>
    </row>
    <row r="24579" spans="8:10" x14ac:dyDescent="0.35">
      <c r="H24579" s="676"/>
      <c r="I24579" s="676"/>
      <c r="J24579" s="770"/>
    </row>
    <row r="24580" spans="8:10" x14ac:dyDescent="0.35">
      <c r="H24580" s="676"/>
      <c r="I24580" s="676"/>
      <c r="J24580" s="770"/>
    </row>
    <row r="24581" spans="8:10" x14ac:dyDescent="0.35">
      <c r="H24581" s="676"/>
      <c r="I24581" s="676"/>
      <c r="J24581" s="770"/>
    </row>
    <row r="24582" spans="8:10" x14ac:dyDescent="0.35">
      <c r="H24582" s="676"/>
      <c r="I24582" s="676"/>
      <c r="J24582" s="770"/>
    </row>
    <row r="24583" spans="8:10" x14ac:dyDescent="0.35">
      <c r="H24583" s="676"/>
      <c r="I24583" s="676"/>
      <c r="J24583" s="770"/>
    </row>
    <row r="24584" spans="8:10" x14ac:dyDescent="0.35">
      <c r="H24584" s="676"/>
      <c r="I24584" s="676"/>
      <c r="J24584" s="770"/>
    </row>
    <row r="24585" spans="8:10" x14ac:dyDescent="0.35">
      <c r="H24585" s="676"/>
      <c r="I24585" s="676"/>
      <c r="J24585" s="770"/>
    </row>
    <row r="24586" spans="8:10" x14ac:dyDescent="0.35">
      <c r="H24586" s="676"/>
      <c r="I24586" s="676"/>
      <c r="J24586" s="770"/>
    </row>
    <row r="24587" spans="8:10" x14ac:dyDescent="0.35">
      <c r="H24587" s="676"/>
      <c r="I24587" s="676"/>
      <c r="J24587" s="770"/>
    </row>
    <row r="24588" spans="8:10" x14ac:dyDescent="0.35">
      <c r="H24588" s="676"/>
      <c r="I24588" s="676"/>
      <c r="J24588" s="770"/>
    </row>
    <row r="24589" spans="8:10" x14ac:dyDescent="0.35">
      <c r="H24589" s="676"/>
      <c r="I24589" s="676"/>
      <c r="J24589" s="770"/>
    </row>
    <row r="24590" spans="8:10" x14ac:dyDescent="0.35">
      <c r="H24590" s="676"/>
      <c r="I24590" s="676"/>
      <c r="J24590" s="770"/>
    </row>
    <row r="24591" spans="8:10" x14ac:dyDescent="0.35">
      <c r="H24591" s="676"/>
      <c r="I24591" s="676"/>
      <c r="J24591" s="770"/>
    </row>
    <row r="24592" spans="8:10" x14ac:dyDescent="0.35">
      <c r="H24592" s="676"/>
      <c r="I24592" s="676"/>
      <c r="J24592" s="770"/>
    </row>
    <row r="24593" spans="8:10" x14ac:dyDescent="0.35">
      <c r="H24593" s="676"/>
      <c r="I24593" s="676"/>
      <c r="J24593" s="770"/>
    </row>
    <row r="24594" spans="8:10" x14ac:dyDescent="0.35">
      <c r="H24594" s="676"/>
      <c r="I24594" s="676"/>
      <c r="J24594" s="770"/>
    </row>
    <row r="24595" spans="8:10" x14ac:dyDescent="0.35">
      <c r="H24595" s="676"/>
      <c r="I24595" s="676"/>
      <c r="J24595" s="770"/>
    </row>
    <row r="24596" spans="8:10" x14ac:dyDescent="0.35">
      <c r="H24596" s="676"/>
      <c r="I24596" s="676"/>
      <c r="J24596" s="770"/>
    </row>
    <row r="24597" spans="8:10" x14ac:dyDescent="0.35">
      <c r="H24597" s="676"/>
      <c r="I24597" s="676"/>
      <c r="J24597" s="770"/>
    </row>
    <row r="24598" spans="8:10" x14ac:dyDescent="0.35">
      <c r="H24598" s="676"/>
      <c r="I24598" s="676"/>
      <c r="J24598" s="770"/>
    </row>
    <row r="24599" spans="8:10" x14ac:dyDescent="0.35">
      <c r="H24599" s="676"/>
      <c r="I24599" s="676"/>
      <c r="J24599" s="770"/>
    </row>
    <row r="24600" spans="8:10" x14ac:dyDescent="0.35">
      <c r="H24600" s="676"/>
      <c r="I24600" s="676"/>
      <c r="J24600" s="770"/>
    </row>
    <row r="24601" spans="8:10" x14ac:dyDescent="0.35">
      <c r="H24601" s="676"/>
      <c r="I24601" s="676"/>
      <c r="J24601" s="770"/>
    </row>
    <row r="24602" spans="8:10" x14ac:dyDescent="0.35">
      <c r="H24602" s="676"/>
      <c r="I24602" s="676"/>
      <c r="J24602" s="770"/>
    </row>
    <row r="24603" spans="8:10" x14ac:dyDescent="0.35">
      <c r="H24603" s="676"/>
      <c r="I24603" s="676"/>
      <c r="J24603" s="770"/>
    </row>
    <row r="24604" spans="8:10" x14ac:dyDescent="0.35">
      <c r="H24604" s="676"/>
      <c r="I24604" s="676"/>
      <c r="J24604" s="770"/>
    </row>
    <row r="24605" spans="8:10" x14ac:dyDescent="0.35">
      <c r="H24605" s="676"/>
      <c r="I24605" s="676"/>
      <c r="J24605" s="770"/>
    </row>
    <row r="24606" spans="8:10" x14ac:dyDescent="0.35">
      <c r="H24606" s="676"/>
      <c r="I24606" s="676"/>
      <c r="J24606" s="770"/>
    </row>
    <row r="24607" spans="8:10" x14ac:dyDescent="0.35">
      <c r="H24607" s="676"/>
      <c r="I24607" s="676"/>
      <c r="J24607" s="770"/>
    </row>
    <row r="24608" spans="8:10" x14ac:dyDescent="0.35">
      <c r="H24608" s="676"/>
      <c r="I24608" s="676"/>
      <c r="J24608" s="770"/>
    </row>
    <row r="24609" spans="8:10" x14ac:dyDescent="0.35">
      <c r="H24609" s="676"/>
      <c r="I24609" s="676"/>
      <c r="J24609" s="770"/>
    </row>
    <row r="24610" spans="8:10" x14ac:dyDescent="0.35">
      <c r="H24610" s="676"/>
      <c r="I24610" s="676"/>
      <c r="J24610" s="770"/>
    </row>
    <row r="24611" spans="8:10" x14ac:dyDescent="0.35">
      <c r="H24611" s="676"/>
      <c r="I24611" s="676"/>
      <c r="J24611" s="770"/>
    </row>
    <row r="24612" spans="8:10" x14ac:dyDescent="0.35">
      <c r="H24612" s="676"/>
      <c r="I24612" s="676"/>
      <c r="J24612" s="770"/>
    </row>
    <row r="24613" spans="8:10" x14ac:dyDescent="0.35">
      <c r="H24613" s="676"/>
      <c r="I24613" s="676"/>
      <c r="J24613" s="770"/>
    </row>
    <row r="24614" spans="8:10" x14ac:dyDescent="0.35">
      <c r="H24614" s="676"/>
      <c r="I24614" s="676"/>
      <c r="J24614" s="770"/>
    </row>
    <row r="24615" spans="8:10" x14ac:dyDescent="0.35">
      <c r="H24615" s="676"/>
      <c r="I24615" s="676"/>
      <c r="J24615" s="770"/>
    </row>
    <row r="24616" spans="8:10" x14ac:dyDescent="0.35">
      <c r="H24616" s="676"/>
      <c r="I24616" s="676"/>
      <c r="J24616" s="770"/>
    </row>
    <row r="24617" spans="8:10" x14ac:dyDescent="0.35">
      <c r="H24617" s="676"/>
      <c r="I24617" s="676"/>
      <c r="J24617" s="770"/>
    </row>
    <row r="24618" spans="8:10" x14ac:dyDescent="0.35">
      <c r="H24618" s="676"/>
      <c r="I24618" s="676"/>
      <c r="J24618" s="770"/>
    </row>
    <row r="24619" spans="8:10" x14ac:dyDescent="0.35">
      <c r="H24619" s="676"/>
      <c r="I24619" s="676"/>
      <c r="J24619" s="770"/>
    </row>
    <row r="24620" spans="8:10" x14ac:dyDescent="0.35">
      <c r="H24620" s="676"/>
      <c r="I24620" s="676"/>
      <c r="J24620" s="770"/>
    </row>
    <row r="24621" spans="8:10" x14ac:dyDescent="0.35">
      <c r="H24621" s="676"/>
      <c r="I24621" s="676"/>
      <c r="J24621" s="770"/>
    </row>
    <row r="24622" spans="8:10" x14ac:dyDescent="0.35">
      <c r="H24622" s="676"/>
      <c r="I24622" s="676"/>
      <c r="J24622" s="770"/>
    </row>
    <row r="24623" spans="8:10" x14ac:dyDescent="0.35">
      <c r="H24623" s="676"/>
      <c r="I24623" s="676"/>
      <c r="J24623" s="770"/>
    </row>
    <row r="24624" spans="8:10" x14ac:dyDescent="0.35">
      <c r="H24624" s="676"/>
      <c r="I24624" s="676"/>
      <c r="J24624" s="770"/>
    </row>
    <row r="24625" spans="8:10" x14ac:dyDescent="0.35">
      <c r="H24625" s="676"/>
      <c r="I24625" s="676"/>
      <c r="J24625" s="770"/>
    </row>
    <row r="24626" spans="8:10" x14ac:dyDescent="0.35">
      <c r="H24626" s="676"/>
      <c r="I24626" s="676"/>
      <c r="J24626" s="770"/>
    </row>
    <row r="24627" spans="8:10" x14ac:dyDescent="0.35">
      <c r="H24627" s="676"/>
      <c r="I24627" s="676"/>
      <c r="J24627" s="770"/>
    </row>
    <row r="24628" spans="8:10" x14ac:dyDescent="0.35">
      <c r="H24628" s="676"/>
      <c r="I24628" s="676"/>
      <c r="J24628" s="770"/>
    </row>
    <row r="24629" spans="8:10" x14ac:dyDescent="0.35">
      <c r="H24629" s="676"/>
      <c r="I24629" s="676"/>
      <c r="J24629" s="770"/>
    </row>
    <row r="24630" spans="8:10" x14ac:dyDescent="0.35">
      <c r="H24630" s="676"/>
      <c r="I24630" s="676"/>
      <c r="J24630" s="770"/>
    </row>
    <row r="24631" spans="8:10" x14ac:dyDescent="0.35">
      <c r="H24631" s="676"/>
      <c r="I24631" s="676"/>
      <c r="J24631" s="770"/>
    </row>
    <row r="24632" spans="8:10" x14ac:dyDescent="0.35">
      <c r="H24632" s="676"/>
      <c r="I24632" s="676"/>
      <c r="J24632" s="770"/>
    </row>
    <row r="24633" spans="8:10" x14ac:dyDescent="0.35">
      <c r="H24633" s="676"/>
      <c r="I24633" s="676"/>
      <c r="J24633" s="770"/>
    </row>
    <row r="24634" spans="8:10" x14ac:dyDescent="0.35">
      <c r="H24634" s="676"/>
      <c r="I24634" s="676"/>
      <c r="J24634" s="770"/>
    </row>
    <row r="24635" spans="8:10" x14ac:dyDescent="0.35">
      <c r="H24635" s="676"/>
      <c r="I24635" s="676"/>
      <c r="J24635" s="770"/>
    </row>
    <row r="24636" spans="8:10" x14ac:dyDescent="0.35">
      <c r="H24636" s="676"/>
      <c r="I24636" s="676"/>
      <c r="J24636" s="770"/>
    </row>
    <row r="24637" spans="8:10" x14ac:dyDescent="0.35">
      <c r="H24637" s="676"/>
      <c r="I24637" s="676"/>
      <c r="J24637" s="770"/>
    </row>
    <row r="24638" spans="8:10" x14ac:dyDescent="0.35">
      <c r="H24638" s="676"/>
      <c r="I24638" s="676"/>
      <c r="J24638" s="770"/>
    </row>
    <row r="24639" spans="8:10" x14ac:dyDescent="0.35">
      <c r="H24639" s="676"/>
      <c r="I24639" s="676"/>
      <c r="J24639" s="770"/>
    </row>
    <row r="24640" spans="8:10" x14ac:dyDescent="0.35">
      <c r="H24640" s="676"/>
      <c r="I24640" s="676"/>
      <c r="J24640" s="770"/>
    </row>
    <row r="24641" spans="8:10" x14ac:dyDescent="0.35">
      <c r="H24641" s="676"/>
      <c r="I24641" s="676"/>
      <c r="J24641" s="770"/>
    </row>
    <row r="24642" spans="8:10" x14ac:dyDescent="0.35">
      <c r="H24642" s="676"/>
      <c r="I24642" s="676"/>
      <c r="J24642" s="770"/>
    </row>
    <row r="24643" spans="8:10" x14ac:dyDescent="0.35">
      <c r="H24643" s="676"/>
      <c r="I24643" s="676"/>
      <c r="J24643" s="770"/>
    </row>
    <row r="24644" spans="8:10" x14ac:dyDescent="0.35">
      <c r="H24644" s="676"/>
      <c r="I24644" s="676"/>
      <c r="J24644" s="770"/>
    </row>
    <row r="24645" spans="8:10" x14ac:dyDescent="0.35">
      <c r="H24645" s="676"/>
      <c r="I24645" s="676"/>
      <c r="J24645" s="770"/>
    </row>
    <row r="24646" spans="8:10" x14ac:dyDescent="0.35">
      <c r="H24646" s="676"/>
      <c r="I24646" s="676"/>
      <c r="J24646" s="770"/>
    </row>
    <row r="24647" spans="8:10" x14ac:dyDescent="0.35">
      <c r="H24647" s="676"/>
      <c r="I24647" s="676"/>
      <c r="J24647" s="770"/>
    </row>
    <row r="24648" spans="8:10" x14ac:dyDescent="0.35">
      <c r="H24648" s="676"/>
      <c r="I24648" s="676"/>
      <c r="J24648" s="770"/>
    </row>
    <row r="24649" spans="8:10" x14ac:dyDescent="0.35">
      <c r="H24649" s="676"/>
      <c r="I24649" s="676"/>
      <c r="J24649" s="770"/>
    </row>
    <row r="24650" spans="8:10" x14ac:dyDescent="0.35">
      <c r="H24650" s="676"/>
      <c r="I24650" s="676"/>
      <c r="J24650" s="770"/>
    </row>
    <row r="24651" spans="8:10" x14ac:dyDescent="0.35">
      <c r="H24651" s="676"/>
      <c r="I24651" s="676"/>
      <c r="J24651" s="770"/>
    </row>
    <row r="24652" spans="8:10" x14ac:dyDescent="0.35">
      <c r="H24652" s="676"/>
      <c r="I24652" s="676"/>
      <c r="J24652" s="770"/>
    </row>
    <row r="24653" spans="8:10" x14ac:dyDescent="0.35">
      <c r="H24653" s="676"/>
      <c r="I24653" s="676"/>
      <c r="J24653" s="770"/>
    </row>
    <row r="24654" spans="8:10" x14ac:dyDescent="0.35">
      <c r="H24654" s="676"/>
      <c r="I24654" s="676"/>
      <c r="J24654" s="770"/>
    </row>
    <row r="24655" spans="8:10" x14ac:dyDescent="0.35">
      <c r="H24655" s="676"/>
      <c r="I24655" s="676"/>
      <c r="J24655" s="770"/>
    </row>
    <row r="24656" spans="8:10" x14ac:dyDescent="0.35">
      <c r="H24656" s="676"/>
      <c r="I24656" s="676"/>
      <c r="J24656" s="770"/>
    </row>
    <row r="24657" spans="8:10" x14ac:dyDescent="0.35">
      <c r="H24657" s="676"/>
      <c r="I24657" s="676"/>
      <c r="J24657" s="770"/>
    </row>
    <row r="24658" spans="8:10" x14ac:dyDescent="0.35">
      <c r="H24658" s="676"/>
      <c r="I24658" s="676"/>
      <c r="J24658" s="770"/>
    </row>
    <row r="24659" spans="8:10" x14ac:dyDescent="0.35">
      <c r="H24659" s="676"/>
      <c r="I24659" s="676"/>
      <c r="J24659" s="770"/>
    </row>
    <row r="24660" spans="8:10" x14ac:dyDescent="0.35">
      <c r="H24660" s="676"/>
      <c r="I24660" s="676"/>
      <c r="J24660" s="770"/>
    </row>
    <row r="24661" spans="8:10" x14ac:dyDescent="0.35">
      <c r="H24661" s="676"/>
      <c r="I24661" s="676"/>
      <c r="J24661" s="770"/>
    </row>
    <row r="24662" spans="8:10" x14ac:dyDescent="0.35">
      <c r="H24662" s="676"/>
      <c r="I24662" s="676"/>
      <c r="J24662" s="770"/>
    </row>
    <row r="24663" spans="8:10" x14ac:dyDescent="0.35">
      <c r="H24663" s="676"/>
      <c r="I24663" s="676"/>
      <c r="J24663" s="770"/>
    </row>
    <row r="24664" spans="8:10" x14ac:dyDescent="0.35">
      <c r="H24664" s="676"/>
      <c r="I24664" s="676"/>
      <c r="J24664" s="770"/>
    </row>
    <row r="24665" spans="8:10" x14ac:dyDescent="0.35">
      <c r="H24665" s="676"/>
      <c r="I24665" s="676"/>
      <c r="J24665" s="770"/>
    </row>
    <row r="24666" spans="8:10" x14ac:dyDescent="0.35">
      <c r="H24666" s="676"/>
      <c r="I24666" s="676"/>
      <c r="J24666" s="770"/>
    </row>
    <row r="24667" spans="8:10" x14ac:dyDescent="0.35">
      <c r="H24667" s="676"/>
      <c r="I24667" s="676"/>
      <c r="J24667" s="770"/>
    </row>
    <row r="24668" spans="8:10" x14ac:dyDescent="0.35">
      <c r="H24668" s="676"/>
      <c r="I24668" s="676"/>
      <c r="J24668" s="770"/>
    </row>
    <row r="24669" spans="8:10" x14ac:dyDescent="0.35">
      <c r="H24669" s="676"/>
      <c r="I24669" s="676"/>
      <c r="J24669" s="770"/>
    </row>
    <row r="24670" spans="8:10" x14ac:dyDescent="0.35">
      <c r="H24670" s="676"/>
      <c r="I24670" s="676"/>
      <c r="J24670" s="770"/>
    </row>
    <row r="24671" spans="8:10" x14ac:dyDescent="0.35">
      <c r="H24671" s="676"/>
      <c r="I24671" s="676"/>
      <c r="J24671" s="770"/>
    </row>
    <row r="24672" spans="8:10" x14ac:dyDescent="0.35">
      <c r="H24672" s="676"/>
      <c r="I24672" s="676"/>
      <c r="J24672" s="770"/>
    </row>
    <row r="24673" spans="8:10" x14ac:dyDescent="0.35">
      <c r="H24673" s="676"/>
      <c r="I24673" s="676"/>
      <c r="J24673" s="770"/>
    </row>
    <row r="24674" spans="8:10" x14ac:dyDescent="0.35">
      <c r="H24674" s="676"/>
      <c r="I24674" s="676"/>
      <c r="J24674" s="770"/>
    </row>
    <row r="24675" spans="8:10" x14ac:dyDescent="0.35">
      <c r="H24675" s="676"/>
      <c r="I24675" s="676"/>
      <c r="J24675" s="770"/>
    </row>
    <row r="24676" spans="8:10" x14ac:dyDescent="0.35">
      <c r="H24676" s="676"/>
      <c r="I24676" s="676"/>
      <c r="J24676" s="770"/>
    </row>
    <row r="24677" spans="8:10" x14ac:dyDescent="0.35">
      <c r="H24677" s="676"/>
      <c r="I24677" s="676"/>
      <c r="J24677" s="770"/>
    </row>
    <row r="24678" spans="8:10" x14ac:dyDescent="0.35">
      <c r="H24678" s="676"/>
      <c r="I24678" s="676"/>
      <c r="J24678" s="770"/>
    </row>
    <row r="24679" spans="8:10" x14ac:dyDescent="0.35">
      <c r="H24679" s="676"/>
      <c r="I24679" s="676"/>
      <c r="J24679" s="770"/>
    </row>
    <row r="24680" spans="8:10" x14ac:dyDescent="0.35">
      <c r="H24680" s="676"/>
      <c r="I24680" s="676"/>
      <c r="J24680" s="770"/>
    </row>
    <row r="24681" spans="8:10" x14ac:dyDescent="0.35">
      <c r="H24681" s="676"/>
      <c r="I24681" s="676"/>
      <c r="J24681" s="770"/>
    </row>
    <row r="24682" spans="8:10" x14ac:dyDescent="0.35">
      <c r="H24682" s="676"/>
      <c r="I24682" s="676"/>
      <c r="J24682" s="770"/>
    </row>
    <row r="24683" spans="8:10" x14ac:dyDescent="0.35">
      <c r="H24683" s="676"/>
      <c r="I24683" s="676"/>
      <c r="J24683" s="770"/>
    </row>
    <row r="24684" spans="8:10" x14ac:dyDescent="0.35">
      <c r="H24684" s="676"/>
      <c r="I24684" s="676"/>
      <c r="J24684" s="770"/>
    </row>
    <row r="24685" spans="8:10" x14ac:dyDescent="0.35">
      <c r="H24685" s="676"/>
      <c r="I24685" s="676"/>
      <c r="J24685" s="770"/>
    </row>
    <row r="24686" spans="8:10" x14ac:dyDescent="0.35">
      <c r="H24686" s="676"/>
      <c r="I24686" s="676"/>
      <c r="J24686" s="770"/>
    </row>
    <row r="24687" spans="8:10" x14ac:dyDescent="0.35">
      <c r="H24687" s="676"/>
      <c r="I24687" s="676"/>
      <c r="J24687" s="770"/>
    </row>
    <row r="24688" spans="8:10" x14ac:dyDescent="0.35">
      <c r="H24688" s="676"/>
      <c r="I24688" s="676"/>
      <c r="J24688" s="770"/>
    </row>
    <row r="24689" spans="8:10" x14ac:dyDescent="0.35">
      <c r="H24689" s="676"/>
      <c r="I24689" s="676"/>
      <c r="J24689" s="770"/>
    </row>
    <row r="24690" spans="8:10" x14ac:dyDescent="0.35">
      <c r="H24690" s="676"/>
      <c r="I24690" s="676"/>
      <c r="J24690" s="770"/>
    </row>
    <row r="24691" spans="8:10" x14ac:dyDescent="0.35">
      <c r="H24691" s="676"/>
      <c r="I24691" s="676"/>
      <c r="J24691" s="770"/>
    </row>
    <row r="24692" spans="8:10" x14ac:dyDescent="0.35">
      <c r="H24692" s="676"/>
      <c r="I24692" s="676"/>
      <c r="J24692" s="770"/>
    </row>
    <row r="24693" spans="8:10" x14ac:dyDescent="0.35">
      <c r="H24693" s="676"/>
      <c r="I24693" s="676"/>
      <c r="J24693" s="770"/>
    </row>
    <row r="24694" spans="8:10" x14ac:dyDescent="0.35">
      <c r="H24694" s="676"/>
      <c r="I24694" s="676"/>
      <c r="J24694" s="770"/>
    </row>
    <row r="24695" spans="8:10" x14ac:dyDescent="0.35">
      <c r="H24695" s="676"/>
      <c r="I24695" s="676"/>
      <c r="J24695" s="770"/>
    </row>
    <row r="24696" spans="8:10" x14ac:dyDescent="0.35">
      <c r="H24696" s="676"/>
      <c r="I24696" s="676"/>
      <c r="J24696" s="770"/>
    </row>
    <row r="24697" spans="8:10" x14ac:dyDescent="0.35">
      <c r="H24697" s="676"/>
      <c r="I24697" s="676"/>
      <c r="J24697" s="770"/>
    </row>
    <row r="24698" spans="8:10" x14ac:dyDescent="0.35">
      <c r="H24698" s="676"/>
      <c r="I24698" s="676"/>
      <c r="J24698" s="770"/>
    </row>
    <row r="24699" spans="8:10" x14ac:dyDescent="0.35">
      <c r="H24699" s="676"/>
      <c r="I24699" s="676"/>
      <c r="J24699" s="770"/>
    </row>
    <row r="24700" spans="8:10" x14ac:dyDescent="0.35">
      <c r="H24700" s="676"/>
      <c r="I24700" s="676"/>
      <c r="J24700" s="770"/>
    </row>
    <row r="24701" spans="8:10" x14ac:dyDescent="0.35">
      <c r="H24701" s="676"/>
      <c r="I24701" s="676"/>
      <c r="J24701" s="770"/>
    </row>
    <row r="24702" spans="8:10" x14ac:dyDescent="0.35">
      <c r="H24702" s="676"/>
      <c r="I24702" s="676"/>
      <c r="J24702" s="770"/>
    </row>
    <row r="24703" spans="8:10" x14ac:dyDescent="0.35">
      <c r="H24703" s="676"/>
      <c r="I24703" s="676"/>
      <c r="J24703" s="770"/>
    </row>
    <row r="24704" spans="8:10" x14ac:dyDescent="0.35">
      <c r="H24704" s="676"/>
      <c r="I24704" s="676"/>
      <c r="J24704" s="770"/>
    </row>
    <row r="24705" spans="8:10" x14ac:dyDescent="0.35">
      <c r="H24705" s="676"/>
      <c r="I24705" s="676"/>
      <c r="J24705" s="770"/>
    </row>
    <row r="24706" spans="8:10" x14ac:dyDescent="0.35">
      <c r="H24706" s="676"/>
      <c r="I24706" s="676"/>
      <c r="J24706" s="770"/>
    </row>
    <row r="24707" spans="8:10" x14ac:dyDescent="0.35">
      <c r="H24707" s="676"/>
      <c r="I24707" s="676"/>
      <c r="J24707" s="770"/>
    </row>
    <row r="24708" spans="8:10" x14ac:dyDescent="0.35">
      <c r="H24708" s="676"/>
      <c r="I24708" s="676"/>
      <c r="J24708" s="770"/>
    </row>
    <row r="24709" spans="8:10" x14ac:dyDescent="0.35">
      <c r="H24709" s="676"/>
      <c r="I24709" s="676"/>
      <c r="J24709" s="770"/>
    </row>
    <row r="24710" spans="8:10" x14ac:dyDescent="0.35">
      <c r="H24710" s="676"/>
      <c r="I24710" s="676"/>
      <c r="J24710" s="770"/>
    </row>
    <row r="24711" spans="8:10" x14ac:dyDescent="0.35">
      <c r="H24711" s="676"/>
      <c r="I24711" s="676"/>
      <c r="J24711" s="770"/>
    </row>
    <row r="24712" spans="8:10" x14ac:dyDescent="0.35">
      <c r="H24712" s="676"/>
      <c r="I24712" s="676"/>
      <c r="J24712" s="770"/>
    </row>
    <row r="24713" spans="8:10" x14ac:dyDescent="0.35">
      <c r="H24713" s="676"/>
      <c r="I24713" s="676"/>
      <c r="J24713" s="770"/>
    </row>
    <row r="24714" spans="8:10" x14ac:dyDescent="0.35">
      <c r="H24714" s="676"/>
      <c r="I24714" s="676"/>
      <c r="J24714" s="770"/>
    </row>
    <row r="24715" spans="8:10" x14ac:dyDescent="0.35">
      <c r="H24715" s="676"/>
      <c r="I24715" s="676"/>
      <c r="J24715" s="770"/>
    </row>
    <row r="24716" spans="8:10" x14ac:dyDescent="0.35">
      <c r="H24716" s="676"/>
      <c r="I24716" s="676"/>
      <c r="J24716" s="770"/>
    </row>
    <row r="24717" spans="8:10" x14ac:dyDescent="0.35">
      <c r="H24717" s="676"/>
      <c r="I24717" s="676"/>
      <c r="J24717" s="770"/>
    </row>
    <row r="24718" spans="8:10" x14ac:dyDescent="0.35">
      <c r="H24718" s="676"/>
      <c r="I24718" s="676"/>
      <c r="J24718" s="770"/>
    </row>
    <row r="24719" spans="8:10" x14ac:dyDescent="0.35">
      <c r="H24719" s="676"/>
      <c r="I24719" s="676"/>
      <c r="J24719" s="770"/>
    </row>
    <row r="24720" spans="8:10" x14ac:dyDescent="0.35">
      <c r="H24720" s="676"/>
      <c r="I24720" s="676"/>
      <c r="J24720" s="770"/>
    </row>
    <row r="24721" spans="8:10" x14ac:dyDescent="0.35">
      <c r="H24721" s="676"/>
      <c r="I24721" s="676"/>
      <c r="J24721" s="770"/>
    </row>
    <row r="24722" spans="8:10" x14ac:dyDescent="0.35">
      <c r="H24722" s="676"/>
      <c r="I24722" s="676"/>
      <c r="J24722" s="770"/>
    </row>
    <row r="24723" spans="8:10" x14ac:dyDescent="0.35">
      <c r="H24723" s="676"/>
      <c r="I24723" s="676"/>
      <c r="J24723" s="770"/>
    </row>
    <row r="24724" spans="8:10" x14ac:dyDescent="0.35">
      <c r="H24724" s="676"/>
      <c r="I24724" s="676"/>
      <c r="J24724" s="770"/>
    </row>
    <row r="24725" spans="8:10" x14ac:dyDescent="0.35">
      <c r="H24725" s="676"/>
      <c r="I24725" s="676"/>
      <c r="J24725" s="770"/>
    </row>
    <row r="24726" spans="8:10" x14ac:dyDescent="0.35">
      <c r="H24726" s="676"/>
      <c r="I24726" s="676"/>
      <c r="J24726" s="770"/>
    </row>
    <row r="24727" spans="8:10" x14ac:dyDescent="0.35">
      <c r="H24727" s="676"/>
      <c r="I24727" s="676"/>
      <c r="J24727" s="770"/>
    </row>
    <row r="24728" spans="8:10" x14ac:dyDescent="0.35">
      <c r="H24728" s="676"/>
      <c r="I24728" s="676"/>
      <c r="J24728" s="770"/>
    </row>
    <row r="24729" spans="8:10" x14ac:dyDescent="0.35">
      <c r="H24729" s="676"/>
      <c r="I24729" s="676"/>
      <c r="J24729" s="770"/>
    </row>
    <row r="24730" spans="8:10" x14ac:dyDescent="0.35">
      <c r="H24730" s="676"/>
      <c r="I24730" s="676"/>
      <c r="J24730" s="770"/>
    </row>
    <row r="24731" spans="8:10" x14ac:dyDescent="0.35">
      <c r="H24731" s="676"/>
      <c r="I24731" s="676"/>
      <c r="J24731" s="770"/>
    </row>
    <row r="24732" spans="8:10" x14ac:dyDescent="0.35">
      <c r="H24732" s="676"/>
      <c r="I24732" s="676"/>
      <c r="J24732" s="770"/>
    </row>
    <row r="24733" spans="8:10" x14ac:dyDescent="0.35">
      <c r="H24733" s="676"/>
      <c r="I24733" s="676"/>
      <c r="J24733" s="770"/>
    </row>
    <row r="24734" spans="8:10" x14ac:dyDescent="0.35">
      <c r="H24734" s="676"/>
      <c r="I24734" s="676"/>
      <c r="J24734" s="770"/>
    </row>
    <row r="24735" spans="8:10" x14ac:dyDescent="0.35">
      <c r="H24735" s="676"/>
      <c r="I24735" s="676"/>
      <c r="J24735" s="770"/>
    </row>
    <row r="24736" spans="8:10" x14ac:dyDescent="0.35">
      <c r="H24736" s="676"/>
      <c r="I24736" s="676"/>
      <c r="J24736" s="770"/>
    </row>
    <row r="24737" spans="8:10" x14ac:dyDescent="0.35">
      <c r="H24737" s="676"/>
      <c r="I24737" s="676"/>
      <c r="J24737" s="770"/>
    </row>
    <row r="24738" spans="8:10" x14ac:dyDescent="0.35">
      <c r="H24738" s="676"/>
      <c r="I24738" s="676"/>
      <c r="J24738" s="770"/>
    </row>
    <row r="24739" spans="8:10" x14ac:dyDescent="0.35">
      <c r="H24739" s="676"/>
      <c r="I24739" s="676"/>
      <c r="J24739" s="770"/>
    </row>
    <row r="24740" spans="8:10" x14ac:dyDescent="0.35">
      <c r="H24740" s="676"/>
      <c r="I24740" s="676"/>
      <c r="J24740" s="770"/>
    </row>
    <row r="24741" spans="8:10" x14ac:dyDescent="0.35">
      <c r="H24741" s="676"/>
      <c r="I24741" s="676"/>
      <c r="J24741" s="770"/>
    </row>
    <row r="24742" spans="8:10" x14ac:dyDescent="0.35">
      <c r="H24742" s="676"/>
      <c r="I24742" s="676"/>
      <c r="J24742" s="770"/>
    </row>
    <row r="24743" spans="8:10" x14ac:dyDescent="0.35">
      <c r="H24743" s="676"/>
      <c r="I24743" s="676"/>
      <c r="J24743" s="770"/>
    </row>
    <row r="24744" spans="8:10" x14ac:dyDescent="0.35">
      <c r="H24744" s="676"/>
      <c r="I24744" s="676"/>
      <c r="J24744" s="770"/>
    </row>
    <row r="24745" spans="8:10" x14ac:dyDescent="0.35">
      <c r="H24745" s="676"/>
      <c r="I24745" s="676"/>
      <c r="J24745" s="770"/>
    </row>
    <row r="24746" spans="8:10" x14ac:dyDescent="0.35">
      <c r="H24746" s="676"/>
      <c r="I24746" s="676"/>
      <c r="J24746" s="770"/>
    </row>
    <row r="24747" spans="8:10" x14ac:dyDescent="0.35">
      <c r="H24747" s="676"/>
      <c r="I24747" s="676"/>
      <c r="J24747" s="770"/>
    </row>
    <row r="24748" spans="8:10" x14ac:dyDescent="0.35">
      <c r="H24748" s="676"/>
      <c r="I24748" s="676"/>
      <c r="J24748" s="770"/>
    </row>
    <row r="24749" spans="8:10" x14ac:dyDescent="0.35">
      <c r="H24749" s="676"/>
      <c r="I24749" s="676"/>
      <c r="J24749" s="770"/>
    </row>
    <row r="24750" spans="8:10" x14ac:dyDescent="0.35">
      <c r="H24750" s="676"/>
      <c r="I24750" s="676"/>
      <c r="J24750" s="770"/>
    </row>
    <row r="24751" spans="8:10" x14ac:dyDescent="0.35">
      <c r="H24751" s="676"/>
      <c r="I24751" s="676"/>
      <c r="J24751" s="770"/>
    </row>
    <row r="24752" spans="8:10" x14ac:dyDescent="0.35">
      <c r="H24752" s="676"/>
      <c r="I24752" s="676"/>
      <c r="J24752" s="770"/>
    </row>
    <row r="24753" spans="8:10" x14ac:dyDescent="0.35">
      <c r="H24753" s="676"/>
      <c r="I24753" s="676"/>
      <c r="J24753" s="770"/>
    </row>
    <row r="24754" spans="8:10" x14ac:dyDescent="0.35">
      <c r="H24754" s="676"/>
      <c r="I24754" s="676"/>
      <c r="J24754" s="770"/>
    </row>
    <row r="24755" spans="8:10" x14ac:dyDescent="0.35">
      <c r="H24755" s="676"/>
      <c r="I24755" s="676"/>
      <c r="J24755" s="770"/>
    </row>
    <row r="24756" spans="8:10" x14ac:dyDescent="0.35">
      <c r="H24756" s="676"/>
      <c r="I24756" s="676"/>
      <c r="J24756" s="770"/>
    </row>
    <row r="24757" spans="8:10" x14ac:dyDescent="0.35">
      <c r="H24757" s="676"/>
      <c r="I24757" s="676"/>
      <c r="J24757" s="770"/>
    </row>
    <row r="24758" spans="8:10" x14ac:dyDescent="0.35">
      <c r="H24758" s="676"/>
      <c r="I24758" s="676"/>
      <c r="J24758" s="770"/>
    </row>
    <row r="24759" spans="8:10" x14ac:dyDescent="0.35">
      <c r="H24759" s="676"/>
      <c r="I24759" s="676"/>
      <c r="J24759" s="770"/>
    </row>
    <row r="24760" spans="8:10" x14ac:dyDescent="0.35">
      <c r="H24760" s="676"/>
      <c r="I24760" s="676"/>
      <c r="J24760" s="770"/>
    </row>
    <row r="24761" spans="8:10" x14ac:dyDescent="0.35">
      <c r="H24761" s="676"/>
      <c r="I24761" s="676"/>
      <c r="J24761" s="770"/>
    </row>
    <row r="24762" spans="8:10" x14ac:dyDescent="0.35">
      <c r="H24762" s="676"/>
      <c r="I24762" s="676"/>
      <c r="J24762" s="770"/>
    </row>
    <row r="24763" spans="8:10" x14ac:dyDescent="0.35">
      <c r="H24763" s="676"/>
      <c r="I24763" s="676"/>
      <c r="J24763" s="770"/>
    </row>
    <row r="24764" spans="8:10" x14ac:dyDescent="0.35">
      <c r="H24764" s="676"/>
      <c r="I24764" s="676"/>
      <c r="J24764" s="770"/>
    </row>
    <row r="24765" spans="8:10" x14ac:dyDescent="0.35">
      <c r="H24765" s="676"/>
      <c r="I24765" s="676"/>
      <c r="J24765" s="770"/>
    </row>
    <row r="24766" spans="8:10" x14ac:dyDescent="0.35">
      <c r="H24766" s="676"/>
      <c r="I24766" s="676"/>
      <c r="J24766" s="770"/>
    </row>
    <row r="24767" spans="8:10" x14ac:dyDescent="0.35">
      <c r="H24767" s="676"/>
      <c r="I24767" s="676"/>
      <c r="J24767" s="770"/>
    </row>
    <row r="24768" spans="8:10" x14ac:dyDescent="0.35">
      <c r="H24768" s="676"/>
      <c r="I24768" s="676"/>
      <c r="J24768" s="770"/>
    </row>
    <row r="24769" spans="8:10" x14ac:dyDescent="0.35">
      <c r="H24769" s="676"/>
      <c r="I24769" s="676"/>
      <c r="J24769" s="770"/>
    </row>
    <row r="24770" spans="8:10" x14ac:dyDescent="0.35">
      <c r="H24770" s="676"/>
      <c r="I24770" s="676"/>
      <c r="J24770" s="770"/>
    </row>
    <row r="24771" spans="8:10" x14ac:dyDescent="0.35">
      <c r="H24771" s="676"/>
      <c r="I24771" s="676"/>
      <c r="J24771" s="770"/>
    </row>
    <row r="24772" spans="8:10" x14ac:dyDescent="0.35">
      <c r="H24772" s="676"/>
      <c r="I24772" s="676"/>
      <c r="J24772" s="770"/>
    </row>
    <row r="24773" spans="8:10" x14ac:dyDescent="0.35">
      <c r="H24773" s="676"/>
      <c r="I24773" s="676"/>
      <c r="J24773" s="770"/>
    </row>
    <row r="24774" spans="8:10" x14ac:dyDescent="0.35">
      <c r="H24774" s="676"/>
      <c r="I24774" s="676"/>
      <c r="J24774" s="770"/>
    </row>
    <row r="24775" spans="8:10" x14ac:dyDescent="0.35">
      <c r="H24775" s="676"/>
      <c r="I24775" s="676"/>
      <c r="J24775" s="770"/>
    </row>
    <row r="24776" spans="8:10" x14ac:dyDescent="0.35">
      <c r="H24776" s="676"/>
      <c r="I24776" s="676"/>
      <c r="J24776" s="770"/>
    </row>
    <row r="24777" spans="8:10" x14ac:dyDescent="0.35">
      <c r="H24777" s="676"/>
      <c r="I24777" s="676"/>
      <c r="J24777" s="770"/>
    </row>
    <row r="24778" spans="8:10" x14ac:dyDescent="0.35">
      <c r="H24778" s="676"/>
      <c r="I24778" s="676"/>
      <c r="J24778" s="770"/>
    </row>
    <row r="24779" spans="8:10" x14ac:dyDescent="0.35">
      <c r="H24779" s="676"/>
      <c r="I24779" s="676"/>
      <c r="J24779" s="770"/>
    </row>
    <row r="24780" spans="8:10" x14ac:dyDescent="0.35">
      <c r="H24780" s="676"/>
      <c r="I24780" s="676"/>
      <c r="J24780" s="770"/>
    </row>
    <row r="24781" spans="8:10" x14ac:dyDescent="0.35">
      <c r="H24781" s="676"/>
      <c r="I24781" s="676"/>
      <c r="J24781" s="770"/>
    </row>
    <row r="24782" spans="8:10" x14ac:dyDescent="0.35">
      <c r="H24782" s="676"/>
      <c r="I24782" s="676"/>
      <c r="J24782" s="770"/>
    </row>
    <row r="24783" spans="8:10" x14ac:dyDescent="0.35">
      <c r="H24783" s="676"/>
      <c r="I24783" s="676"/>
      <c r="J24783" s="770"/>
    </row>
    <row r="24784" spans="8:10" x14ac:dyDescent="0.35">
      <c r="H24784" s="676"/>
      <c r="I24784" s="676"/>
      <c r="J24784" s="770"/>
    </row>
    <row r="24785" spans="8:10" x14ac:dyDescent="0.35">
      <c r="H24785" s="676"/>
      <c r="I24785" s="676"/>
      <c r="J24785" s="770"/>
    </row>
    <row r="24786" spans="8:10" x14ac:dyDescent="0.35">
      <c r="H24786" s="676"/>
      <c r="I24786" s="676"/>
      <c r="J24786" s="770"/>
    </row>
    <row r="24787" spans="8:10" x14ac:dyDescent="0.35">
      <c r="H24787" s="676"/>
      <c r="I24787" s="676"/>
      <c r="J24787" s="770"/>
    </row>
    <row r="24788" spans="8:10" x14ac:dyDescent="0.35">
      <c r="H24788" s="676"/>
      <c r="I24788" s="676"/>
      <c r="J24788" s="770"/>
    </row>
    <row r="24789" spans="8:10" x14ac:dyDescent="0.35">
      <c r="H24789" s="676"/>
      <c r="I24789" s="676"/>
      <c r="J24789" s="770"/>
    </row>
    <row r="24790" spans="8:10" x14ac:dyDescent="0.35">
      <c r="H24790" s="676"/>
      <c r="I24790" s="676"/>
      <c r="J24790" s="770"/>
    </row>
    <row r="24791" spans="8:10" x14ac:dyDescent="0.35">
      <c r="H24791" s="676"/>
      <c r="I24791" s="676"/>
      <c r="J24791" s="770"/>
    </row>
    <row r="24792" spans="8:10" x14ac:dyDescent="0.35">
      <c r="H24792" s="676"/>
      <c r="I24792" s="676"/>
      <c r="J24792" s="770"/>
    </row>
    <row r="24793" spans="8:10" x14ac:dyDescent="0.35">
      <c r="H24793" s="676"/>
      <c r="I24793" s="676"/>
      <c r="J24793" s="770"/>
    </row>
    <row r="24794" spans="8:10" x14ac:dyDescent="0.35">
      <c r="H24794" s="676"/>
      <c r="I24794" s="676"/>
      <c r="J24794" s="770"/>
    </row>
    <row r="24795" spans="8:10" x14ac:dyDescent="0.35">
      <c r="H24795" s="676"/>
      <c r="I24795" s="676"/>
      <c r="J24795" s="770"/>
    </row>
    <row r="24796" spans="8:10" x14ac:dyDescent="0.35">
      <c r="H24796" s="676"/>
      <c r="I24796" s="676"/>
      <c r="J24796" s="770"/>
    </row>
    <row r="24797" spans="8:10" x14ac:dyDescent="0.35">
      <c r="H24797" s="676"/>
      <c r="I24797" s="676"/>
      <c r="J24797" s="770"/>
    </row>
    <row r="24798" spans="8:10" x14ac:dyDescent="0.35">
      <c r="H24798" s="676"/>
      <c r="I24798" s="676"/>
      <c r="J24798" s="770"/>
    </row>
    <row r="24799" spans="8:10" x14ac:dyDescent="0.35">
      <c r="H24799" s="676"/>
      <c r="I24799" s="676"/>
      <c r="J24799" s="770"/>
    </row>
    <row r="24800" spans="8:10" x14ac:dyDescent="0.35">
      <c r="H24800" s="676"/>
      <c r="I24800" s="676"/>
      <c r="J24800" s="770"/>
    </row>
    <row r="24801" spans="8:10" x14ac:dyDescent="0.35">
      <c r="H24801" s="676"/>
      <c r="I24801" s="676"/>
      <c r="J24801" s="770"/>
    </row>
    <row r="24802" spans="8:10" x14ac:dyDescent="0.35">
      <c r="H24802" s="676"/>
      <c r="I24802" s="676"/>
      <c r="J24802" s="770"/>
    </row>
    <row r="24803" spans="8:10" x14ac:dyDescent="0.35">
      <c r="H24803" s="676"/>
      <c r="I24803" s="676"/>
      <c r="J24803" s="770"/>
    </row>
    <row r="24804" spans="8:10" x14ac:dyDescent="0.35">
      <c r="H24804" s="676"/>
      <c r="I24804" s="676"/>
      <c r="J24804" s="770"/>
    </row>
    <row r="24805" spans="8:10" x14ac:dyDescent="0.35">
      <c r="H24805" s="676"/>
      <c r="I24805" s="676"/>
      <c r="J24805" s="770"/>
    </row>
    <row r="24806" spans="8:10" x14ac:dyDescent="0.35">
      <c r="H24806" s="676"/>
      <c r="I24806" s="676"/>
      <c r="J24806" s="770"/>
    </row>
    <row r="24807" spans="8:10" x14ac:dyDescent="0.35">
      <c r="H24807" s="676"/>
      <c r="I24807" s="676"/>
      <c r="J24807" s="770"/>
    </row>
    <row r="24808" spans="8:10" x14ac:dyDescent="0.35">
      <c r="H24808" s="676"/>
      <c r="I24808" s="676"/>
      <c r="J24808" s="770"/>
    </row>
    <row r="24809" spans="8:10" x14ac:dyDescent="0.35">
      <c r="H24809" s="676"/>
      <c r="I24809" s="676"/>
      <c r="J24809" s="770"/>
    </row>
    <row r="24810" spans="8:10" x14ac:dyDescent="0.35">
      <c r="H24810" s="676"/>
      <c r="I24810" s="676"/>
      <c r="J24810" s="770"/>
    </row>
    <row r="24811" spans="8:10" x14ac:dyDescent="0.35">
      <c r="H24811" s="676"/>
      <c r="I24811" s="676"/>
      <c r="J24811" s="770"/>
    </row>
    <row r="24812" spans="8:10" x14ac:dyDescent="0.35">
      <c r="H24812" s="676"/>
      <c r="I24812" s="676"/>
      <c r="J24812" s="770"/>
    </row>
    <row r="24813" spans="8:10" x14ac:dyDescent="0.35">
      <c r="H24813" s="676"/>
      <c r="I24813" s="676"/>
      <c r="J24813" s="770"/>
    </row>
    <row r="24814" spans="8:10" x14ac:dyDescent="0.35">
      <c r="H24814" s="676"/>
      <c r="I24814" s="676"/>
      <c r="J24814" s="770"/>
    </row>
    <row r="24815" spans="8:10" x14ac:dyDescent="0.35">
      <c r="H24815" s="676"/>
      <c r="I24815" s="676"/>
      <c r="J24815" s="770"/>
    </row>
    <row r="24816" spans="8:10" x14ac:dyDescent="0.35">
      <c r="H24816" s="676"/>
      <c r="I24816" s="676"/>
      <c r="J24816" s="770"/>
    </row>
    <row r="24817" spans="8:10" x14ac:dyDescent="0.35">
      <c r="H24817" s="676"/>
      <c r="I24817" s="676"/>
      <c r="J24817" s="770"/>
    </row>
    <row r="24818" spans="8:10" x14ac:dyDescent="0.35">
      <c r="H24818" s="676"/>
      <c r="I24818" s="676"/>
      <c r="J24818" s="770"/>
    </row>
    <row r="24819" spans="8:10" x14ac:dyDescent="0.35">
      <c r="H24819" s="676"/>
      <c r="I24819" s="676"/>
      <c r="J24819" s="770"/>
    </row>
    <row r="24820" spans="8:10" x14ac:dyDescent="0.35">
      <c r="H24820" s="676"/>
      <c r="I24820" s="676"/>
      <c r="J24820" s="770"/>
    </row>
    <row r="24821" spans="8:10" x14ac:dyDescent="0.35">
      <c r="H24821" s="676"/>
      <c r="I24821" s="676"/>
      <c r="J24821" s="770"/>
    </row>
    <row r="24822" spans="8:10" x14ac:dyDescent="0.35">
      <c r="H24822" s="676"/>
      <c r="I24822" s="676"/>
      <c r="J24822" s="770"/>
    </row>
    <row r="24823" spans="8:10" x14ac:dyDescent="0.35">
      <c r="H24823" s="676"/>
      <c r="I24823" s="676"/>
      <c r="J24823" s="770"/>
    </row>
    <row r="24824" spans="8:10" x14ac:dyDescent="0.35">
      <c r="H24824" s="676"/>
      <c r="I24824" s="676"/>
      <c r="J24824" s="770"/>
    </row>
    <row r="24825" spans="8:10" x14ac:dyDescent="0.35">
      <c r="H24825" s="676"/>
      <c r="I24825" s="676"/>
      <c r="J24825" s="770"/>
    </row>
    <row r="24826" spans="8:10" x14ac:dyDescent="0.35">
      <c r="H24826" s="676"/>
      <c r="I24826" s="676"/>
      <c r="J24826" s="770"/>
    </row>
    <row r="24827" spans="8:10" x14ac:dyDescent="0.35">
      <c r="H24827" s="676"/>
      <c r="I24827" s="676"/>
      <c r="J24827" s="770"/>
    </row>
    <row r="24828" spans="8:10" x14ac:dyDescent="0.35">
      <c r="H24828" s="676"/>
      <c r="I24828" s="676"/>
      <c r="J24828" s="770"/>
    </row>
    <row r="24829" spans="8:10" x14ac:dyDescent="0.35">
      <c r="H24829" s="676"/>
      <c r="I24829" s="676"/>
      <c r="J24829" s="770"/>
    </row>
    <row r="24830" spans="8:10" x14ac:dyDescent="0.35">
      <c r="H24830" s="676"/>
      <c r="I24830" s="676"/>
      <c r="J24830" s="770"/>
    </row>
    <row r="24831" spans="8:10" x14ac:dyDescent="0.35">
      <c r="H24831" s="676"/>
      <c r="I24831" s="676"/>
      <c r="J24831" s="770"/>
    </row>
    <row r="24832" spans="8:10" x14ac:dyDescent="0.35">
      <c r="H24832" s="676"/>
      <c r="I24832" s="676"/>
      <c r="J24832" s="770"/>
    </row>
    <row r="24833" spans="8:10" x14ac:dyDescent="0.35">
      <c r="H24833" s="676"/>
      <c r="I24833" s="676"/>
      <c r="J24833" s="770"/>
    </row>
    <row r="24834" spans="8:10" x14ac:dyDescent="0.35">
      <c r="H24834" s="676"/>
      <c r="I24834" s="676"/>
      <c r="J24834" s="770"/>
    </row>
    <row r="24835" spans="8:10" x14ac:dyDescent="0.35">
      <c r="H24835" s="676"/>
      <c r="I24835" s="676"/>
      <c r="J24835" s="770"/>
    </row>
    <row r="24836" spans="8:10" x14ac:dyDescent="0.35">
      <c r="H24836" s="676"/>
      <c r="I24836" s="676"/>
      <c r="J24836" s="770"/>
    </row>
    <row r="24837" spans="8:10" x14ac:dyDescent="0.35">
      <c r="H24837" s="676"/>
      <c r="I24837" s="676"/>
      <c r="J24837" s="770"/>
    </row>
    <row r="24838" spans="8:10" x14ac:dyDescent="0.35">
      <c r="H24838" s="676"/>
      <c r="I24838" s="676"/>
      <c r="J24838" s="770"/>
    </row>
    <row r="24839" spans="8:10" x14ac:dyDescent="0.35">
      <c r="H24839" s="676"/>
      <c r="I24839" s="676"/>
      <c r="J24839" s="770"/>
    </row>
    <row r="24840" spans="8:10" x14ac:dyDescent="0.35">
      <c r="H24840" s="676"/>
      <c r="I24840" s="676"/>
      <c r="J24840" s="770"/>
    </row>
    <row r="24841" spans="8:10" x14ac:dyDescent="0.35">
      <c r="H24841" s="676"/>
      <c r="I24841" s="676"/>
      <c r="J24841" s="770"/>
    </row>
    <row r="24842" spans="8:10" x14ac:dyDescent="0.35">
      <c r="H24842" s="676"/>
      <c r="I24842" s="676"/>
      <c r="J24842" s="770"/>
    </row>
    <row r="24843" spans="8:10" x14ac:dyDescent="0.35">
      <c r="H24843" s="676"/>
      <c r="I24843" s="676"/>
      <c r="J24843" s="770"/>
    </row>
    <row r="24844" spans="8:10" x14ac:dyDescent="0.35">
      <c r="H24844" s="676"/>
      <c r="I24844" s="676"/>
      <c r="J24844" s="770"/>
    </row>
    <row r="24845" spans="8:10" x14ac:dyDescent="0.35">
      <c r="H24845" s="676"/>
      <c r="I24845" s="676"/>
      <c r="J24845" s="770"/>
    </row>
    <row r="24846" spans="8:10" x14ac:dyDescent="0.35">
      <c r="H24846" s="676"/>
      <c r="I24846" s="676"/>
      <c r="J24846" s="770"/>
    </row>
    <row r="24847" spans="8:10" x14ac:dyDescent="0.35">
      <c r="H24847" s="676"/>
      <c r="I24847" s="676"/>
      <c r="J24847" s="770"/>
    </row>
    <row r="24848" spans="8:10" x14ac:dyDescent="0.35">
      <c r="H24848" s="676"/>
      <c r="I24848" s="676"/>
      <c r="J24848" s="770"/>
    </row>
    <row r="24849" spans="8:10" x14ac:dyDescent="0.35">
      <c r="H24849" s="676"/>
      <c r="I24849" s="676"/>
      <c r="J24849" s="770"/>
    </row>
    <row r="24850" spans="8:10" x14ac:dyDescent="0.35">
      <c r="H24850" s="676"/>
      <c r="I24850" s="676"/>
      <c r="J24850" s="770"/>
    </row>
    <row r="24851" spans="8:10" x14ac:dyDescent="0.35">
      <c r="H24851" s="676"/>
      <c r="I24851" s="676"/>
      <c r="J24851" s="770"/>
    </row>
    <row r="24852" spans="8:10" x14ac:dyDescent="0.35">
      <c r="H24852" s="676"/>
      <c r="I24852" s="676"/>
      <c r="J24852" s="770"/>
    </row>
    <row r="24853" spans="8:10" x14ac:dyDescent="0.35">
      <c r="H24853" s="676"/>
      <c r="I24853" s="676"/>
      <c r="J24853" s="770"/>
    </row>
    <row r="24854" spans="8:10" x14ac:dyDescent="0.35">
      <c r="H24854" s="676"/>
      <c r="I24854" s="676"/>
      <c r="J24854" s="770"/>
    </row>
    <row r="24855" spans="8:10" x14ac:dyDescent="0.35">
      <c r="H24855" s="676"/>
      <c r="I24855" s="676"/>
      <c r="J24855" s="770"/>
    </row>
    <row r="24856" spans="8:10" x14ac:dyDescent="0.35">
      <c r="H24856" s="676"/>
      <c r="I24856" s="676"/>
      <c r="J24856" s="770"/>
    </row>
    <row r="24857" spans="8:10" x14ac:dyDescent="0.35">
      <c r="H24857" s="676"/>
      <c r="I24857" s="676"/>
      <c r="J24857" s="770"/>
    </row>
    <row r="24858" spans="8:10" x14ac:dyDescent="0.35">
      <c r="H24858" s="676"/>
      <c r="I24858" s="676"/>
      <c r="J24858" s="770"/>
    </row>
    <row r="24859" spans="8:10" x14ac:dyDescent="0.35">
      <c r="H24859" s="676"/>
      <c r="I24859" s="676"/>
      <c r="J24859" s="770"/>
    </row>
    <row r="24860" spans="8:10" x14ac:dyDescent="0.35">
      <c r="H24860" s="676"/>
      <c r="I24860" s="676"/>
      <c r="J24860" s="770"/>
    </row>
    <row r="24861" spans="8:10" x14ac:dyDescent="0.35">
      <c r="H24861" s="676"/>
      <c r="I24861" s="676"/>
      <c r="J24861" s="770"/>
    </row>
    <row r="24862" spans="8:10" x14ac:dyDescent="0.35">
      <c r="H24862" s="676"/>
      <c r="I24862" s="676"/>
      <c r="J24862" s="770"/>
    </row>
    <row r="24863" spans="8:10" x14ac:dyDescent="0.35">
      <c r="H24863" s="676"/>
      <c r="I24863" s="676"/>
      <c r="J24863" s="770"/>
    </row>
    <row r="24864" spans="8:10" x14ac:dyDescent="0.35">
      <c r="H24864" s="676"/>
      <c r="I24864" s="676"/>
      <c r="J24864" s="770"/>
    </row>
    <row r="24865" spans="8:10" x14ac:dyDescent="0.35">
      <c r="H24865" s="676"/>
      <c r="I24865" s="676"/>
      <c r="J24865" s="770"/>
    </row>
    <row r="24866" spans="8:10" x14ac:dyDescent="0.35">
      <c r="H24866" s="676"/>
      <c r="I24866" s="676"/>
      <c r="J24866" s="770"/>
    </row>
    <row r="24867" spans="8:10" x14ac:dyDescent="0.35">
      <c r="H24867" s="676"/>
      <c r="I24867" s="676"/>
      <c r="J24867" s="770"/>
    </row>
    <row r="24868" spans="8:10" x14ac:dyDescent="0.35">
      <c r="H24868" s="676"/>
      <c r="I24868" s="676"/>
      <c r="J24868" s="770"/>
    </row>
    <row r="24869" spans="8:10" x14ac:dyDescent="0.35">
      <c r="H24869" s="676"/>
      <c r="I24869" s="676"/>
      <c r="J24869" s="770"/>
    </row>
    <row r="24870" spans="8:10" x14ac:dyDescent="0.35">
      <c r="H24870" s="676"/>
      <c r="I24870" s="676"/>
      <c r="J24870" s="770"/>
    </row>
    <row r="24871" spans="8:10" x14ac:dyDescent="0.35">
      <c r="H24871" s="676"/>
      <c r="I24871" s="676"/>
      <c r="J24871" s="770"/>
    </row>
    <row r="24872" spans="8:10" x14ac:dyDescent="0.35">
      <c r="H24872" s="676"/>
      <c r="I24872" s="676"/>
      <c r="J24872" s="770"/>
    </row>
    <row r="24873" spans="8:10" x14ac:dyDescent="0.35">
      <c r="H24873" s="676"/>
      <c r="I24873" s="676"/>
      <c r="J24873" s="770"/>
    </row>
    <row r="24874" spans="8:10" x14ac:dyDescent="0.35">
      <c r="H24874" s="676"/>
      <c r="I24874" s="676"/>
      <c r="J24874" s="770"/>
    </row>
    <row r="24875" spans="8:10" x14ac:dyDescent="0.35">
      <c r="H24875" s="676"/>
      <c r="I24875" s="676"/>
      <c r="J24875" s="770"/>
    </row>
    <row r="24876" spans="8:10" x14ac:dyDescent="0.35">
      <c r="H24876" s="676"/>
      <c r="I24876" s="676"/>
      <c r="J24876" s="770"/>
    </row>
    <row r="24877" spans="8:10" x14ac:dyDescent="0.35">
      <c r="H24877" s="676"/>
      <c r="I24877" s="676"/>
      <c r="J24877" s="770"/>
    </row>
    <row r="24878" spans="8:10" x14ac:dyDescent="0.35">
      <c r="H24878" s="676"/>
      <c r="I24878" s="676"/>
      <c r="J24878" s="770"/>
    </row>
    <row r="24879" spans="8:10" x14ac:dyDescent="0.35">
      <c r="H24879" s="676"/>
      <c r="I24879" s="676"/>
      <c r="J24879" s="770"/>
    </row>
    <row r="24880" spans="8:10" x14ac:dyDescent="0.35">
      <c r="H24880" s="676"/>
      <c r="I24880" s="676"/>
      <c r="J24880" s="770"/>
    </row>
    <row r="24881" spans="8:10" x14ac:dyDescent="0.35">
      <c r="H24881" s="676"/>
      <c r="I24881" s="676"/>
      <c r="J24881" s="770"/>
    </row>
    <row r="24882" spans="8:10" x14ac:dyDescent="0.35">
      <c r="H24882" s="676"/>
      <c r="I24882" s="676"/>
      <c r="J24882" s="770"/>
    </row>
    <row r="24883" spans="8:10" x14ac:dyDescent="0.35">
      <c r="H24883" s="676"/>
      <c r="I24883" s="676"/>
      <c r="J24883" s="770"/>
    </row>
    <row r="24884" spans="8:10" x14ac:dyDescent="0.35">
      <c r="H24884" s="676"/>
      <c r="I24884" s="676"/>
      <c r="J24884" s="770"/>
    </row>
    <row r="24885" spans="8:10" x14ac:dyDescent="0.35">
      <c r="H24885" s="676"/>
      <c r="I24885" s="676"/>
      <c r="J24885" s="770"/>
    </row>
    <row r="24886" spans="8:10" x14ac:dyDescent="0.35">
      <c r="H24886" s="676"/>
      <c r="I24886" s="676"/>
      <c r="J24886" s="770"/>
    </row>
    <row r="24887" spans="8:10" x14ac:dyDescent="0.35">
      <c r="H24887" s="676"/>
      <c r="I24887" s="676"/>
      <c r="J24887" s="770"/>
    </row>
    <row r="24888" spans="8:10" x14ac:dyDescent="0.35">
      <c r="H24888" s="676"/>
      <c r="I24888" s="676"/>
      <c r="J24888" s="770"/>
    </row>
    <row r="24889" spans="8:10" x14ac:dyDescent="0.35">
      <c r="H24889" s="676"/>
      <c r="I24889" s="676"/>
      <c r="J24889" s="770"/>
    </row>
    <row r="24890" spans="8:10" x14ac:dyDescent="0.35">
      <c r="H24890" s="676"/>
      <c r="I24890" s="676"/>
      <c r="J24890" s="770"/>
    </row>
    <row r="24891" spans="8:10" x14ac:dyDescent="0.35">
      <c r="H24891" s="676"/>
      <c r="I24891" s="676"/>
      <c r="J24891" s="770"/>
    </row>
    <row r="24892" spans="8:10" x14ac:dyDescent="0.35">
      <c r="H24892" s="676"/>
      <c r="I24892" s="676"/>
      <c r="J24892" s="770"/>
    </row>
    <row r="24893" spans="8:10" x14ac:dyDescent="0.35">
      <c r="H24893" s="676"/>
      <c r="I24893" s="676"/>
      <c r="J24893" s="770"/>
    </row>
    <row r="24894" spans="8:10" x14ac:dyDescent="0.35">
      <c r="H24894" s="676"/>
      <c r="I24894" s="676"/>
      <c r="J24894" s="770"/>
    </row>
    <row r="24895" spans="8:10" x14ac:dyDescent="0.35">
      <c r="H24895" s="676"/>
      <c r="I24895" s="676"/>
      <c r="J24895" s="770"/>
    </row>
    <row r="24896" spans="8:10" x14ac:dyDescent="0.35">
      <c r="H24896" s="676"/>
      <c r="I24896" s="676"/>
      <c r="J24896" s="770"/>
    </row>
    <row r="24897" spans="8:10" x14ac:dyDescent="0.35">
      <c r="H24897" s="676"/>
      <c r="I24897" s="676"/>
      <c r="J24897" s="770"/>
    </row>
    <row r="24898" spans="8:10" x14ac:dyDescent="0.35">
      <c r="H24898" s="676"/>
      <c r="I24898" s="676"/>
      <c r="J24898" s="770"/>
    </row>
    <row r="24899" spans="8:10" x14ac:dyDescent="0.35">
      <c r="H24899" s="676"/>
      <c r="I24899" s="676"/>
      <c r="J24899" s="770"/>
    </row>
    <row r="24900" spans="8:10" x14ac:dyDescent="0.35">
      <c r="H24900" s="676"/>
      <c r="I24900" s="676"/>
      <c r="J24900" s="770"/>
    </row>
    <row r="24901" spans="8:10" x14ac:dyDescent="0.35">
      <c r="H24901" s="676"/>
      <c r="I24901" s="676"/>
      <c r="J24901" s="770"/>
    </row>
    <row r="24902" spans="8:10" x14ac:dyDescent="0.35">
      <c r="H24902" s="676"/>
      <c r="I24902" s="676"/>
      <c r="J24902" s="770"/>
    </row>
    <row r="24903" spans="8:10" x14ac:dyDescent="0.35">
      <c r="H24903" s="676"/>
      <c r="I24903" s="676"/>
      <c r="J24903" s="770"/>
    </row>
    <row r="24904" spans="8:10" x14ac:dyDescent="0.35">
      <c r="H24904" s="676"/>
      <c r="I24904" s="676"/>
      <c r="J24904" s="770"/>
    </row>
    <row r="24905" spans="8:10" x14ac:dyDescent="0.35">
      <c r="H24905" s="676"/>
      <c r="I24905" s="676"/>
      <c r="J24905" s="770"/>
    </row>
    <row r="24906" spans="8:10" x14ac:dyDescent="0.35">
      <c r="H24906" s="676"/>
      <c r="I24906" s="676"/>
      <c r="J24906" s="770"/>
    </row>
    <row r="24907" spans="8:10" x14ac:dyDescent="0.35">
      <c r="H24907" s="676"/>
      <c r="I24907" s="676"/>
      <c r="J24907" s="770"/>
    </row>
    <row r="24908" spans="8:10" x14ac:dyDescent="0.35">
      <c r="H24908" s="676"/>
      <c r="I24908" s="676"/>
      <c r="J24908" s="770"/>
    </row>
    <row r="24909" spans="8:10" x14ac:dyDescent="0.35">
      <c r="H24909" s="676"/>
      <c r="I24909" s="676"/>
      <c r="J24909" s="770"/>
    </row>
    <row r="24910" spans="8:10" x14ac:dyDescent="0.35">
      <c r="H24910" s="676"/>
      <c r="I24910" s="676"/>
      <c r="J24910" s="770"/>
    </row>
    <row r="24911" spans="8:10" x14ac:dyDescent="0.35">
      <c r="H24911" s="676"/>
      <c r="I24911" s="676"/>
      <c r="J24911" s="770"/>
    </row>
    <row r="24912" spans="8:10" x14ac:dyDescent="0.35">
      <c r="H24912" s="676"/>
      <c r="I24912" s="676"/>
      <c r="J24912" s="770"/>
    </row>
    <row r="24913" spans="8:10" x14ac:dyDescent="0.35">
      <c r="H24913" s="676"/>
      <c r="I24913" s="676"/>
      <c r="J24913" s="770"/>
    </row>
    <row r="24914" spans="8:10" x14ac:dyDescent="0.35">
      <c r="H24914" s="676"/>
      <c r="I24914" s="676"/>
      <c r="J24914" s="770"/>
    </row>
    <row r="24915" spans="8:10" x14ac:dyDescent="0.35">
      <c r="H24915" s="676"/>
      <c r="I24915" s="676"/>
      <c r="J24915" s="770"/>
    </row>
    <row r="24916" spans="8:10" x14ac:dyDescent="0.35">
      <c r="H24916" s="676"/>
      <c r="I24916" s="676"/>
      <c r="J24916" s="770"/>
    </row>
    <row r="24917" spans="8:10" x14ac:dyDescent="0.35">
      <c r="H24917" s="676"/>
      <c r="I24917" s="676"/>
      <c r="J24917" s="770"/>
    </row>
    <row r="24918" spans="8:10" x14ac:dyDescent="0.35">
      <c r="H24918" s="676"/>
      <c r="I24918" s="676"/>
      <c r="J24918" s="770"/>
    </row>
    <row r="24919" spans="8:10" x14ac:dyDescent="0.35">
      <c r="H24919" s="676"/>
      <c r="I24919" s="676"/>
      <c r="J24919" s="770"/>
    </row>
    <row r="24920" spans="8:10" x14ac:dyDescent="0.35">
      <c r="H24920" s="676"/>
      <c r="I24920" s="676"/>
      <c r="J24920" s="770"/>
    </row>
    <row r="24921" spans="8:10" x14ac:dyDescent="0.35">
      <c r="H24921" s="676"/>
      <c r="I24921" s="676"/>
      <c r="J24921" s="770"/>
    </row>
    <row r="24922" spans="8:10" x14ac:dyDescent="0.35">
      <c r="H24922" s="676"/>
      <c r="I24922" s="676"/>
      <c r="J24922" s="770"/>
    </row>
    <row r="24923" spans="8:10" x14ac:dyDescent="0.35">
      <c r="H24923" s="676"/>
      <c r="I24923" s="676"/>
      <c r="J24923" s="770"/>
    </row>
    <row r="24924" spans="8:10" x14ac:dyDescent="0.35">
      <c r="H24924" s="676"/>
      <c r="I24924" s="676"/>
      <c r="J24924" s="770"/>
    </row>
    <row r="24925" spans="8:10" x14ac:dyDescent="0.35">
      <c r="H24925" s="676"/>
      <c r="I24925" s="676"/>
      <c r="J24925" s="770"/>
    </row>
    <row r="24926" spans="8:10" x14ac:dyDescent="0.35">
      <c r="H24926" s="676"/>
      <c r="I24926" s="676"/>
      <c r="J24926" s="770"/>
    </row>
    <row r="24927" spans="8:10" x14ac:dyDescent="0.35">
      <c r="H24927" s="676"/>
      <c r="I24927" s="676"/>
      <c r="J24927" s="770"/>
    </row>
    <row r="24928" spans="8:10" x14ac:dyDescent="0.35">
      <c r="H24928" s="676"/>
      <c r="I24928" s="676"/>
      <c r="J24928" s="770"/>
    </row>
    <row r="24929" spans="8:10" x14ac:dyDescent="0.35">
      <c r="H24929" s="676"/>
      <c r="I24929" s="676"/>
      <c r="J24929" s="770"/>
    </row>
    <row r="24930" spans="8:10" x14ac:dyDescent="0.35">
      <c r="H24930" s="676"/>
      <c r="I24930" s="676"/>
      <c r="J24930" s="770"/>
    </row>
    <row r="24931" spans="8:10" x14ac:dyDescent="0.35">
      <c r="H24931" s="676"/>
      <c r="I24931" s="676"/>
      <c r="J24931" s="770"/>
    </row>
    <row r="24932" spans="8:10" x14ac:dyDescent="0.35">
      <c r="H24932" s="676"/>
      <c r="I24932" s="676"/>
      <c r="J24932" s="770"/>
    </row>
    <row r="24933" spans="8:10" x14ac:dyDescent="0.35">
      <c r="H24933" s="676"/>
      <c r="I24933" s="676"/>
      <c r="J24933" s="770"/>
    </row>
    <row r="24934" spans="8:10" x14ac:dyDescent="0.35">
      <c r="H24934" s="676"/>
      <c r="I24934" s="676"/>
      <c r="J24934" s="770"/>
    </row>
    <row r="24935" spans="8:10" x14ac:dyDescent="0.35">
      <c r="H24935" s="676"/>
      <c r="I24935" s="676"/>
      <c r="J24935" s="770"/>
    </row>
    <row r="24936" spans="8:10" x14ac:dyDescent="0.35">
      <c r="H24936" s="676"/>
      <c r="I24936" s="676"/>
      <c r="J24936" s="770"/>
    </row>
    <row r="24937" spans="8:10" x14ac:dyDescent="0.35">
      <c r="H24937" s="676"/>
      <c r="I24937" s="676"/>
      <c r="J24937" s="770"/>
    </row>
    <row r="24938" spans="8:10" x14ac:dyDescent="0.35">
      <c r="H24938" s="676"/>
      <c r="I24938" s="676"/>
      <c r="J24938" s="770"/>
    </row>
    <row r="24939" spans="8:10" x14ac:dyDescent="0.35">
      <c r="H24939" s="676"/>
      <c r="I24939" s="676"/>
      <c r="J24939" s="770"/>
    </row>
    <row r="24940" spans="8:10" x14ac:dyDescent="0.35">
      <c r="H24940" s="676"/>
      <c r="I24940" s="676"/>
      <c r="J24940" s="770"/>
    </row>
    <row r="24941" spans="8:10" x14ac:dyDescent="0.35">
      <c r="H24941" s="676"/>
      <c r="I24941" s="676"/>
      <c r="J24941" s="770"/>
    </row>
    <row r="24942" spans="8:10" x14ac:dyDescent="0.35">
      <c r="H24942" s="676"/>
      <c r="I24942" s="676"/>
      <c r="J24942" s="770"/>
    </row>
    <row r="24943" spans="8:10" x14ac:dyDescent="0.35">
      <c r="H24943" s="676"/>
      <c r="I24943" s="676"/>
      <c r="J24943" s="770"/>
    </row>
    <row r="24944" spans="8:10" x14ac:dyDescent="0.35">
      <c r="H24944" s="676"/>
      <c r="I24944" s="676"/>
      <c r="J24944" s="770"/>
    </row>
    <row r="24945" spans="8:10" x14ac:dyDescent="0.35">
      <c r="H24945" s="676"/>
      <c r="I24945" s="676"/>
      <c r="J24945" s="770"/>
    </row>
    <row r="24946" spans="8:10" x14ac:dyDescent="0.35">
      <c r="H24946" s="676"/>
      <c r="I24946" s="676"/>
      <c r="J24946" s="770"/>
    </row>
    <row r="24947" spans="8:10" x14ac:dyDescent="0.35">
      <c r="H24947" s="676"/>
      <c r="I24947" s="676"/>
      <c r="J24947" s="770"/>
    </row>
    <row r="24948" spans="8:10" x14ac:dyDescent="0.35">
      <c r="H24948" s="676"/>
      <c r="I24948" s="676"/>
      <c r="J24948" s="770"/>
    </row>
    <row r="24949" spans="8:10" x14ac:dyDescent="0.35">
      <c r="H24949" s="676"/>
      <c r="I24949" s="676"/>
      <c r="J24949" s="770"/>
    </row>
    <row r="24950" spans="8:10" x14ac:dyDescent="0.35">
      <c r="H24950" s="676"/>
      <c r="I24950" s="676"/>
      <c r="J24950" s="770"/>
    </row>
    <row r="24951" spans="8:10" x14ac:dyDescent="0.35">
      <c r="H24951" s="676"/>
      <c r="I24951" s="676"/>
      <c r="J24951" s="770"/>
    </row>
    <row r="24952" spans="8:10" x14ac:dyDescent="0.35">
      <c r="H24952" s="676"/>
      <c r="I24952" s="676"/>
      <c r="J24952" s="770"/>
    </row>
    <row r="24953" spans="8:10" x14ac:dyDescent="0.35">
      <c r="H24953" s="676"/>
      <c r="I24953" s="676"/>
      <c r="J24953" s="770"/>
    </row>
    <row r="24954" spans="8:10" x14ac:dyDescent="0.35">
      <c r="H24954" s="676"/>
      <c r="I24954" s="676"/>
      <c r="J24954" s="770"/>
    </row>
    <row r="24955" spans="8:10" x14ac:dyDescent="0.35">
      <c r="H24955" s="676"/>
      <c r="I24955" s="676"/>
      <c r="J24955" s="770"/>
    </row>
    <row r="24956" spans="8:10" x14ac:dyDescent="0.35">
      <c r="H24956" s="676"/>
      <c r="I24956" s="676"/>
      <c r="J24956" s="770"/>
    </row>
    <row r="24957" spans="8:10" x14ac:dyDescent="0.35">
      <c r="H24957" s="676"/>
      <c r="I24957" s="676"/>
      <c r="J24957" s="770"/>
    </row>
    <row r="24958" spans="8:10" x14ac:dyDescent="0.35">
      <c r="H24958" s="676"/>
      <c r="I24958" s="676"/>
      <c r="J24958" s="770"/>
    </row>
    <row r="24959" spans="8:10" x14ac:dyDescent="0.35">
      <c r="H24959" s="676"/>
      <c r="I24959" s="676"/>
      <c r="J24959" s="770"/>
    </row>
    <row r="24960" spans="8:10" x14ac:dyDescent="0.35">
      <c r="H24960" s="676"/>
      <c r="I24960" s="676"/>
      <c r="J24960" s="770"/>
    </row>
    <row r="24961" spans="8:10" x14ac:dyDescent="0.35">
      <c r="H24961" s="676"/>
      <c r="I24961" s="676"/>
      <c r="J24961" s="770"/>
    </row>
    <row r="24962" spans="8:10" x14ac:dyDescent="0.35">
      <c r="H24962" s="676"/>
      <c r="I24962" s="676"/>
      <c r="J24962" s="770"/>
    </row>
    <row r="24963" spans="8:10" x14ac:dyDescent="0.35">
      <c r="H24963" s="676"/>
      <c r="I24963" s="676"/>
      <c r="J24963" s="770"/>
    </row>
    <row r="24964" spans="8:10" x14ac:dyDescent="0.35">
      <c r="H24964" s="676"/>
      <c r="I24964" s="676"/>
      <c r="J24964" s="770"/>
    </row>
    <row r="24965" spans="8:10" x14ac:dyDescent="0.35">
      <c r="H24965" s="676"/>
      <c r="I24965" s="676"/>
      <c r="J24965" s="770"/>
    </row>
    <row r="24966" spans="8:10" x14ac:dyDescent="0.35">
      <c r="H24966" s="676"/>
      <c r="I24966" s="676"/>
      <c r="J24966" s="770"/>
    </row>
    <row r="24967" spans="8:10" x14ac:dyDescent="0.35">
      <c r="H24967" s="676"/>
      <c r="I24967" s="676"/>
      <c r="J24967" s="770"/>
    </row>
    <row r="24968" spans="8:10" x14ac:dyDescent="0.35">
      <c r="H24968" s="676"/>
      <c r="I24968" s="676"/>
      <c r="J24968" s="770"/>
    </row>
    <row r="24969" spans="8:10" x14ac:dyDescent="0.35">
      <c r="H24969" s="676"/>
      <c r="I24969" s="676"/>
      <c r="J24969" s="770"/>
    </row>
    <row r="24970" spans="8:10" x14ac:dyDescent="0.35">
      <c r="H24970" s="676"/>
      <c r="I24970" s="676"/>
      <c r="J24970" s="770"/>
    </row>
    <row r="24971" spans="8:10" x14ac:dyDescent="0.35">
      <c r="H24971" s="676"/>
      <c r="I24971" s="676"/>
      <c r="J24971" s="770"/>
    </row>
    <row r="24972" spans="8:10" x14ac:dyDescent="0.35">
      <c r="H24972" s="676"/>
      <c r="I24972" s="676"/>
      <c r="J24972" s="770"/>
    </row>
    <row r="24973" spans="8:10" x14ac:dyDescent="0.35">
      <c r="H24973" s="676"/>
      <c r="I24973" s="676"/>
      <c r="J24973" s="770"/>
    </row>
    <row r="24974" spans="8:10" x14ac:dyDescent="0.35">
      <c r="H24974" s="676"/>
      <c r="I24974" s="676"/>
      <c r="J24974" s="770"/>
    </row>
    <row r="24975" spans="8:10" x14ac:dyDescent="0.35">
      <c r="H24975" s="676"/>
      <c r="I24975" s="676"/>
      <c r="J24975" s="770"/>
    </row>
    <row r="24976" spans="8:10" x14ac:dyDescent="0.35">
      <c r="H24976" s="676"/>
      <c r="I24976" s="676"/>
      <c r="J24976" s="770"/>
    </row>
    <row r="24977" spans="8:10" x14ac:dyDescent="0.35">
      <c r="H24977" s="676"/>
      <c r="I24977" s="676"/>
      <c r="J24977" s="770"/>
    </row>
    <row r="24978" spans="8:10" x14ac:dyDescent="0.35">
      <c r="H24978" s="676"/>
      <c r="I24978" s="676"/>
      <c r="J24978" s="770"/>
    </row>
    <row r="24979" spans="8:10" x14ac:dyDescent="0.35">
      <c r="H24979" s="676"/>
      <c r="I24979" s="676"/>
      <c r="J24979" s="770"/>
    </row>
    <row r="24980" spans="8:10" x14ac:dyDescent="0.35">
      <c r="H24980" s="676"/>
      <c r="I24980" s="676"/>
      <c r="J24980" s="770"/>
    </row>
    <row r="24981" spans="8:10" x14ac:dyDescent="0.35">
      <c r="H24981" s="676"/>
      <c r="I24981" s="676"/>
      <c r="J24981" s="770"/>
    </row>
    <row r="24982" spans="8:10" x14ac:dyDescent="0.35">
      <c r="H24982" s="676"/>
      <c r="I24982" s="676"/>
      <c r="J24982" s="770"/>
    </row>
    <row r="24983" spans="8:10" x14ac:dyDescent="0.35">
      <c r="H24983" s="676"/>
      <c r="I24983" s="676"/>
      <c r="J24983" s="770"/>
    </row>
    <row r="24984" spans="8:10" x14ac:dyDescent="0.35">
      <c r="H24984" s="676"/>
      <c r="I24984" s="676"/>
      <c r="J24984" s="770"/>
    </row>
    <row r="24985" spans="8:10" x14ac:dyDescent="0.35">
      <c r="H24985" s="676"/>
      <c r="I24985" s="676"/>
      <c r="J24985" s="770"/>
    </row>
    <row r="24986" spans="8:10" x14ac:dyDescent="0.35">
      <c r="H24986" s="676"/>
      <c r="I24986" s="676"/>
      <c r="J24986" s="770"/>
    </row>
    <row r="24987" spans="8:10" x14ac:dyDescent="0.35">
      <c r="H24987" s="676"/>
      <c r="I24987" s="676"/>
      <c r="J24987" s="770"/>
    </row>
    <row r="24988" spans="8:10" x14ac:dyDescent="0.35">
      <c r="H24988" s="676"/>
      <c r="I24988" s="676"/>
      <c r="J24988" s="770"/>
    </row>
    <row r="24989" spans="8:10" x14ac:dyDescent="0.35">
      <c r="H24989" s="676"/>
      <c r="I24989" s="676"/>
      <c r="J24989" s="770"/>
    </row>
    <row r="24990" spans="8:10" x14ac:dyDescent="0.35">
      <c r="H24990" s="676"/>
      <c r="I24990" s="676"/>
      <c r="J24990" s="770"/>
    </row>
    <row r="24991" spans="8:10" x14ac:dyDescent="0.35">
      <c r="H24991" s="676"/>
      <c r="I24991" s="676"/>
      <c r="J24991" s="770"/>
    </row>
    <row r="24992" spans="8:10" x14ac:dyDescent="0.35">
      <c r="H24992" s="676"/>
      <c r="I24992" s="676"/>
      <c r="J24992" s="770"/>
    </row>
    <row r="24993" spans="8:10" x14ac:dyDescent="0.35">
      <c r="H24993" s="676"/>
      <c r="I24993" s="676"/>
      <c r="J24993" s="770"/>
    </row>
    <row r="24994" spans="8:10" x14ac:dyDescent="0.35">
      <c r="H24994" s="676"/>
      <c r="I24994" s="676"/>
      <c r="J24994" s="770"/>
    </row>
    <row r="24995" spans="8:10" x14ac:dyDescent="0.35">
      <c r="H24995" s="676"/>
      <c r="I24995" s="676"/>
      <c r="J24995" s="770"/>
    </row>
    <row r="24996" spans="8:10" x14ac:dyDescent="0.35">
      <c r="H24996" s="676"/>
      <c r="I24996" s="676"/>
      <c r="J24996" s="770"/>
    </row>
    <row r="24997" spans="8:10" x14ac:dyDescent="0.35">
      <c r="H24997" s="676"/>
      <c r="I24997" s="676"/>
      <c r="J24997" s="770"/>
    </row>
    <row r="24998" spans="8:10" x14ac:dyDescent="0.35">
      <c r="H24998" s="676"/>
      <c r="I24998" s="676"/>
      <c r="J24998" s="770"/>
    </row>
    <row r="24999" spans="8:10" x14ac:dyDescent="0.35">
      <c r="H24999" s="676"/>
      <c r="I24999" s="676"/>
      <c r="J24999" s="770"/>
    </row>
    <row r="25000" spans="8:10" x14ac:dyDescent="0.35">
      <c r="H25000" s="676"/>
      <c r="I25000" s="676"/>
      <c r="J25000" s="770"/>
    </row>
    <row r="25001" spans="8:10" x14ac:dyDescent="0.35">
      <c r="H25001" s="676"/>
      <c r="I25001" s="676"/>
      <c r="J25001" s="770"/>
    </row>
    <row r="25002" spans="8:10" x14ac:dyDescent="0.35">
      <c r="H25002" s="676"/>
      <c r="I25002" s="676"/>
      <c r="J25002" s="770"/>
    </row>
    <row r="25003" spans="8:10" x14ac:dyDescent="0.35">
      <c r="H25003" s="676"/>
      <c r="I25003" s="676"/>
      <c r="J25003" s="770"/>
    </row>
    <row r="25004" spans="8:10" x14ac:dyDescent="0.35">
      <c r="H25004" s="676"/>
      <c r="I25004" s="676"/>
      <c r="J25004" s="770"/>
    </row>
    <row r="25005" spans="8:10" x14ac:dyDescent="0.35">
      <c r="H25005" s="676"/>
      <c r="I25005" s="676"/>
      <c r="J25005" s="770"/>
    </row>
    <row r="25006" spans="8:10" x14ac:dyDescent="0.35">
      <c r="H25006" s="676"/>
      <c r="I25006" s="676"/>
      <c r="J25006" s="770"/>
    </row>
    <row r="25007" spans="8:10" x14ac:dyDescent="0.35">
      <c r="H25007" s="676"/>
      <c r="I25007" s="676"/>
      <c r="J25007" s="770"/>
    </row>
    <row r="25008" spans="8:10" x14ac:dyDescent="0.35">
      <c r="H25008" s="676"/>
      <c r="I25008" s="676"/>
      <c r="J25008" s="770"/>
    </row>
    <row r="25009" spans="8:10" x14ac:dyDescent="0.35">
      <c r="H25009" s="676"/>
      <c r="I25009" s="676"/>
      <c r="J25009" s="770"/>
    </row>
    <row r="25010" spans="8:10" x14ac:dyDescent="0.35">
      <c r="H25010" s="676"/>
      <c r="I25010" s="676"/>
      <c r="J25010" s="770"/>
    </row>
    <row r="25011" spans="8:10" x14ac:dyDescent="0.35">
      <c r="H25011" s="676"/>
      <c r="I25011" s="676"/>
      <c r="J25011" s="770"/>
    </row>
    <row r="25012" spans="8:10" x14ac:dyDescent="0.35">
      <c r="H25012" s="676"/>
      <c r="I25012" s="676"/>
      <c r="J25012" s="770"/>
    </row>
    <row r="25013" spans="8:10" x14ac:dyDescent="0.35">
      <c r="H25013" s="676"/>
      <c r="I25013" s="676"/>
      <c r="J25013" s="770"/>
    </row>
    <row r="25014" spans="8:10" x14ac:dyDescent="0.35">
      <c r="H25014" s="676"/>
      <c r="I25014" s="676"/>
      <c r="J25014" s="770"/>
    </row>
    <row r="25015" spans="8:10" x14ac:dyDescent="0.35">
      <c r="H25015" s="676"/>
      <c r="I25015" s="676"/>
      <c r="J25015" s="770"/>
    </row>
    <row r="25016" spans="8:10" x14ac:dyDescent="0.35">
      <c r="H25016" s="676"/>
      <c r="I25016" s="676"/>
      <c r="J25016" s="770"/>
    </row>
    <row r="25017" spans="8:10" x14ac:dyDescent="0.35">
      <c r="H25017" s="676"/>
      <c r="I25017" s="676"/>
      <c r="J25017" s="770"/>
    </row>
    <row r="25018" spans="8:10" x14ac:dyDescent="0.35">
      <c r="H25018" s="676"/>
      <c r="I25018" s="676"/>
      <c r="J25018" s="770"/>
    </row>
    <row r="25019" spans="8:10" x14ac:dyDescent="0.35">
      <c r="H25019" s="676"/>
      <c r="I25019" s="676"/>
      <c r="J25019" s="770"/>
    </row>
    <row r="25020" spans="8:10" x14ac:dyDescent="0.35">
      <c r="H25020" s="676"/>
      <c r="I25020" s="676"/>
      <c r="J25020" s="770"/>
    </row>
    <row r="25021" spans="8:10" x14ac:dyDescent="0.35">
      <c r="H25021" s="676"/>
      <c r="I25021" s="676"/>
      <c r="J25021" s="770"/>
    </row>
    <row r="25022" spans="8:10" x14ac:dyDescent="0.35">
      <c r="H25022" s="676"/>
      <c r="I25022" s="676"/>
      <c r="J25022" s="770"/>
    </row>
    <row r="25023" spans="8:10" x14ac:dyDescent="0.35">
      <c r="H25023" s="676"/>
      <c r="I25023" s="676"/>
      <c r="J25023" s="770"/>
    </row>
    <row r="25024" spans="8:10" x14ac:dyDescent="0.35">
      <c r="H25024" s="676"/>
      <c r="I25024" s="676"/>
      <c r="J25024" s="770"/>
    </row>
    <row r="25025" spans="8:10" x14ac:dyDescent="0.35">
      <c r="H25025" s="676"/>
      <c r="I25025" s="676"/>
      <c r="J25025" s="770"/>
    </row>
    <row r="25026" spans="8:10" x14ac:dyDescent="0.35">
      <c r="H25026" s="676"/>
      <c r="I25026" s="676"/>
      <c r="J25026" s="770"/>
    </row>
    <row r="25027" spans="8:10" x14ac:dyDescent="0.35">
      <c r="H25027" s="676"/>
      <c r="I25027" s="676"/>
      <c r="J25027" s="770"/>
    </row>
    <row r="25028" spans="8:10" x14ac:dyDescent="0.35">
      <c r="H25028" s="676"/>
      <c r="I25028" s="676"/>
      <c r="J25028" s="770"/>
    </row>
    <row r="25029" spans="8:10" x14ac:dyDescent="0.35">
      <c r="H25029" s="676"/>
      <c r="I25029" s="676"/>
      <c r="J25029" s="770"/>
    </row>
    <row r="25030" spans="8:10" x14ac:dyDescent="0.35">
      <c r="H25030" s="676"/>
      <c r="I25030" s="676"/>
      <c r="J25030" s="770"/>
    </row>
    <row r="25031" spans="8:10" x14ac:dyDescent="0.35">
      <c r="H25031" s="676"/>
      <c r="I25031" s="676"/>
      <c r="J25031" s="770"/>
    </row>
    <row r="25032" spans="8:10" x14ac:dyDescent="0.35">
      <c r="H25032" s="676"/>
      <c r="I25032" s="676"/>
      <c r="J25032" s="770"/>
    </row>
    <row r="25033" spans="8:10" x14ac:dyDescent="0.35">
      <c r="H25033" s="676"/>
      <c r="I25033" s="676"/>
      <c r="J25033" s="770"/>
    </row>
    <row r="25034" spans="8:10" x14ac:dyDescent="0.35">
      <c r="H25034" s="676"/>
      <c r="I25034" s="676"/>
      <c r="J25034" s="770"/>
    </row>
    <row r="25035" spans="8:10" x14ac:dyDescent="0.35">
      <c r="H25035" s="676"/>
      <c r="I25035" s="676"/>
      <c r="J25035" s="770"/>
    </row>
    <row r="25036" spans="8:10" x14ac:dyDescent="0.35">
      <c r="H25036" s="676"/>
      <c r="I25036" s="676"/>
      <c r="J25036" s="770"/>
    </row>
    <row r="25037" spans="8:10" x14ac:dyDescent="0.35">
      <c r="H25037" s="676"/>
      <c r="I25037" s="676"/>
      <c r="J25037" s="770"/>
    </row>
    <row r="25038" spans="8:10" x14ac:dyDescent="0.35">
      <c r="H25038" s="676"/>
      <c r="I25038" s="676"/>
      <c r="J25038" s="770"/>
    </row>
    <row r="25039" spans="8:10" x14ac:dyDescent="0.35">
      <c r="H25039" s="676"/>
      <c r="I25039" s="676"/>
      <c r="J25039" s="770"/>
    </row>
    <row r="25040" spans="8:10" x14ac:dyDescent="0.35">
      <c r="H25040" s="676"/>
      <c r="I25040" s="676"/>
      <c r="J25040" s="770"/>
    </row>
    <row r="25041" spans="8:10" x14ac:dyDescent="0.35">
      <c r="H25041" s="676"/>
      <c r="I25041" s="676"/>
      <c r="J25041" s="770"/>
    </row>
    <row r="25042" spans="8:10" x14ac:dyDescent="0.35">
      <c r="H25042" s="676"/>
      <c r="I25042" s="676"/>
      <c r="J25042" s="770"/>
    </row>
    <row r="25043" spans="8:10" x14ac:dyDescent="0.35">
      <c r="H25043" s="676"/>
      <c r="I25043" s="676"/>
      <c r="J25043" s="770"/>
    </row>
    <row r="25044" spans="8:10" x14ac:dyDescent="0.35">
      <c r="H25044" s="676"/>
      <c r="I25044" s="676"/>
      <c r="J25044" s="770"/>
    </row>
    <row r="25045" spans="8:10" x14ac:dyDescent="0.35">
      <c r="H25045" s="676"/>
      <c r="I25045" s="676"/>
      <c r="J25045" s="770"/>
    </row>
    <row r="25046" spans="8:10" x14ac:dyDescent="0.35">
      <c r="H25046" s="676"/>
      <c r="I25046" s="676"/>
      <c r="J25046" s="770"/>
    </row>
    <row r="25047" spans="8:10" x14ac:dyDescent="0.35">
      <c r="H25047" s="676"/>
      <c r="I25047" s="676"/>
      <c r="J25047" s="770"/>
    </row>
    <row r="25048" spans="8:10" x14ac:dyDescent="0.35">
      <c r="H25048" s="676"/>
      <c r="I25048" s="676"/>
      <c r="J25048" s="770"/>
    </row>
    <row r="25049" spans="8:10" x14ac:dyDescent="0.35">
      <c r="H25049" s="676"/>
      <c r="I25049" s="676"/>
      <c r="J25049" s="770"/>
    </row>
    <row r="25050" spans="8:10" x14ac:dyDescent="0.35">
      <c r="H25050" s="676"/>
      <c r="I25050" s="676"/>
      <c r="J25050" s="770"/>
    </row>
    <row r="25051" spans="8:10" x14ac:dyDescent="0.35">
      <c r="H25051" s="676"/>
      <c r="I25051" s="676"/>
      <c r="J25051" s="770"/>
    </row>
    <row r="25052" spans="8:10" x14ac:dyDescent="0.35">
      <c r="H25052" s="676"/>
      <c r="I25052" s="676"/>
      <c r="J25052" s="770"/>
    </row>
    <row r="25053" spans="8:10" x14ac:dyDescent="0.35">
      <c r="H25053" s="676"/>
      <c r="I25053" s="676"/>
      <c r="J25053" s="770"/>
    </row>
    <row r="25054" spans="8:10" x14ac:dyDescent="0.35">
      <c r="H25054" s="676"/>
      <c r="I25054" s="676"/>
      <c r="J25054" s="770"/>
    </row>
    <row r="25055" spans="8:10" x14ac:dyDescent="0.35">
      <c r="H25055" s="676"/>
      <c r="I25055" s="676"/>
      <c r="J25055" s="770"/>
    </row>
    <row r="25056" spans="8:10" x14ac:dyDescent="0.35">
      <c r="H25056" s="676"/>
      <c r="I25056" s="676"/>
      <c r="J25056" s="770"/>
    </row>
    <row r="25057" spans="8:10" x14ac:dyDescent="0.35">
      <c r="H25057" s="676"/>
      <c r="I25057" s="676"/>
      <c r="J25057" s="770"/>
    </row>
    <row r="25058" spans="8:10" x14ac:dyDescent="0.35">
      <c r="H25058" s="676"/>
      <c r="I25058" s="676"/>
      <c r="J25058" s="770"/>
    </row>
    <row r="25059" spans="8:10" x14ac:dyDescent="0.35">
      <c r="H25059" s="676"/>
      <c r="I25059" s="676"/>
      <c r="J25059" s="770"/>
    </row>
    <row r="25060" spans="8:10" x14ac:dyDescent="0.35">
      <c r="H25060" s="676"/>
      <c r="I25060" s="676"/>
      <c r="J25060" s="770"/>
    </row>
    <row r="25061" spans="8:10" x14ac:dyDescent="0.35">
      <c r="H25061" s="676"/>
      <c r="I25061" s="676"/>
      <c r="J25061" s="770"/>
    </row>
    <row r="25062" spans="8:10" x14ac:dyDescent="0.35">
      <c r="H25062" s="676"/>
      <c r="I25062" s="676"/>
      <c r="J25062" s="770"/>
    </row>
    <row r="25063" spans="8:10" x14ac:dyDescent="0.35">
      <c r="H25063" s="676"/>
      <c r="I25063" s="676"/>
      <c r="J25063" s="770"/>
    </row>
    <row r="25064" spans="8:10" x14ac:dyDescent="0.35">
      <c r="H25064" s="676"/>
      <c r="I25064" s="676"/>
      <c r="J25064" s="770"/>
    </row>
    <row r="25065" spans="8:10" x14ac:dyDescent="0.35">
      <c r="H25065" s="676"/>
      <c r="I25065" s="676"/>
      <c r="J25065" s="770"/>
    </row>
    <row r="25066" spans="8:10" x14ac:dyDescent="0.35">
      <c r="H25066" s="676"/>
      <c r="I25066" s="676"/>
      <c r="J25066" s="770"/>
    </row>
    <row r="25067" spans="8:10" x14ac:dyDescent="0.35">
      <c r="H25067" s="676"/>
      <c r="I25067" s="676"/>
      <c r="J25067" s="770"/>
    </row>
    <row r="25068" spans="8:10" x14ac:dyDescent="0.35">
      <c r="H25068" s="676"/>
      <c r="I25068" s="676"/>
      <c r="J25068" s="770"/>
    </row>
    <row r="25069" spans="8:10" x14ac:dyDescent="0.35">
      <c r="H25069" s="676"/>
      <c r="I25069" s="676"/>
      <c r="J25069" s="770"/>
    </row>
    <row r="25070" spans="8:10" x14ac:dyDescent="0.35">
      <c r="H25070" s="676"/>
      <c r="I25070" s="676"/>
      <c r="J25070" s="770"/>
    </row>
    <row r="25071" spans="8:10" x14ac:dyDescent="0.35">
      <c r="H25071" s="676"/>
      <c r="I25071" s="676"/>
      <c r="J25071" s="770"/>
    </row>
    <row r="25072" spans="8:10" x14ac:dyDescent="0.35">
      <c r="H25072" s="676"/>
      <c r="I25072" s="676"/>
      <c r="J25072" s="770"/>
    </row>
    <row r="25073" spans="8:10" x14ac:dyDescent="0.35">
      <c r="H25073" s="676"/>
      <c r="I25073" s="676"/>
      <c r="J25073" s="770"/>
    </row>
    <row r="25074" spans="8:10" x14ac:dyDescent="0.35">
      <c r="H25074" s="676"/>
      <c r="I25074" s="676"/>
      <c r="J25074" s="770"/>
    </row>
    <row r="25075" spans="8:10" x14ac:dyDescent="0.35">
      <c r="H25075" s="676"/>
      <c r="I25075" s="676"/>
      <c r="J25075" s="770"/>
    </row>
    <row r="25076" spans="8:10" x14ac:dyDescent="0.35">
      <c r="H25076" s="676"/>
      <c r="I25076" s="676"/>
      <c r="J25076" s="770"/>
    </row>
    <row r="25077" spans="8:10" x14ac:dyDescent="0.35">
      <c r="H25077" s="676"/>
      <c r="I25077" s="676"/>
      <c r="J25077" s="770"/>
    </row>
    <row r="25078" spans="8:10" x14ac:dyDescent="0.35">
      <c r="H25078" s="676"/>
      <c r="I25078" s="676"/>
      <c r="J25078" s="770"/>
    </row>
    <row r="25079" spans="8:10" x14ac:dyDescent="0.35">
      <c r="H25079" s="676"/>
      <c r="I25079" s="676"/>
      <c r="J25079" s="770"/>
    </row>
    <row r="25080" spans="8:10" x14ac:dyDescent="0.35">
      <c r="H25080" s="676"/>
      <c r="I25080" s="676"/>
      <c r="J25080" s="770"/>
    </row>
    <row r="25081" spans="8:10" x14ac:dyDescent="0.35">
      <c r="H25081" s="676"/>
      <c r="I25081" s="676"/>
      <c r="J25081" s="770"/>
    </row>
    <row r="25082" spans="8:10" x14ac:dyDescent="0.35">
      <c r="H25082" s="676"/>
      <c r="I25082" s="676"/>
      <c r="J25082" s="770"/>
    </row>
    <row r="25083" spans="8:10" x14ac:dyDescent="0.35">
      <c r="H25083" s="676"/>
      <c r="I25083" s="676"/>
      <c r="J25083" s="770"/>
    </row>
    <row r="25084" spans="8:10" x14ac:dyDescent="0.35">
      <c r="H25084" s="676"/>
      <c r="I25084" s="676"/>
      <c r="J25084" s="770"/>
    </row>
    <row r="25085" spans="8:10" x14ac:dyDescent="0.35">
      <c r="H25085" s="676"/>
      <c r="I25085" s="676"/>
      <c r="J25085" s="770"/>
    </row>
    <row r="25086" spans="8:10" x14ac:dyDescent="0.35">
      <c r="H25086" s="676"/>
      <c r="I25086" s="676"/>
      <c r="J25086" s="770"/>
    </row>
    <row r="25087" spans="8:10" x14ac:dyDescent="0.35">
      <c r="H25087" s="676"/>
      <c r="I25087" s="676"/>
      <c r="J25087" s="770"/>
    </row>
    <row r="25088" spans="8:10" x14ac:dyDescent="0.35">
      <c r="H25088" s="676"/>
      <c r="I25088" s="676"/>
      <c r="J25088" s="770"/>
    </row>
    <row r="25089" spans="8:10" x14ac:dyDescent="0.35">
      <c r="H25089" s="676"/>
      <c r="I25089" s="676"/>
      <c r="J25089" s="770"/>
    </row>
    <row r="25090" spans="8:10" x14ac:dyDescent="0.35">
      <c r="H25090" s="676"/>
      <c r="I25090" s="676"/>
      <c r="J25090" s="770"/>
    </row>
    <row r="25091" spans="8:10" x14ac:dyDescent="0.35">
      <c r="H25091" s="676"/>
      <c r="I25091" s="676"/>
      <c r="J25091" s="770"/>
    </row>
    <row r="25092" spans="8:10" x14ac:dyDescent="0.35">
      <c r="H25092" s="676"/>
      <c r="I25092" s="676"/>
      <c r="J25092" s="770"/>
    </row>
    <row r="25093" spans="8:10" x14ac:dyDescent="0.35">
      <c r="H25093" s="676"/>
      <c r="I25093" s="676"/>
      <c r="J25093" s="770"/>
    </row>
    <row r="25094" spans="8:10" x14ac:dyDescent="0.35">
      <c r="H25094" s="676"/>
      <c r="I25094" s="676"/>
      <c r="J25094" s="770"/>
    </row>
    <row r="25095" spans="8:10" x14ac:dyDescent="0.35">
      <c r="H25095" s="676"/>
      <c r="I25095" s="676"/>
      <c r="J25095" s="770"/>
    </row>
    <row r="25096" spans="8:10" x14ac:dyDescent="0.35">
      <c r="H25096" s="676"/>
      <c r="I25096" s="676"/>
      <c r="J25096" s="770"/>
    </row>
    <row r="25097" spans="8:10" x14ac:dyDescent="0.35">
      <c r="H25097" s="676"/>
      <c r="I25097" s="676"/>
      <c r="J25097" s="770"/>
    </row>
    <row r="25098" spans="8:10" x14ac:dyDescent="0.35">
      <c r="H25098" s="676"/>
      <c r="I25098" s="676"/>
      <c r="J25098" s="770"/>
    </row>
    <row r="25099" spans="8:10" x14ac:dyDescent="0.35">
      <c r="H25099" s="676"/>
      <c r="I25099" s="676"/>
      <c r="J25099" s="770"/>
    </row>
    <row r="25100" spans="8:10" x14ac:dyDescent="0.35">
      <c r="H25100" s="676"/>
      <c r="I25100" s="676"/>
      <c r="J25100" s="770"/>
    </row>
    <row r="25101" spans="8:10" x14ac:dyDescent="0.35">
      <c r="H25101" s="676"/>
      <c r="I25101" s="676"/>
      <c r="J25101" s="770"/>
    </row>
    <row r="25102" spans="8:10" x14ac:dyDescent="0.35">
      <c r="H25102" s="676"/>
      <c r="I25102" s="676"/>
      <c r="J25102" s="770"/>
    </row>
    <row r="25103" spans="8:10" x14ac:dyDescent="0.35">
      <c r="H25103" s="676"/>
      <c r="I25103" s="676"/>
      <c r="J25103" s="770"/>
    </row>
    <row r="25104" spans="8:10" x14ac:dyDescent="0.35">
      <c r="H25104" s="676"/>
      <c r="I25104" s="676"/>
      <c r="J25104" s="770"/>
    </row>
    <row r="25105" spans="8:10" x14ac:dyDescent="0.35">
      <c r="H25105" s="676"/>
      <c r="I25105" s="676"/>
      <c r="J25105" s="770"/>
    </row>
    <row r="25106" spans="8:10" x14ac:dyDescent="0.35">
      <c r="H25106" s="676"/>
      <c r="I25106" s="676"/>
      <c r="J25106" s="770"/>
    </row>
    <row r="25107" spans="8:10" x14ac:dyDescent="0.35">
      <c r="H25107" s="676"/>
      <c r="I25107" s="676"/>
      <c r="J25107" s="770"/>
    </row>
    <row r="25108" spans="8:10" x14ac:dyDescent="0.35">
      <c r="H25108" s="676"/>
      <c r="I25108" s="676"/>
      <c r="J25108" s="770"/>
    </row>
    <row r="25109" spans="8:10" x14ac:dyDescent="0.35">
      <c r="H25109" s="676"/>
      <c r="I25109" s="676"/>
      <c r="J25109" s="770"/>
    </row>
    <row r="25110" spans="8:10" x14ac:dyDescent="0.35">
      <c r="H25110" s="676"/>
      <c r="I25110" s="676"/>
      <c r="J25110" s="770"/>
    </row>
    <row r="25111" spans="8:10" x14ac:dyDescent="0.35">
      <c r="H25111" s="676"/>
      <c r="I25111" s="676"/>
      <c r="J25111" s="770"/>
    </row>
    <row r="25112" spans="8:10" x14ac:dyDescent="0.35">
      <c r="H25112" s="676"/>
      <c r="I25112" s="676"/>
      <c r="J25112" s="770"/>
    </row>
    <row r="25113" spans="8:10" x14ac:dyDescent="0.35">
      <c r="H25113" s="676"/>
      <c r="I25113" s="676"/>
      <c r="J25113" s="770"/>
    </row>
    <row r="25114" spans="8:10" x14ac:dyDescent="0.35">
      <c r="H25114" s="676"/>
      <c r="I25114" s="676"/>
      <c r="J25114" s="770"/>
    </row>
    <row r="25115" spans="8:10" x14ac:dyDescent="0.35">
      <c r="H25115" s="676"/>
      <c r="I25115" s="676"/>
      <c r="J25115" s="770"/>
    </row>
    <row r="25116" spans="8:10" x14ac:dyDescent="0.35">
      <c r="H25116" s="676"/>
      <c r="I25116" s="676"/>
      <c r="J25116" s="770"/>
    </row>
    <row r="25117" spans="8:10" x14ac:dyDescent="0.35">
      <c r="H25117" s="676"/>
      <c r="I25117" s="676"/>
      <c r="J25117" s="770"/>
    </row>
    <row r="25118" spans="8:10" x14ac:dyDescent="0.35">
      <c r="H25118" s="676"/>
      <c r="I25118" s="676"/>
      <c r="J25118" s="770"/>
    </row>
    <row r="25119" spans="8:10" x14ac:dyDescent="0.35">
      <c r="H25119" s="676"/>
      <c r="I25119" s="676"/>
      <c r="J25119" s="770"/>
    </row>
    <row r="25120" spans="8:10" x14ac:dyDescent="0.35">
      <c r="H25120" s="676"/>
      <c r="I25120" s="676"/>
      <c r="J25120" s="770"/>
    </row>
    <row r="25121" spans="8:10" x14ac:dyDescent="0.35">
      <c r="H25121" s="676"/>
      <c r="I25121" s="676"/>
      <c r="J25121" s="770"/>
    </row>
    <row r="25122" spans="8:10" x14ac:dyDescent="0.35">
      <c r="H25122" s="676"/>
      <c r="I25122" s="676"/>
      <c r="J25122" s="770"/>
    </row>
    <row r="25123" spans="8:10" x14ac:dyDescent="0.35">
      <c r="H25123" s="676"/>
      <c r="I25123" s="676"/>
      <c r="J25123" s="770"/>
    </row>
    <row r="25124" spans="8:10" x14ac:dyDescent="0.35">
      <c r="H25124" s="676"/>
      <c r="I25124" s="676"/>
      <c r="J25124" s="770"/>
    </row>
    <row r="25125" spans="8:10" x14ac:dyDescent="0.35">
      <c r="H25125" s="676"/>
      <c r="I25125" s="676"/>
      <c r="J25125" s="770"/>
    </row>
    <row r="25126" spans="8:10" x14ac:dyDescent="0.35">
      <c r="H25126" s="676"/>
      <c r="I25126" s="676"/>
      <c r="J25126" s="770"/>
    </row>
    <row r="25127" spans="8:10" x14ac:dyDescent="0.35">
      <c r="H25127" s="676"/>
      <c r="I25127" s="676"/>
      <c r="J25127" s="770"/>
    </row>
    <row r="25128" spans="8:10" x14ac:dyDescent="0.35">
      <c r="H25128" s="676"/>
      <c r="I25128" s="676"/>
      <c r="J25128" s="770"/>
    </row>
    <row r="25129" spans="8:10" x14ac:dyDescent="0.35">
      <c r="H25129" s="676"/>
      <c r="I25129" s="676"/>
      <c r="J25129" s="770"/>
    </row>
    <row r="25130" spans="8:10" x14ac:dyDescent="0.35">
      <c r="H25130" s="676"/>
      <c r="I25130" s="676"/>
      <c r="J25130" s="770"/>
    </row>
    <row r="25131" spans="8:10" x14ac:dyDescent="0.35">
      <c r="H25131" s="676"/>
      <c r="I25131" s="676"/>
      <c r="J25131" s="770"/>
    </row>
    <row r="25132" spans="8:10" x14ac:dyDescent="0.35">
      <c r="H25132" s="676"/>
      <c r="I25132" s="676"/>
      <c r="J25132" s="770"/>
    </row>
    <row r="25133" spans="8:10" x14ac:dyDescent="0.35">
      <c r="H25133" s="676"/>
      <c r="I25133" s="676"/>
      <c r="J25133" s="770"/>
    </row>
    <row r="25134" spans="8:10" x14ac:dyDescent="0.35">
      <c r="H25134" s="676"/>
      <c r="I25134" s="676"/>
      <c r="J25134" s="770"/>
    </row>
    <row r="25135" spans="8:10" x14ac:dyDescent="0.35">
      <c r="H25135" s="676"/>
      <c r="I25135" s="676"/>
      <c r="J25135" s="770"/>
    </row>
    <row r="25136" spans="8:10" x14ac:dyDescent="0.35">
      <c r="H25136" s="676"/>
      <c r="I25136" s="676"/>
      <c r="J25136" s="770"/>
    </row>
    <row r="25137" spans="8:10" x14ac:dyDescent="0.35">
      <c r="H25137" s="676"/>
      <c r="I25137" s="676"/>
      <c r="J25137" s="770"/>
    </row>
    <row r="25138" spans="8:10" x14ac:dyDescent="0.35">
      <c r="H25138" s="676"/>
      <c r="I25138" s="676"/>
      <c r="J25138" s="770"/>
    </row>
    <row r="25139" spans="8:10" x14ac:dyDescent="0.35">
      <c r="H25139" s="676"/>
      <c r="I25139" s="676"/>
      <c r="J25139" s="770"/>
    </row>
    <row r="25140" spans="8:10" x14ac:dyDescent="0.35">
      <c r="H25140" s="676"/>
      <c r="I25140" s="676"/>
      <c r="J25140" s="770"/>
    </row>
    <row r="25141" spans="8:10" x14ac:dyDescent="0.35">
      <c r="H25141" s="676"/>
      <c r="I25141" s="676"/>
      <c r="J25141" s="770"/>
    </row>
    <row r="25142" spans="8:10" x14ac:dyDescent="0.35">
      <c r="H25142" s="676"/>
      <c r="I25142" s="676"/>
      <c r="J25142" s="770"/>
    </row>
    <row r="25143" spans="8:10" x14ac:dyDescent="0.35">
      <c r="H25143" s="676"/>
      <c r="I25143" s="676"/>
      <c r="J25143" s="770"/>
    </row>
    <row r="25144" spans="8:10" x14ac:dyDescent="0.35">
      <c r="H25144" s="676"/>
      <c r="I25144" s="676"/>
      <c r="J25144" s="770"/>
    </row>
    <row r="25145" spans="8:10" x14ac:dyDescent="0.35">
      <c r="H25145" s="676"/>
      <c r="I25145" s="676"/>
      <c r="J25145" s="770"/>
    </row>
    <row r="25146" spans="8:10" x14ac:dyDescent="0.35">
      <c r="H25146" s="676"/>
      <c r="I25146" s="676"/>
      <c r="J25146" s="770"/>
    </row>
    <row r="25147" spans="8:10" x14ac:dyDescent="0.35">
      <c r="H25147" s="676"/>
      <c r="I25147" s="676"/>
      <c r="J25147" s="770"/>
    </row>
    <row r="25148" spans="8:10" x14ac:dyDescent="0.35">
      <c r="H25148" s="676"/>
      <c r="I25148" s="676"/>
      <c r="J25148" s="770"/>
    </row>
    <row r="25149" spans="8:10" x14ac:dyDescent="0.35">
      <c r="H25149" s="676"/>
      <c r="I25149" s="676"/>
      <c r="J25149" s="770"/>
    </row>
    <row r="25150" spans="8:10" x14ac:dyDescent="0.35">
      <c r="H25150" s="676"/>
      <c r="I25150" s="676"/>
      <c r="J25150" s="770"/>
    </row>
    <row r="25151" spans="8:10" x14ac:dyDescent="0.35">
      <c r="H25151" s="676"/>
      <c r="I25151" s="676"/>
      <c r="J25151" s="770"/>
    </row>
    <row r="25152" spans="8:10" x14ac:dyDescent="0.35">
      <c r="H25152" s="676"/>
      <c r="I25152" s="676"/>
      <c r="J25152" s="770"/>
    </row>
    <row r="25153" spans="8:10" x14ac:dyDescent="0.35">
      <c r="H25153" s="676"/>
      <c r="I25153" s="676"/>
      <c r="J25153" s="770"/>
    </row>
    <row r="25154" spans="8:10" x14ac:dyDescent="0.35">
      <c r="H25154" s="676"/>
      <c r="I25154" s="676"/>
      <c r="J25154" s="770"/>
    </row>
    <row r="25155" spans="8:10" x14ac:dyDescent="0.35">
      <c r="H25155" s="676"/>
      <c r="I25155" s="676"/>
      <c r="J25155" s="770"/>
    </row>
    <row r="25156" spans="8:10" x14ac:dyDescent="0.35">
      <c r="H25156" s="676"/>
      <c r="I25156" s="676"/>
      <c r="J25156" s="770"/>
    </row>
    <row r="25157" spans="8:10" x14ac:dyDescent="0.35">
      <c r="H25157" s="676"/>
      <c r="I25157" s="676"/>
      <c r="J25157" s="770"/>
    </row>
    <row r="25158" spans="8:10" x14ac:dyDescent="0.35">
      <c r="H25158" s="676"/>
      <c r="I25158" s="676"/>
      <c r="J25158" s="770"/>
    </row>
    <row r="25159" spans="8:10" x14ac:dyDescent="0.35">
      <c r="H25159" s="676"/>
      <c r="I25159" s="676"/>
      <c r="J25159" s="770"/>
    </row>
    <row r="25160" spans="8:10" x14ac:dyDescent="0.35">
      <c r="H25160" s="676"/>
      <c r="I25160" s="676"/>
      <c r="J25160" s="770"/>
    </row>
    <row r="25161" spans="8:10" x14ac:dyDescent="0.35">
      <c r="H25161" s="676"/>
      <c r="I25161" s="676"/>
      <c r="J25161" s="770"/>
    </row>
    <row r="25162" spans="8:10" x14ac:dyDescent="0.35">
      <c r="H25162" s="676"/>
      <c r="I25162" s="676"/>
      <c r="J25162" s="770"/>
    </row>
    <row r="25163" spans="8:10" x14ac:dyDescent="0.35">
      <c r="H25163" s="676"/>
      <c r="I25163" s="676"/>
      <c r="J25163" s="770"/>
    </row>
    <row r="25164" spans="8:10" x14ac:dyDescent="0.35">
      <c r="H25164" s="676"/>
      <c r="I25164" s="676"/>
      <c r="J25164" s="770"/>
    </row>
    <row r="25165" spans="8:10" x14ac:dyDescent="0.35">
      <c r="H25165" s="676"/>
      <c r="I25165" s="676"/>
      <c r="J25165" s="770"/>
    </row>
    <row r="25166" spans="8:10" x14ac:dyDescent="0.35">
      <c r="H25166" s="676"/>
      <c r="I25166" s="676"/>
      <c r="J25166" s="770"/>
    </row>
    <row r="25167" spans="8:10" x14ac:dyDescent="0.35">
      <c r="H25167" s="676"/>
      <c r="I25167" s="676"/>
      <c r="J25167" s="770"/>
    </row>
    <row r="25168" spans="8:10" x14ac:dyDescent="0.35">
      <c r="H25168" s="676"/>
      <c r="I25168" s="676"/>
      <c r="J25168" s="770"/>
    </row>
    <row r="25169" spans="8:10" x14ac:dyDescent="0.35">
      <c r="H25169" s="676"/>
      <c r="I25169" s="676"/>
      <c r="J25169" s="770"/>
    </row>
    <row r="25170" spans="8:10" x14ac:dyDescent="0.35">
      <c r="H25170" s="676"/>
      <c r="I25170" s="676"/>
      <c r="J25170" s="770"/>
    </row>
    <row r="25171" spans="8:10" x14ac:dyDescent="0.35">
      <c r="H25171" s="676"/>
      <c r="I25171" s="676"/>
      <c r="J25171" s="770"/>
    </row>
    <row r="25172" spans="8:10" x14ac:dyDescent="0.35">
      <c r="H25172" s="676"/>
      <c r="I25172" s="676"/>
      <c r="J25172" s="770"/>
    </row>
    <row r="25173" spans="8:10" x14ac:dyDescent="0.35">
      <c r="H25173" s="676"/>
      <c r="I25173" s="676"/>
      <c r="J25173" s="770"/>
    </row>
    <row r="25174" spans="8:10" x14ac:dyDescent="0.35">
      <c r="H25174" s="676"/>
      <c r="I25174" s="676"/>
      <c r="J25174" s="770"/>
    </row>
    <row r="25175" spans="8:10" x14ac:dyDescent="0.35">
      <c r="H25175" s="676"/>
      <c r="I25175" s="676"/>
      <c r="J25175" s="770"/>
    </row>
    <row r="25176" spans="8:10" x14ac:dyDescent="0.35">
      <c r="H25176" s="676"/>
      <c r="I25176" s="676"/>
      <c r="J25176" s="770"/>
    </row>
    <row r="25177" spans="8:10" x14ac:dyDescent="0.35">
      <c r="H25177" s="676"/>
      <c r="I25177" s="676"/>
      <c r="J25177" s="770"/>
    </row>
    <row r="25178" spans="8:10" x14ac:dyDescent="0.35">
      <c r="H25178" s="676"/>
      <c r="I25178" s="676"/>
      <c r="J25178" s="770"/>
    </row>
    <row r="25179" spans="8:10" x14ac:dyDescent="0.35">
      <c r="H25179" s="676"/>
      <c r="I25179" s="676"/>
      <c r="J25179" s="770"/>
    </row>
    <row r="25180" spans="8:10" x14ac:dyDescent="0.35">
      <c r="H25180" s="676"/>
      <c r="I25180" s="676"/>
      <c r="J25180" s="770"/>
    </row>
    <row r="25181" spans="8:10" x14ac:dyDescent="0.35">
      <c r="H25181" s="676"/>
      <c r="I25181" s="676"/>
      <c r="J25181" s="770"/>
    </row>
    <row r="25182" spans="8:10" x14ac:dyDescent="0.35">
      <c r="H25182" s="676"/>
      <c r="I25182" s="676"/>
      <c r="J25182" s="770"/>
    </row>
    <row r="25183" spans="8:10" x14ac:dyDescent="0.35">
      <c r="H25183" s="676"/>
      <c r="I25183" s="676"/>
      <c r="J25183" s="770"/>
    </row>
    <row r="25184" spans="8:10" x14ac:dyDescent="0.35">
      <c r="H25184" s="676"/>
      <c r="I25184" s="676"/>
      <c r="J25184" s="770"/>
    </row>
    <row r="25185" spans="8:10" x14ac:dyDescent="0.35">
      <c r="H25185" s="676"/>
      <c r="I25185" s="676"/>
      <c r="J25185" s="770"/>
    </row>
    <row r="25186" spans="8:10" x14ac:dyDescent="0.35">
      <c r="H25186" s="676"/>
      <c r="I25186" s="676"/>
      <c r="J25186" s="770"/>
    </row>
    <row r="25187" spans="8:10" x14ac:dyDescent="0.35">
      <c r="H25187" s="676"/>
      <c r="I25187" s="676"/>
      <c r="J25187" s="770"/>
    </row>
    <row r="25188" spans="8:10" x14ac:dyDescent="0.35">
      <c r="H25188" s="676"/>
      <c r="I25188" s="676"/>
      <c r="J25188" s="770"/>
    </row>
    <row r="25189" spans="8:10" x14ac:dyDescent="0.35">
      <c r="H25189" s="676"/>
      <c r="I25189" s="676"/>
      <c r="J25189" s="770"/>
    </row>
    <row r="25190" spans="8:10" x14ac:dyDescent="0.35">
      <c r="H25190" s="676"/>
      <c r="I25190" s="676"/>
      <c r="J25190" s="770"/>
    </row>
    <row r="25191" spans="8:10" x14ac:dyDescent="0.35">
      <c r="H25191" s="676"/>
      <c r="I25191" s="676"/>
      <c r="J25191" s="770"/>
    </row>
    <row r="25192" spans="8:10" x14ac:dyDescent="0.35">
      <c r="H25192" s="676"/>
      <c r="I25192" s="676"/>
      <c r="J25192" s="770"/>
    </row>
    <row r="25193" spans="8:10" x14ac:dyDescent="0.35">
      <c r="H25193" s="676"/>
      <c r="I25193" s="676"/>
      <c r="J25193" s="770"/>
    </row>
    <row r="25194" spans="8:10" x14ac:dyDescent="0.35">
      <c r="H25194" s="676"/>
      <c r="I25194" s="676"/>
      <c r="J25194" s="770"/>
    </row>
    <row r="25195" spans="8:10" x14ac:dyDescent="0.35">
      <c r="H25195" s="676"/>
      <c r="I25195" s="676"/>
      <c r="J25195" s="770"/>
    </row>
    <row r="25196" spans="8:10" x14ac:dyDescent="0.35">
      <c r="H25196" s="676"/>
      <c r="I25196" s="676"/>
      <c r="J25196" s="770"/>
    </row>
    <row r="25197" spans="8:10" x14ac:dyDescent="0.35">
      <c r="H25197" s="676"/>
      <c r="I25197" s="676"/>
      <c r="J25197" s="770"/>
    </row>
    <row r="25198" spans="8:10" x14ac:dyDescent="0.35">
      <c r="H25198" s="676"/>
      <c r="I25198" s="676"/>
      <c r="J25198" s="770"/>
    </row>
    <row r="25199" spans="8:10" x14ac:dyDescent="0.35">
      <c r="H25199" s="676"/>
      <c r="I25199" s="676"/>
      <c r="J25199" s="770"/>
    </row>
    <row r="25200" spans="8:10" x14ac:dyDescent="0.35">
      <c r="H25200" s="676"/>
      <c r="I25200" s="676"/>
      <c r="J25200" s="770"/>
    </row>
    <row r="25201" spans="8:10" x14ac:dyDescent="0.35">
      <c r="H25201" s="676"/>
      <c r="I25201" s="676"/>
      <c r="J25201" s="770"/>
    </row>
    <row r="25202" spans="8:10" x14ac:dyDescent="0.35">
      <c r="H25202" s="676"/>
      <c r="I25202" s="676"/>
      <c r="J25202" s="770"/>
    </row>
    <row r="25203" spans="8:10" x14ac:dyDescent="0.35">
      <c r="H25203" s="676"/>
      <c r="I25203" s="676"/>
      <c r="J25203" s="770"/>
    </row>
    <row r="25204" spans="8:10" x14ac:dyDescent="0.35">
      <c r="H25204" s="676"/>
      <c r="I25204" s="676"/>
      <c r="J25204" s="770"/>
    </row>
    <row r="25205" spans="8:10" x14ac:dyDescent="0.35">
      <c r="H25205" s="676"/>
      <c r="I25205" s="676"/>
      <c r="J25205" s="770"/>
    </row>
    <row r="25206" spans="8:10" x14ac:dyDescent="0.35">
      <c r="H25206" s="676"/>
      <c r="I25206" s="676"/>
      <c r="J25206" s="770"/>
    </row>
    <row r="25207" spans="8:10" x14ac:dyDescent="0.35">
      <c r="H25207" s="676"/>
      <c r="I25207" s="676"/>
      <c r="J25207" s="770"/>
    </row>
    <row r="25208" spans="8:10" x14ac:dyDescent="0.35">
      <c r="H25208" s="676"/>
      <c r="I25208" s="676"/>
      <c r="J25208" s="770"/>
    </row>
    <row r="25209" spans="8:10" x14ac:dyDescent="0.35">
      <c r="H25209" s="676"/>
      <c r="I25209" s="676"/>
      <c r="J25209" s="770"/>
    </row>
    <row r="25210" spans="8:10" x14ac:dyDescent="0.35">
      <c r="H25210" s="676"/>
      <c r="I25210" s="676"/>
      <c r="J25210" s="770"/>
    </row>
    <row r="25211" spans="8:10" x14ac:dyDescent="0.35">
      <c r="H25211" s="676"/>
      <c r="I25211" s="676"/>
      <c r="J25211" s="770"/>
    </row>
    <row r="25212" spans="8:10" x14ac:dyDescent="0.35">
      <c r="H25212" s="676"/>
      <c r="I25212" s="676"/>
      <c r="J25212" s="770"/>
    </row>
    <row r="25213" spans="8:10" x14ac:dyDescent="0.35">
      <c r="H25213" s="676"/>
      <c r="I25213" s="676"/>
      <c r="J25213" s="770"/>
    </row>
    <row r="25214" spans="8:10" x14ac:dyDescent="0.35">
      <c r="H25214" s="676"/>
      <c r="I25214" s="676"/>
      <c r="J25214" s="770"/>
    </row>
    <row r="25215" spans="8:10" x14ac:dyDescent="0.35">
      <c r="H25215" s="676"/>
      <c r="I25215" s="676"/>
      <c r="J25215" s="770"/>
    </row>
    <row r="25216" spans="8:10" x14ac:dyDescent="0.35">
      <c r="H25216" s="676"/>
      <c r="I25216" s="676"/>
      <c r="J25216" s="770"/>
    </row>
    <row r="25217" spans="8:10" x14ac:dyDescent="0.35">
      <c r="H25217" s="676"/>
      <c r="I25217" s="676"/>
      <c r="J25217" s="770"/>
    </row>
    <row r="25218" spans="8:10" x14ac:dyDescent="0.35">
      <c r="H25218" s="676"/>
      <c r="I25218" s="676"/>
      <c r="J25218" s="770"/>
    </row>
    <row r="25219" spans="8:10" x14ac:dyDescent="0.35">
      <c r="H25219" s="676"/>
      <c r="I25219" s="676"/>
      <c r="J25219" s="770"/>
    </row>
    <row r="25220" spans="8:10" x14ac:dyDescent="0.35">
      <c r="H25220" s="676"/>
      <c r="I25220" s="676"/>
      <c r="J25220" s="770"/>
    </row>
    <row r="25221" spans="8:10" x14ac:dyDescent="0.35">
      <c r="H25221" s="676"/>
      <c r="I25221" s="676"/>
      <c r="J25221" s="770"/>
    </row>
    <row r="25222" spans="8:10" x14ac:dyDescent="0.35">
      <c r="H25222" s="676"/>
      <c r="I25222" s="676"/>
      <c r="J25222" s="770"/>
    </row>
    <row r="25223" spans="8:10" x14ac:dyDescent="0.35">
      <c r="H25223" s="676"/>
      <c r="I25223" s="676"/>
      <c r="J25223" s="770"/>
    </row>
    <row r="25224" spans="8:10" x14ac:dyDescent="0.35">
      <c r="H25224" s="676"/>
      <c r="I25224" s="676"/>
      <c r="J25224" s="770"/>
    </row>
    <row r="25225" spans="8:10" x14ac:dyDescent="0.35">
      <c r="H25225" s="676"/>
      <c r="I25225" s="676"/>
      <c r="J25225" s="770"/>
    </row>
    <row r="25226" spans="8:10" x14ac:dyDescent="0.35">
      <c r="H25226" s="676"/>
      <c r="I25226" s="676"/>
      <c r="J25226" s="770"/>
    </row>
    <row r="25227" spans="8:10" x14ac:dyDescent="0.35">
      <c r="H25227" s="676"/>
      <c r="I25227" s="676"/>
      <c r="J25227" s="770"/>
    </row>
    <row r="25228" spans="8:10" x14ac:dyDescent="0.35">
      <c r="H25228" s="676"/>
      <c r="I25228" s="676"/>
      <c r="J25228" s="770"/>
    </row>
    <row r="25229" spans="8:10" x14ac:dyDescent="0.35">
      <c r="H25229" s="676"/>
      <c r="I25229" s="676"/>
      <c r="J25229" s="770"/>
    </row>
    <row r="25230" spans="8:10" x14ac:dyDescent="0.35">
      <c r="H25230" s="676"/>
      <c r="I25230" s="676"/>
      <c r="J25230" s="770"/>
    </row>
    <row r="25231" spans="8:10" x14ac:dyDescent="0.35">
      <c r="H25231" s="676"/>
      <c r="I25231" s="676"/>
      <c r="J25231" s="770"/>
    </row>
    <row r="25232" spans="8:10" x14ac:dyDescent="0.35">
      <c r="H25232" s="676"/>
      <c r="I25232" s="676"/>
      <c r="J25232" s="770"/>
    </row>
    <row r="25233" spans="8:10" x14ac:dyDescent="0.35">
      <c r="H25233" s="676"/>
      <c r="I25233" s="676"/>
      <c r="J25233" s="770"/>
    </row>
    <row r="25234" spans="8:10" x14ac:dyDescent="0.35">
      <c r="H25234" s="676"/>
      <c r="I25234" s="676"/>
      <c r="J25234" s="770"/>
    </row>
    <row r="25235" spans="8:10" x14ac:dyDescent="0.35">
      <c r="H25235" s="676"/>
      <c r="I25235" s="676"/>
      <c r="J25235" s="770"/>
    </row>
    <row r="25236" spans="8:10" x14ac:dyDescent="0.35">
      <c r="H25236" s="676"/>
      <c r="I25236" s="676"/>
      <c r="J25236" s="770"/>
    </row>
    <row r="25237" spans="8:10" x14ac:dyDescent="0.35">
      <c r="H25237" s="676"/>
      <c r="I25237" s="676"/>
      <c r="J25237" s="770"/>
    </row>
    <row r="25238" spans="8:10" x14ac:dyDescent="0.35">
      <c r="H25238" s="676"/>
      <c r="I25238" s="676"/>
      <c r="J25238" s="770"/>
    </row>
    <row r="25239" spans="8:10" x14ac:dyDescent="0.35">
      <c r="H25239" s="676"/>
      <c r="I25239" s="676"/>
      <c r="J25239" s="770"/>
    </row>
    <row r="25240" spans="8:10" x14ac:dyDescent="0.35">
      <c r="H25240" s="676"/>
      <c r="I25240" s="676"/>
      <c r="J25240" s="770"/>
    </row>
    <row r="25241" spans="8:10" x14ac:dyDescent="0.35">
      <c r="H25241" s="676"/>
      <c r="I25241" s="676"/>
      <c r="J25241" s="770"/>
    </row>
    <row r="25242" spans="8:10" x14ac:dyDescent="0.35">
      <c r="H25242" s="676"/>
      <c r="I25242" s="676"/>
      <c r="J25242" s="770"/>
    </row>
    <row r="25243" spans="8:10" x14ac:dyDescent="0.35">
      <c r="H25243" s="676"/>
      <c r="I25243" s="676"/>
      <c r="J25243" s="770"/>
    </row>
    <row r="25244" spans="8:10" x14ac:dyDescent="0.35">
      <c r="H25244" s="676"/>
      <c r="I25244" s="676"/>
      <c r="J25244" s="770"/>
    </row>
    <row r="25245" spans="8:10" x14ac:dyDescent="0.35">
      <c r="H25245" s="676"/>
      <c r="I25245" s="676"/>
      <c r="J25245" s="770"/>
    </row>
    <row r="25246" spans="8:10" x14ac:dyDescent="0.35">
      <c r="H25246" s="676"/>
      <c r="I25246" s="676"/>
      <c r="J25246" s="770"/>
    </row>
    <row r="25247" spans="8:10" x14ac:dyDescent="0.35">
      <c r="H25247" s="676"/>
      <c r="I25247" s="676"/>
      <c r="J25247" s="770"/>
    </row>
    <row r="25248" spans="8:10" x14ac:dyDescent="0.35">
      <c r="H25248" s="676"/>
      <c r="I25248" s="676"/>
      <c r="J25248" s="770"/>
    </row>
    <row r="25249" spans="8:10" x14ac:dyDescent="0.35">
      <c r="H25249" s="676"/>
      <c r="I25249" s="676"/>
      <c r="J25249" s="770"/>
    </row>
    <row r="25250" spans="8:10" x14ac:dyDescent="0.35">
      <c r="H25250" s="676"/>
      <c r="I25250" s="676"/>
      <c r="J25250" s="770"/>
    </row>
    <row r="25251" spans="8:10" x14ac:dyDescent="0.35">
      <c r="H25251" s="676"/>
      <c r="I25251" s="676"/>
      <c r="J25251" s="770"/>
    </row>
    <row r="25252" spans="8:10" x14ac:dyDescent="0.35">
      <c r="H25252" s="676"/>
      <c r="I25252" s="676"/>
      <c r="J25252" s="770"/>
    </row>
    <row r="25253" spans="8:10" x14ac:dyDescent="0.35">
      <c r="H25253" s="676"/>
      <c r="I25253" s="676"/>
      <c r="J25253" s="770"/>
    </row>
    <row r="25254" spans="8:10" x14ac:dyDescent="0.35">
      <c r="H25254" s="676"/>
      <c r="I25254" s="676"/>
      <c r="J25254" s="770"/>
    </row>
    <row r="25255" spans="8:10" x14ac:dyDescent="0.35">
      <c r="H25255" s="676"/>
      <c r="I25255" s="676"/>
      <c r="J25255" s="770"/>
    </row>
    <row r="25256" spans="8:10" x14ac:dyDescent="0.35">
      <c r="H25256" s="676"/>
      <c r="I25256" s="676"/>
      <c r="J25256" s="770"/>
    </row>
    <row r="25257" spans="8:10" x14ac:dyDescent="0.35">
      <c r="H25257" s="676"/>
      <c r="I25257" s="676"/>
      <c r="J25257" s="770"/>
    </row>
    <row r="25258" spans="8:10" x14ac:dyDescent="0.35">
      <c r="H25258" s="676"/>
      <c r="I25258" s="676"/>
      <c r="J25258" s="770"/>
    </row>
    <row r="25259" spans="8:10" x14ac:dyDescent="0.35">
      <c r="H25259" s="676"/>
      <c r="I25259" s="676"/>
      <c r="J25259" s="770"/>
    </row>
    <row r="25260" spans="8:10" x14ac:dyDescent="0.35">
      <c r="H25260" s="676"/>
      <c r="I25260" s="676"/>
      <c r="J25260" s="770"/>
    </row>
    <row r="25261" spans="8:10" x14ac:dyDescent="0.35">
      <c r="H25261" s="676"/>
      <c r="I25261" s="676"/>
      <c r="J25261" s="770"/>
    </row>
    <row r="25262" spans="8:10" x14ac:dyDescent="0.35">
      <c r="H25262" s="676"/>
      <c r="I25262" s="676"/>
      <c r="J25262" s="770"/>
    </row>
    <row r="25263" spans="8:10" x14ac:dyDescent="0.35">
      <c r="H25263" s="676"/>
      <c r="I25263" s="676"/>
      <c r="J25263" s="770"/>
    </row>
    <row r="25264" spans="8:10" x14ac:dyDescent="0.35">
      <c r="H25264" s="676"/>
      <c r="I25264" s="676"/>
      <c r="J25264" s="770"/>
    </row>
    <row r="25265" spans="8:10" x14ac:dyDescent="0.35">
      <c r="H25265" s="676"/>
      <c r="I25265" s="676"/>
      <c r="J25265" s="770"/>
    </row>
    <row r="25266" spans="8:10" x14ac:dyDescent="0.35">
      <c r="H25266" s="676"/>
      <c r="I25266" s="676"/>
      <c r="J25266" s="770"/>
    </row>
    <row r="25267" spans="8:10" x14ac:dyDescent="0.35">
      <c r="H25267" s="676"/>
      <c r="I25267" s="676"/>
      <c r="J25267" s="770"/>
    </row>
    <row r="25268" spans="8:10" x14ac:dyDescent="0.35">
      <c r="H25268" s="676"/>
      <c r="I25268" s="676"/>
      <c r="J25268" s="770"/>
    </row>
    <row r="25269" spans="8:10" x14ac:dyDescent="0.35">
      <c r="H25269" s="676"/>
      <c r="I25269" s="676"/>
      <c r="J25269" s="770"/>
    </row>
    <row r="25270" spans="8:10" x14ac:dyDescent="0.35">
      <c r="H25270" s="676"/>
      <c r="I25270" s="676"/>
      <c r="J25270" s="770"/>
    </row>
    <row r="25271" spans="8:10" x14ac:dyDescent="0.35">
      <c r="H25271" s="676"/>
      <c r="I25271" s="676"/>
      <c r="J25271" s="770"/>
    </row>
    <row r="25272" spans="8:10" x14ac:dyDescent="0.35">
      <c r="H25272" s="676"/>
      <c r="I25272" s="676"/>
      <c r="J25272" s="770"/>
    </row>
    <row r="25273" spans="8:10" x14ac:dyDescent="0.35">
      <c r="H25273" s="676"/>
      <c r="I25273" s="676"/>
      <c r="J25273" s="770"/>
    </row>
    <row r="25274" spans="8:10" x14ac:dyDescent="0.35">
      <c r="H25274" s="676"/>
      <c r="I25274" s="676"/>
      <c r="J25274" s="770"/>
    </row>
    <row r="25275" spans="8:10" x14ac:dyDescent="0.35">
      <c r="H25275" s="676"/>
      <c r="I25275" s="676"/>
      <c r="J25275" s="770"/>
    </row>
    <row r="25276" spans="8:10" x14ac:dyDescent="0.35">
      <c r="H25276" s="676"/>
      <c r="I25276" s="676"/>
      <c r="J25276" s="770"/>
    </row>
    <row r="25277" spans="8:10" x14ac:dyDescent="0.35">
      <c r="H25277" s="676"/>
      <c r="I25277" s="676"/>
      <c r="J25277" s="770"/>
    </row>
    <row r="25278" spans="8:10" x14ac:dyDescent="0.35">
      <c r="H25278" s="676"/>
      <c r="I25278" s="676"/>
      <c r="J25278" s="770"/>
    </row>
    <row r="25279" spans="8:10" x14ac:dyDescent="0.35">
      <c r="H25279" s="676"/>
      <c r="I25279" s="676"/>
      <c r="J25279" s="770"/>
    </row>
    <row r="25280" spans="8:10" x14ac:dyDescent="0.35">
      <c r="H25280" s="676"/>
      <c r="I25280" s="676"/>
      <c r="J25280" s="770"/>
    </row>
    <row r="25281" spans="8:10" x14ac:dyDescent="0.35">
      <c r="H25281" s="676"/>
      <c r="I25281" s="676"/>
      <c r="J25281" s="770"/>
    </row>
    <row r="25282" spans="8:10" x14ac:dyDescent="0.35">
      <c r="H25282" s="676"/>
      <c r="I25282" s="676"/>
      <c r="J25282" s="770"/>
    </row>
    <row r="25283" spans="8:10" x14ac:dyDescent="0.35">
      <c r="H25283" s="676"/>
      <c r="I25283" s="676"/>
      <c r="J25283" s="770"/>
    </row>
    <row r="25284" spans="8:10" x14ac:dyDescent="0.35">
      <c r="H25284" s="676"/>
      <c r="I25284" s="676"/>
      <c r="J25284" s="770"/>
    </row>
    <row r="25285" spans="8:10" x14ac:dyDescent="0.35">
      <c r="H25285" s="676"/>
      <c r="I25285" s="676"/>
      <c r="J25285" s="770"/>
    </row>
    <row r="25286" spans="8:10" x14ac:dyDescent="0.35">
      <c r="H25286" s="676"/>
      <c r="I25286" s="676"/>
      <c r="J25286" s="770"/>
    </row>
    <row r="25287" spans="8:10" x14ac:dyDescent="0.35">
      <c r="H25287" s="676"/>
      <c r="I25287" s="676"/>
      <c r="J25287" s="770"/>
    </row>
    <row r="25288" spans="8:10" x14ac:dyDescent="0.35">
      <c r="H25288" s="676"/>
      <c r="I25288" s="676"/>
      <c r="J25288" s="770"/>
    </row>
    <row r="25289" spans="8:10" x14ac:dyDescent="0.35">
      <c r="H25289" s="676"/>
      <c r="I25289" s="676"/>
      <c r="J25289" s="770"/>
    </row>
    <row r="25290" spans="8:10" x14ac:dyDescent="0.35">
      <c r="H25290" s="676"/>
      <c r="I25290" s="676"/>
      <c r="J25290" s="770"/>
    </row>
    <row r="25291" spans="8:10" x14ac:dyDescent="0.35">
      <c r="H25291" s="676"/>
      <c r="I25291" s="676"/>
      <c r="J25291" s="770"/>
    </row>
    <row r="25292" spans="8:10" x14ac:dyDescent="0.35">
      <c r="H25292" s="676"/>
      <c r="I25292" s="676"/>
      <c r="J25292" s="770"/>
    </row>
    <row r="25293" spans="8:10" x14ac:dyDescent="0.35">
      <c r="H25293" s="676"/>
      <c r="I25293" s="676"/>
      <c r="J25293" s="770"/>
    </row>
    <row r="25294" spans="8:10" x14ac:dyDescent="0.35">
      <c r="H25294" s="676"/>
      <c r="I25294" s="676"/>
      <c r="J25294" s="770"/>
    </row>
    <row r="25295" spans="8:10" x14ac:dyDescent="0.35">
      <c r="H25295" s="676"/>
      <c r="I25295" s="676"/>
      <c r="J25295" s="770"/>
    </row>
    <row r="25296" spans="8:10" x14ac:dyDescent="0.35">
      <c r="H25296" s="676"/>
      <c r="I25296" s="676"/>
      <c r="J25296" s="770"/>
    </row>
    <row r="25297" spans="8:10" x14ac:dyDescent="0.35">
      <c r="H25297" s="676"/>
      <c r="I25297" s="676"/>
      <c r="J25297" s="770"/>
    </row>
    <row r="25298" spans="8:10" x14ac:dyDescent="0.35">
      <c r="H25298" s="676"/>
      <c r="I25298" s="676"/>
      <c r="J25298" s="770"/>
    </row>
    <row r="25299" spans="8:10" x14ac:dyDescent="0.35">
      <c r="H25299" s="676"/>
      <c r="I25299" s="676"/>
      <c r="J25299" s="770"/>
    </row>
    <row r="25300" spans="8:10" x14ac:dyDescent="0.35">
      <c r="H25300" s="676"/>
      <c r="I25300" s="676"/>
      <c r="J25300" s="770"/>
    </row>
    <row r="25301" spans="8:10" x14ac:dyDescent="0.35">
      <c r="H25301" s="676"/>
      <c r="I25301" s="676"/>
      <c r="J25301" s="770"/>
    </row>
    <row r="25302" spans="8:10" x14ac:dyDescent="0.35">
      <c r="H25302" s="676"/>
      <c r="I25302" s="676"/>
      <c r="J25302" s="770"/>
    </row>
    <row r="25303" spans="8:10" x14ac:dyDescent="0.35">
      <c r="H25303" s="676"/>
      <c r="I25303" s="676"/>
      <c r="J25303" s="770"/>
    </row>
    <row r="25304" spans="8:10" x14ac:dyDescent="0.35">
      <c r="H25304" s="676"/>
      <c r="I25304" s="676"/>
      <c r="J25304" s="770"/>
    </row>
    <row r="25305" spans="8:10" x14ac:dyDescent="0.35">
      <c r="H25305" s="676"/>
      <c r="I25305" s="676"/>
      <c r="J25305" s="770"/>
    </row>
    <row r="25306" spans="8:10" x14ac:dyDescent="0.35">
      <c r="H25306" s="676"/>
      <c r="I25306" s="676"/>
      <c r="J25306" s="770"/>
    </row>
    <row r="25307" spans="8:10" x14ac:dyDescent="0.35">
      <c r="H25307" s="676"/>
      <c r="I25307" s="676"/>
      <c r="J25307" s="770"/>
    </row>
    <row r="25308" spans="8:10" x14ac:dyDescent="0.35">
      <c r="H25308" s="676"/>
      <c r="I25308" s="676"/>
      <c r="J25308" s="770"/>
    </row>
    <row r="25309" spans="8:10" x14ac:dyDescent="0.35">
      <c r="H25309" s="676"/>
      <c r="I25309" s="676"/>
      <c r="J25309" s="770"/>
    </row>
    <row r="25310" spans="8:10" x14ac:dyDescent="0.35">
      <c r="H25310" s="676"/>
      <c r="I25310" s="676"/>
      <c r="J25310" s="770"/>
    </row>
    <row r="25311" spans="8:10" x14ac:dyDescent="0.35">
      <c r="H25311" s="676"/>
      <c r="I25311" s="676"/>
      <c r="J25311" s="770"/>
    </row>
    <row r="25312" spans="8:10" x14ac:dyDescent="0.35">
      <c r="H25312" s="676"/>
      <c r="I25312" s="676"/>
      <c r="J25312" s="770"/>
    </row>
    <row r="25313" spans="8:10" x14ac:dyDescent="0.35">
      <c r="H25313" s="676"/>
      <c r="I25313" s="676"/>
      <c r="J25313" s="770"/>
    </row>
    <row r="25314" spans="8:10" x14ac:dyDescent="0.35">
      <c r="H25314" s="676"/>
      <c r="I25314" s="676"/>
      <c r="J25314" s="770"/>
    </row>
    <row r="25315" spans="8:10" x14ac:dyDescent="0.35">
      <c r="H25315" s="676"/>
      <c r="I25315" s="676"/>
      <c r="J25315" s="770"/>
    </row>
    <row r="25316" spans="8:10" x14ac:dyDescent="0.35">
      <c r="H25316" s="676"/>
      <c r="I25316" s="676"/>
      <c r="J25316" s="770"/>
    </row>
    <row r="25317" spans="8:10" x14ac:dyDescent="0.35">
      <c r="H25317" s="676"/>
      <c r="I25317" s="676"/>
      <c r="J25317" s="770"/>
    </row>
    <row r="25318" spans="8:10" x14ac:dyDescent="0.35">
      <c r="H25318" s="676"/>
      <c r="I25318" s="676"/>
      <c r="J25318" s="770"/>
    </row>
    <row r="25319" spans="8:10" x14ac:dyDescent="0.35">
      <c r="H25319" s="676"/>
      <c r="I25319" s="676"/>
      <c r="J25319" s="770"/>
    </row>
    <row r="25320" spans="8:10" x14ac:dyDescent="0.35">
      <c r="H25320" s="676"/>
      <c r="I25320" s="676"/>
      <c r="J25320" s="770"/>
    </row>
    <row r="25321" spans="8:10" x14ac:dyDescent="0.35">
      <c r="H25321" s="676"/>
      <c r="I25321" s="676"/>
      <c r="J25321" s="770"/>
    </row>
    <row r="25322" spans="8:10" x14ac:dyDescent="0.35">
      <c r="H25322" s="676"/>
      <c r="I25322" s="676"/>
      <c r="J25322" s="770"/>
    </row>
    <row r="25323" spans="8:10" x14ac:dyDescent="0.35">
      <c r="H25323" s="676"/>
      <c r="I25323" s="676"/>
      <c r="J25323" s="770"/>
    </row>
    <row r="25324" spans="8:10" x14ac:dyDescent="0.35">
      <c r="H25324" s="676"/>
      <c r="I25324" s="676"/>
      <c r="J25324" s="770"/>
    </row>
    <row r="25325" spans="8:10" x14ac:dyDescent="0.35">
      <c r="H25325" s="676"/>
      <c r="I25325" s="676"/>
      <c r="J25325" s="770"/>
    </row>
    <row r="25326" spans="8:10" x14ac:dyDescent="0.35">
      <c r="H25326" s="676"/>
      <c r="I25326" s="676"/>
      <c r="J25326" s="770"/>
    </row>
    <row r="25327" spans="8:10" x14ac:dyDescent="0.35">
      <c r="H25327" s="676"/>
      <c r="I25327" s="676"/>
      <c r="J25327" s="770"/>
    </row>
    <row r="25328" spans="8:10" x14ac:dyDescent="0.35">
      <c r="H25328" s="676"/>
      <c r="I25328" s="676"/>
      <c r="J25328" s="770"/>
    </row>
    <row r="25329" spans="8:10" x14ac:dyDescent="0.35">
      <c r="H25329" s="676"/>
      <c r="I25329" s="676"/>
      <c r="J25329" s="770"/>
    </row>
    <row r="25330" spans="8:10" x14ac:dyDescent="0.35">
      <c r="H25330" s="676"/>
      <c r="I25330" s="676"/>
      <c r="J25330" s="770"/>
    </row>
    <row r="25331" spans="8:10" x14ac:dyDescent="0.35">
      <c r="H25331" s="676"/>
      <c r="I25331" s="676"/>
      <c r="J25331" s="770"/>
    </row>
    <row r="25332" spans="8:10" x14ac:dyDescent="0.35">
      <c r="H25332" s="676"/>
      <c r="I25332" s="676"/>
      <c r="J25332" s="770"/>
    </row>
    <row r="25333" spans="8:10" x14ac:dyDescent="0.35">
      <c r="H25333" s="676"/>
      <c r="I25333" s="676"/>
      <c r="J25333" s="770"/>
    </row>
    <row r="25334" spans="8:10" x14ac:dyDescent="0.35">
      <c r="H25334" s="676"/>
      <c r="I25334" s="676"/>
      <c r="J25334" s="770"/>
    </row>
    <row r="25335" spans="8:10" x14ac:dyDescent="0.35">
      <c r="H25335" s="676"/>
      <c r="I25335" s="676"/>
      <c r="J25335" s="770"/>
    </row>
    <row r="25336" spans="8:10" x14ac:dyDescent="0.35">
      <c r="H25336" s="676"/>
      <c r="I25336" s="676"/>
      <c r="J25336" s="770"/>
    </row>
    <row r="25337" spans="8:10" x14ac:dyDescent="0.35">
      <c r="H25337" s="676"/>
      <c r="I25337" s="676"/>
      <c r="J25337" s="770"/>
    </row>
    <row r="25338" spans="8:10" x14ac:dyDescent="0.35">
      <c r="H25338" s="676"/>
      <c r="I25338" s="676"/>
      <c r="J25338" s="770"/>
    </row>
    <row r="25339" spans="8:10" x14ac:dyDescent="0.35">
      <c r="H25339" s="676"/>
      <c r="I25339" s="676"/>
      <c r="J25339" s="770"/>
    </row>
    <row r="25340" spans="8:10" x14ac:dyDescent="0.35">
      <c r="H25340" s="676"/>
      <c r="I25340" s="676"/>
      <c r="J25340" s="770"/>
    </row>
    <row r="25341" spans="8:10" x14ac:dyDescent="0.35">
      <c r="H25341" s="676"/>
      <c r="I25341" s="676"/>
      <c r="J25341" s="770"/>
    </row>
    <row r="25342" spans="8:10" x14ac:dyDescent="0.35">
      <c r="H25342" s="676"/>
      <c r="I25342" s="676"/>
      <c r="J25342" s="770"/>
    </row>
    <row r="25343" spans="8:10" x14ac:dyDescent="0.35">
      <c r="H25343" s="676"/>
      <c r="I25343" s="676"/>
      <c r="J25343" s="770"/>
    </row>
    <row r="25344" spans="8:10" x14ac:dyDescent="0.35">
      <c r="H25344" s="676"/>
      <c r="I25344" s="676"/>
      <c r="J25344" s="770"/>
    </row>
    <row r="25345" spans="8:10" x14ac:dyDescent="0.35">
      <c r="H25345" s="676"/>
      <c r="I25345" s="676"/>
      <c r="J25345" s="770"/>
    </row>
    <row r="25346" spans="8:10" x14ac:dyDescent="0.35">
      <c r="H25346" s="676"/>
      <c r="I25346" s="676"/>
      <c r="J25346" s="770"/>
    </row>
    <row r="25347" spans="8:10" x14ac:dyDescent="0.35">
      <c r="H25347" s="676"/>
      <c r="I25347" s="676"/>
      <c r="J25347" s="770"/>
    </row>
    <row r="25348" spans="8:10" x14ac:dyDescent="0.35">
      <c r="H25348" s="676"/>
      <c r="I25348" s="676"/>
      <c r="J25348" s="770"/>
    </row>
    <row r="25349" spans="8:10" x14ac:dyDescent="0.35">
      <c r="H25349" s="676"/>
      <c r="I25349" s="676"/>
      <c r="J25349" s="770"/>
    </row>
    <row r="25350" spans="8:10" x14ac:dyDescent="0.35">
      <c r="H25350" s="676"/>
      <c r="I25350" s="676"/>
      <c r="J25350" s="770"/>
    </row>
    <row r="25351" spans="8:10" x14ac:dyDescent="0.35">
      <c r="H25351" s="676"/>
      <c r="I25351" s="676"/>
      <c r="J25351" s="770"/>
    </row>
    <row r="25352" spans="8:10" x14ac:dyDescent="0.35">
      <c r="H25352" s="676"/>
      <c r="I25352" s="676"/>
      <c r="J25352" s="770"/>
    </row>
    <row r="25353" spans="8:10" x14ac:dyDescent="0.35">
      <c r="H25353" s="676"/>
      <c r="I25353" s="676"/>
      <c r="J25353" s="770"/>
    </row>
    <row r="25354" spans="8:10" x14ac:dyDescent="0.35">
      <c r="H25354" s="676"/>
      <c r="I25354" s="676"/>
      <c r="J25354" s="770"/>
    </row>
    <row r="25355" spans="8:10" x14ac:dyDescent="0.35">
      <c r="H25355" s="676"/>
      <c r="I25355" s="676"/>
      <c r="J25355" s="770"/>
    </row>
    <row r="25356" spans="8:10" x14ac:dyDescent="0.35">
      <c r="H25356" s="676"/>
      <c r="I25356" s="676"/>
      <c r="J25356" s="770"/>
    </row>
    <row r="25357" spans="8:10" x14ac:dyDescent="0.35">
      <c r="H25357" s="676"/>
      <c r="I25357" s="676"/>
      <c r="J25357" s="770"/>
    </row>
    <row r="25358" spans="8:10" x14ac:dyDescent="0.35">
      <c r="H25358" s="676"/>
      <c r="I25358" s="676"/>
      <c r="J25358" s="770"/>
    </row>
    <row r="25359" spans="8:10" x14ac:dyDescent="0.35">
      <c r="H25359" s="676"/>
      <c r="I25359" s="676"/>
      <c r="J25359" s="770"/>
    </row>
    <row r="25360" spans="8:10" x14ac:dyDescent="0.35">
      <c r="H25360" s="676"/>
      <c r="I25360" s="676"/>
      <c r="J25360" s="770"/>
    </row>
    <row r="25361" spans="8:10" x14ac:dyDescent="0.35">
      <c r="H25361" s="676"/>
      <c r="I25361" s="676"/>
      <c r="J25361" s="770"/>
    </row>
    <row r="25362" spans="8:10" x14ac:dyDescent="0.35">
      <c r="H25362" s="676"/>
      <c r="I25362" s="676"/>
      <c r="J25362" s="770"/>
    </row>
    <row r="25363" spans="8:10" x14ac:dyDescent="0.35">
      <c r="H25363" s="676"/>
      <c r="I25363" s="676"/>
      <c r="J25363" s="770"/>
    </row>
    <row r="25364" spans="8:10" x14ac:dyDescent="0.35">
      <c r="H25364" s="676"/>
      <c r="I25364" s="676"/>
      <c r="J25364" s="770"/>
    </row>
    <row r="25365" spans="8:10" x14ac:dyDescent="0.35">
      <c r="H25365" s="676"/>
      <c r="I25365" s="676"/>
      <c r="J25365" s="770"/>
    </row>
    <row r="25366" spans="8:10" x14ac:dyDescent="0.35">
      <c r="H25366" s="676"/>
      <c r="I25366" s="676"/>
      <c r="J25366" s="770"/>
    </row>
    <row r="25367" spans="8:10" x14ac:dyDescent="0.35">
      <c r="H25367" s="676"/>
      <c r="I25367" s="676"/>
      <c r="J25367" s="770"/>
    </row>
    <row r="25368" spans="8:10" x14ac:dyDescent="0.35">
      <c r="H25368" s="676"/>
      <c r="I25368" s="676"/>
      <c r="J25368" s="770"/>
    </row>
    <row r="25369" spans="8:10" x14ac:dyDescent="0.35">
      <c r="H25369" s="676"/>
      <c r="I25369" s="676"/>
      <c r="J25369" s="770"/>
    </row>
    <row r="25370" spans="8:10" x14ac:dyDescent="0.35">
      <c r="H25370" s="676"/>
      <c r="I25370" s="676"/>
      <c r="J25370" s="770"/>
    </row>
    <row r="25371" spans="8:10" x14ac:dyDescent="0.35">
      <c r="H25371" s="676"/>
      <c r="I25371" s="676"/>
      <c r="J25371" s="770"/>
    </row>
    <row r="25372" spans="8:10" x14ac:dyDescent="0.35">
      <c r="H25372" s="676"/>
      <c r="I25372" s="676"/>
      <c r="J25372" s="770"/>
    </row>
    <row r="25373" spans="8:10" x14ac:dyDescent="0.35">
      <c r="H25373" s="676"/>
      <c r="I25373" s="676"/>
      <c r="J25373" s="770"/>
    </row>
    <row r="25374" spans="8:10" x14ac:dyDescent="0.35">
      <c r="H25374" s="676"/>
      <c r="I25374" s="676"/>
      <c r="J25374" s="770"/>
    </row>
    <row r="25375" spans="8:10" x14ac:dyDescent="0.35">
      <c r="H25375" s="676"/>
      <c r="I25375" s="676"/>
      <c r="J25375" s="770"/>
    </row>
    <row r="25376" spans="8:10" x14ac:dyDescent="0.35">
      <c r="H25376" s="676"/>
      <c r="I25376" s="676"/>
      <c r="J25376" s="770"/>
    </row>
    <row r="25377" spans="8:10" x14ac:dyDescent="0.35">
      <c r="H25377" s="676"/>
      <c r="I25377" s="676"/>
      <c r="J25377" s="770"/>
    </row>
    <row r="25378" spans="8:10" x14ac:dyDescent="0.35">
      <c r="H25378" s="676"/>
      <c r="I25378" s="676"/>
      <c r="J25378" s="770"/>
    </row>
    <row r="25379" spans="8:10" x14ac:dyDescent="0.35">
      <c r="H25379" s="676"/>
      <c r="I25379" s="676"/>
      <c r="J25379" s="770"/>
    </row>
    <row r="25380" spans="8:10" x14ac:dyDescent="0.35">
      <c r="H25380" s="676"/>
      <c r="I25380" s="676"/>
      <c r="J25380" s="770"/>
    </row>
    <row r="25381" spans="8:10" x14ac:dyDescent="0.35">
      <c r="H25381" s="676"/>
      <c r="I25381" s="676"/>
      <c r="J25381" s="770"/>
    </row>
    <row r="25382" spans="8:10" x14ac:dyDescent="0.35">
      <c r="H25382" s="676"/>
      <c r="I25382" s="676"/>
      <c r="J25382" s="770"/>
    </row>
    <row r="25383" spans="8:10" x14ac:dyDescent="0.35">
      <c r="H25383" s="676"/>
      <c r="I25383" s="676"/>
      <c r="J25383" s="770"/>
    </row>
    <row r="25384" spans="8:10" x14ac:dyDescent="0.35">
      <c r="H25384" s="676"/>
      <c r="I25384" s="676"/>
      <c r="J25384" s="770"/>
    </row>
    <row r="25385" spans="8:10" x14ac:dyDescent="0.35">
      <c r="H25385" s="676"/>
      <c r="I25385" s="676"/>
      <c r="J25385" s="770"/>
    </row>
    <row r="25386" spans="8:10" x14ac:dyDescent="0.35">
      <c r="H25386" s="676"/>
      <c r="I25386" s="676"/>
      <c r="J25386" s="770"/>
    </row>
    <row r="25387" spans="8:10" x14ac:dyDescent="0.35">
      <c r="H25387" s="676"/>
      <c r="I25387" s="676"/>
      <c r="J25387" s="770"/>
    </row>
    <row r="25388" spans="8:10" x14ac:dyDescent="0.35">
      <c r="H25388" s="676"/>
      <c r="I25388" s="676"/>
      <c r="J25388" s="770"/>
    </row>
    <row r="25389" spans="8:10" x14ac:dyDescent="0.35">
      <c r="H25389" s="676"/>
      <c r="I25389" s="676"/>
      <c r="J25389" s="770"/>
    </row>
    <row r="25390" spans="8:10" x14ac:dyDescent="0.35">
      <c r="H25390" s="676"/>
      <c r="I25390" s="676"/>
      <c r="J25390" s="770"/>
    </row>
    <row r="25391" spans="8:10" x14ac:dyDescent="0.35">
      <c r="H25391" s="676"/>
      <c r="I25391" s="676"/>
      <c r="J25391" s="770"/>
    </row>
    <row r="25392" spans="8:10" x14ac:dyDescent="0.35">
      <c r="H25392" s="676"/>
      <c r="I25392" s="676"/>
      <c r="J25392" s="770"/>
    </row>
    <row r="25393" spans="8:10" x14ac:dyDescent="0.35">
      <c r="H25393" s="676"/>
      <c r="I25393" s="676"/>
      <c r="J25393" s="770"/>
    </row>
    <row r="25394" spans="8:10" x14ac:dyDescent="0.35">
      <c r="H25394" s="676"/>
      <c r="I25394" s="676"/>
      <c r="J25394" s="770"/>
    </row>
    <row r="25395" spans="8:10" x14ac:dyDescent="0.35">
      <c r="H25395" s="676"/>
      <c r="I25395" s="676"/>
      <c r="J25395" s="770"/>
    </row>
    <row r="25396" spans="8:10" x14ac:dyDescent="0.35">
      <c r="H25396" s="676"/>
      <c r="I25396" s="676"/>
      <c r="J25396" s="770"/>
    </row>
    <row r="25397" spans="8:10" x14ac:dyDescent="0.35">
      <c r="H25397" s="676"/>
      <c r="I25397" s="676"/>
      <c r="J25397" s="770"/>
    </row>
    <row r="25398" spans="8:10" x14ac:dyDescent="0.35">
      <c r="H25398" s="676"/>
      <c r="I25398" s="676"/>
      <c r="J25398" s="770"/>
    </row>
    <row r="25399" spans="8:10" x14ac:dyDescent="0.35">
      <c r="H25399" s="676"/>
      <c r="I25399" s="676"/>
      <c r="J25399" s="770"/>
    </row>
    <row r="25400" spans="8:10" x14ac:dyDescent="0.35">
      <c r="H25400" s="676"/>
      <c r="I25400" s="676"/>
      <c r="J25400" s="770"/>
    </row>
    <row r="25401" spans="8:10" x14ac:dyDescent="0.35">
      <c r="H25401" s="676"/>
      <c r="I25401" s="676"/>
      <c r="J25401" s="770"/>
    </row>
    <row r="25402" spans="8:10" x14ac:dyDescent="0.35">
      <c r="H25402" s="676"/>
      <c r="I25402" s="676"/>
      <c r="J25402" s="770"/>
    </row>
    <row r="25403" spans="8:10" x14ac:dyDescent="0.35">
      <c r="H25403" s="676"/>
      <c r="I25403" s="676"/>
      <c r="J25403" s="770"/>
    </row>
    <row r="25404" spans="8:10" x14ac:dyDescent="0.35">
      <c r="H25404" s="676"/>
      <c r="I25404" s="676"/>
      <c r="J25404" s="770"/>
    </row>
    <row r="25405" spans="8:10" x14ac:dyDescent="0.35">
      <c r="H25405" s="676"/>
      <c r="I25405" s="676"/>
      <c r="J25405" s="770"/>
    </row>
    <row r="25406" spans="8:10" x14ac:dyDescent="0.35">
      <c r="H25406" s="676"/>
      <c r="I25406" s="676"/>
      <c r="J25406" s="770"/>
    </row>
    <row r="25407" spans="8:10" x14ac:dyDescent="0.35">
      <c r="H25407" s="676"/>
      <c r="I25407" s="676"/>
      <c r="J25407" s="770"/>
    </row>
    <row r="25408" spans="8:10" x14ac:dyDescent="0.35">
      <c r="H25408" s="676"/>
      <c r="I25408" s="676"/>
      <c r="J25408" s="770"/>
    </row>
    <row r="25409" spans="8:10" x14ac:dyDescent="0.35">
      <c r="H25409" s="676"/>
      <c r="I25409" s="676"/>
      <c r="J25409" s="770"/>
    </row>
    <row r="25410" spans="8:10" x14ac:dyDescent="0.35">
      <c r="H25410" s="676"/>
      <c r="I25410" s="676"/>
      <c r="J25410" s="770"/>
    </row>
    <row r="25411" spans="8:10" x14ac:dyDescent="0.35">
      <c r="H25411" s="676"/>
      <c r="I25411" s="676"/>
      <c r="J25411" s="770"/>
    </row>
    <row r="25412" spans="8:10" x14ac:dyDescent="0.35">
      <c r="H25412" s="676"/>
      <c r="I25412" s="676"/>
      <c r="J25412" s="770"/>
    </row>
    <row r="25413" spans="8:10" x14ac:dyDescent="0.35">
      <c r="H25413" s="676"/>
      <c r="I25413" s="676"/>
      <c r="J25413" s="770"/>
    </row>
    <row r="25414" spans="8:10" x14ac:dyDescent="0.35">
      <c r="H25414" s="676"/>
      <c r="I25414" s="676"/>
      <c r="J25414" s="770"/>
    </row>
    <row r="25415" spans="8:10" x14ac:dyDescent="0.35">
      <c r="H25415" s="676"/>
      <c r="I25415" s="676"/>
      <c r="J25415" s="770"/>
    </row>
    <row r="25416" spans="8:10" x14ac:dyDescent="0.35">
      <c r="H25416" s="676"/>
      <c r="I25416" s="676"/>
      <c r="J25416" s="770"/>
    </row>
    <row r="25417" spans="8:10" x14ac:dyDescent="0.35">
      <c r="H25417" s="676"/>
      <c r="I25417" s="676"/>
      <c r="J25417" s="770"/>
    </row>
    <row r="25418" spans="8:10" x14ac:dyDescent="0.35">
      <c r="H25418" s="676"/>
      <c r="I25418" s="676"/>
      <c r="J25418" s="770"/>
    </row>
    <row r="25419" spans="8:10" x14ac:dyDescent="0.35">
      <c r="H25419" s="676"/>
      <c r="I25419" s="676"/>
      <c r="J25419" s="770"/>
    </row>
    <row r="25420" spans="8:10" x14ac:dyDescent="0.35">
      <c r="H25420" s="676"/>
      <c r="I25420" s="676"/>
      <c r="J25420" s="770"/>
    </row>
    <row r="25421" spans="8:10" x14ac:dyDescent="0.35">
      <c r="H25421" s="676"/>
      <c r="I25421" s="676"/>
      <c r="J25421" s="770"/>
    </row>
    <row r="25422" spans="8:10" x14ac:dyDescent="0.35">
      <c r="H25422" s="676"/>
      <c r="I25422" s="676"/>
      <c r="J25422" s="770"/>
    </row>
    <row r="25423" spans="8:10" x14ac:dyDescent="0.35">
      <c r="H25423" s="676"/>
      <c r="I25423" s="676"/>
      <c r="J25423" s="770"/>
    </row>
    <row r="25424" spans="8:10" x14ac:dyDescent="0.35">
      <c r="H25424" s="676"/>
      <c r="I25424" s="676"/>
      <c r="J25424" s="770"/>
    </row>
    <row r="25425" spans="8:10" x14ac:dyDescent="0.35">
      <c r="H25425" s="676"/>
      <c r="I25425" s="676"/>
      <c r="J25425" s="770"/>
    </row>
    <row r="25426" spans="8:10" x14ac:dyDescent="0.35">
      <c r="H25426" s="676"/>
      <c r="I25426" s="676"/>
      <c r="J25426" s="770"/>
    </row>
    <row r="25427" spans="8:10" x14ac:dyDescent="0.35">
      <c r="H25427" s="676"/>
      <c r="I25427" s="676"/>
      <c r="J25427" s="770"/>
    </row>
    <row r="25428" spans="8:10" x14ac:dyDescent="0.35">
      <c r="H25428" s="676"/>
      <c r="I25428" s="676"/>
      <c r="J25428" s="770"/>
    </row>
    <row r="25429" spans="8:10" x14ac:dyDescent="0.35">
      <c r="H25429" s="676"/>
      <c r="I25429" s="676"/>
      <c r="J25429" s="770"/>
    </row>
    <row r="25430" spans="8:10" x14ac:dyDescent="0.35">
      <c r="H25430" s="676"/>
      <c r="I25430" s="676"/>
      <c r="J25430" s="770"/>
    </row>
    <row r="25431" spans="8:10" x14ac:dyDescent="0.35">
      <c r="H25431" s="676"/>
      <c r="I25431" s="676"/>
      <c r="J25431" s="770"/>
    </row>
    <row r="25432" spans="8:10" x14ac:dyDescent="0.35">
      <c r="H25432" s="676"/>
      <c r="I25432" s="676"/>
      <c r="J25432" s="770"/>
    </row>
    <row r="25433" spans="8:10" x14ac:dyDescent="0.35">
      <c r="H25433" s="676"/>
      <c r="I25433" s="676"/>
      <c r="J25433" s="770"/>
    </row>
    <row r="25434" spans="8:10" x14ac:dyDescent="0.35">
      <c r="H25434" s="676"/>
      <c r="I25434" s="676"/>
      <c r="J25434" s="770"/>
    </row>
    <row r="25435" spans="8:10" x14ac:dyDescent="0.35">
      <c r="H25435" s="676"/>
      <c r="I25435" s="676"/>
      <c r="J25435" s="770"/>
    </row>
    <row r="25436" spans="8:10" x14ac:dyDescent="0.35">
      <c r="H25436" s="676"/>
      <c r="I25436" s="676"/>
      <c r="J25436" s="770"/>
    </row>
    <row r="25437" spans="8:10" x14ac:dyDescent="0.35">
      <c r="H25437" s="676"/>
      <c r="I25437" s="676"/>
      <c r="J25437" s="770"/>
    </row>
    <row r="25438" spans="8:10" x14ac:dyDescent="0.35">
      <c r="H25438" s="676"/>
      <c r="I25438" s="676"/>
      <c r="J25438" s="770"/>
    </row>
    <row r="25439" spans="8:10" x14ac:dyDescent="0.35">
      <c r="H25439" s="676"/>
      <c r="I25439" s="676"/>
      <c r="J25439" s="770"/>
    </row>
    <row r="25440" spans="8:10" x14ac:dyDescent="0.35">
      <c r="H25440" s="676"/>
      <c r="I25440" s="676"/>
      <c r="J25440" s="770"/>
    </row>
    <row r="25441" spans="8:10" x14ac:dyDescent="0.35">
      <c r="H25441" s="676"/>
      <c r="I25441" s="676"/>
      <c r="J25441" s="770"/>
    </row>
    <row r="25442" spans="8:10" x14ac:dyDescent="0.35">
      <c r="H25442" s="676"/>
      <c r="I25442" s="676"/>
      <c r="J25442" s="770"/>
    </row>
    <row r="25443" spans="8:10" x14ac:dyDescent="0.35">
      <c r="H25443" s="676"/>
      <c r="I25443" s="676"/>
      <c r="J25443" s="770"/>
    </row>
    <row r="25444" spans="8:10" x14ac:dyDescent="0.35">
      <c r="H25444" s="676"/>
      <c r="I25444" s="676"/>
      <c r="J25444" s="770"/>
    </row>
    <row r="25445" spans="8:10" x14ac:dyDescent="0.35">
      <c r="H25445" s="676"/>
      <c r="I25445" s="676"/>
      <c r="J25445" s="770"/>
    </row>
    <row r="25446" spans="8:10" x14ac:dyDescent="0.35">
      <c r="H25446" s="676"/>
      <c r="I25446" s="676"/>
      <c r="J25446" s="770"/>
    </row>
    <row r="25447" spans="8:10" x14ac:dyDescent="0.35">
      <c r="H25447" s="676"/>
      <c r="I25447" s="676"/>
      <c r="J25447" s="770"/>
    </row>
    <row r="25448" spans="8:10" x14ac:dyDescent="0.35">
      <c r="H25448" s="676"/>
      <c r="I25448" s="676"/>
      <c r="J25448" s="770"/>
    </row>
    <row r="25449" spans="8:10" x14ac:dyDescent="0.35">
      <c r="H25449" s="676"/>
      <c r="I25449" s="676"/>
      <c r="J25449" s="770"/>
    </row>
    <row r="25450" spans="8:10" x14ac:dyDescent="0.35">
      <c r="H25450" s="676"/>
      <c r="I25450" s="676"/>
      <c r="J25450" s="770"/>
    </row>
    <row r="25451" spans="8:10" x14ac:dyDescent="0.35">
      <c r="H25451" s="676"/>
      <c r="I25451" s="676"/>
      <c r="J25451" s="770"/>
    </row>
    <row r="25452" spans="8:10" x14ac:dyDescent="0.35">
      <c r="H25452" s="676"/>
      <c r="I25452" s="676"/>
      <c r="J25452" s="770"/>
    </row>
    <row r="25453" spans="8:10" x14ac:dyDescent="0.35">
      <c r="H25453" s="676"/>
      <c r="I25453" s="676"/>
      <c r="J25453" s="770"/>
    </row>
    <row r="25454" spans="8:10" x14ac:dyDescent="0.35">
      <c r="H25454" s="676"/>
      <c r="I25454" s="676"/>
      <c r="J25454" s="770"/>
    </row>
    <row r="25455" spans="8:10" x14ac:dyDescent="0.35">
      <c r="H25455" s="676"/>
      <c r="I25455" s="676"/>
      <c r="J25455" s="770"/>
    </row>
    <row r="25456" spans="8:10" x14ac:dyDescent="0.35">
      <c r="H25456" s="676"/>
      <c r="I25456" s="676"/>
      <c r="J25456" s="770"/>
    </row>
    <row r="25457" spans="8:10" x14ac:dyDescent="0.35">
      <c r="H25457" s="676"/>
      <c r="I25457" s="676"/>
      <c r="J25457" s="770"/>
    </row>
    <row r="25458" spans="8:10" x14ac:dyDescent="0.35">
      <c r="H25458" s="676"/>
      <c r="I25458" s="676"/>
      <c r="J25458" s="770"/>
    </row>
    <row r="25459" spans="8:10" x14ac:dyDescent="0.35">
      <c r="H25459" s="676"/>
      <c r="I25459" s="676"/>
      <c r="J25459" s="770"/>
    </row>
    <row r="25460" spans="8:10" x14ac:dyDescent="0.35">
      <c r="H25460" s="676"/>
      <c r="I25460" s="676"/>
      <c r="J25460" s="770"/>
    </row>
    <row r="25461" spans="8:10" x14ac:dyDescent="0.35">
      <c r="H25461" s="676"/>
      <c r="I25461" s="676"/>
      <c r="J25461" s="770"/>
    </row>
    <row r="25462" spans="8:10" x14ac:dyDescent="0.35">
      <c r="H25462" s="676"/>
      <c r="I25462" s="676"/>
      <c r="J25462" s="770"/>
    </row>
    <row r="25463" spans="8:10" x14ac:dyDescent="0.35">
      <c r="H25463" s="676"/>
      <c r="I25463" s="676"/>
      <c r="J25463" s="770"/>
    </row>
    <row r="25464" spans="8:10" x14ac:dyDescent="0.35">
      <c r="H25464" s="676"/>
      <c r="I25464" s="676"/>
      <c r="J25464" s="770"/>
    </row>
    <row r="25465" spans="8:10" x14ac:dyDescent="0.35">
      <c r="H25465" s="676"/>
      <c r="I25465" s="676"/>
      <c r="J25465" s="770"/>
    </row>
    <row r="25466" spans="8:10" x14ac:dyDescent="0.35">
      <c r="H25466" s="676"/>
      <c r="I25466" s="676"/>
      <c r="J25466" s="770"/>
    </row>
    <row r="25467" spans="8:10" x14ac:dyDescent="0.35">
      <c r="H25467" s="676"/>
      <c r="I25467" s="676"/>
      <c r="J25467" s="770"/>
    </row>
    <row r="25468" spans="8:10" x14ac:dyDescent="0.35">
      <c r="H25468" s="676"/>
      <c r="I25468" s="676"/>
      <c r="J25468" s="770"/>
    </row>
    <row r="25469" spans="8:10" x14ac:dyDescent="0.35">
      <c r="H25469" s="676"/>
      <c r="I25469" s="676"/>
      <c r="J25469" s="770"/>
    </row>
    <row r="25470" spans="8:10" x14ac:dyDescent="0.35">
      <c r="H25470" s="676"/>
      <c r="I25470" s="676"/>
      <c r="J25470" s="770"/>
    </row>
    <row r="25471" spans="8:10" x14ac:dyDescent="0.35">
      <c r="H25471" s="676"/>
      <c r="I25471" s="676"/>
      <c r="J25471" s="770"/>
    </row>
    <row r="25472" spans="8:10" x14ac:dyDescent="0.35">
      <c r="H25472" s="676"/>
      <c r="I25472" s="676"/>
      <c r="J25472" s="770"/>
    </row>
    <row r="25473" spans="8:10" x14ac:dyDescent="0.35">
      <c r="H25473" s="676"/>
      <c r="I25473" s="676"/>
      <c r="J25473" s="770"/>
    </row>
    <row r="25474" spans="8:10" x14ac:dyDescent="0.35">
      <c r="H25474" s="676"/>
      <c r="I25474" s="676"/>
      <c r="J25474" s="770"/>
    </row>
    <row r="25475" spans="8:10" x14ac:dyDescent="0.35">
      <c r="H25475" s="676"/>
      <c r="I25475" s="676"/>
      <c r="J25475" s="770"/>
    </row>
    <row r="25476" spans="8:10" x14ac:dyDescent="0.35">
      <c r="H25476" s="676"/>
      <c r="I25476" s="676"/>
      <c r="J25476" s="770"/>
    </row>
    <row r="25477" spans="8:10" x14ac:dyDescent="0.35">
      <c r="H25477" s="676"/>
      <c r="I25477" s="676"/>
      <c r="J25477" s="770"/>
    </row>
    <row r="25478" spans="8:10" x14ac:dyDescent="0.35">
      <c r="H25478" s="676"/>
      <c r="I25478" s="676"/>
      <c r="J25478" s="770"/>
    </row>
    <row r="25479" spans="8:10" x14ac:dyDescent="0.35">
      <c r="H25479" s="676"/>
      <c r="I25479" s="676"/>
      <c r="J25479" s="770"/>
    </row>
    <row r="25480" spans="8:10" x14ac:dyDescent="0.35">
      <c r="H25480" s="676"/>
      <c r="I25480" s="676"/>
      <c r="J25480" s="770"/>
    </row>
    <row r="25481" spans="8:10" x14ac:dyDescent="0.35">
      <c r="H25481" s="676"/>
      <c r="I25481" s="676"/>
      <c r="J25481" s="770"/>
    </row>
    <row r="25482" spans="8:10" x14ac:dyDescent="0.35">
      <c r="H25482" s="676"/>
      <c r="I25482" s="676"/>
      <c r="J25482" s="770"/>
    </row>
    <row r="25483" spans="8:10" x14ac:dyDescent="0.35">
      <c r="H25483" s="676"/>
      <c r="I25483" s="676"/>
      <c r="J25483" s="770"/>
    </row>
    <row r="25484" spans="8:10" x14ac:dyDescent="0.35">
      <c r="H25484" s="676"/>
      <c r="I25484" s="676"/>
      <c r="J25484" s="770"/>
    </row>
    <row r="25485" spans="8:10" x14ac:dyDescent="0.35">
      <c r="H25485" s="676"/>
      <c r="I25485" s="676"/>
      <c r="J25485" s="770"/>
    </row>
    <row r="25486" spans="8:10" x14ac:dyDescent="0.35">
      <c r="H25486" s="676"/>
      <c r="I25486" s="676"/>
      <c r="J25486" s="770"/>
    </row>
    <row r="25487" spans="8:10" x14ac:dyDescent="0.35">
      <c r="H25487" s="676"/>
      <c r="I25487" s="676"/>
      <c r="J25487" s="770"/>
    </row>
    <row r="25488" spans="8:10" x14ac:dyDescent="0.35">
      <c r="H25488" s="676"/>
      <c r="I25488" s="676"/>
      <c r="J25488" s="770"/>
    </row>
    <row r="25489" spans="8:10" x14ac:dyDescent="0.35">
      <c r="H25489" s="676"/>
      <c r="I25489" s="676"/>
      <c r="J25489" s="770"/>
    </row>
    <row r="25490" spans="8:10" x14ac:dyDescent="0.35">
      <c r="H25490" s="676"/>
      <c r="I25490" s="676"/>
      <c r="J25490" s="770"/>
    </row>
    <row r="25491" spans="8:10" x14ac:dyDescent="0.35">
      <c r="H25491" s="676"/>
      <c r="I25491" s="676"/>
      <c r="J25491" s="770"/>
    </row>
    <row r="25492" spans="8:10" x14ac:dyDescent="0.35">
      <c r="H25492" s="676"/>
      <c r="I25492" s="676"/>
      <c r="J25492" s="770"/>
    </row>
    <row r="25493" spans="8:10" x14ac:dyDescent="0.35">
      <c r="H25493" s="676"/>
      <c r="I25493" s="676"/>
      <c r="J25493" s="770"/>
    </row>
    <row r="25494" spans="8:10" x14ac:dyDescent="0.35">
      <c r="H25494" s="676"/>
      <c r="I25494" s="676"/>
      <c r="J25494" s="770"/>
    </row>
    <row r="25495" spans="8:10" x14ac:dyDescent="0.35">
      <c r="H25495" s="676"/>
      <c r="I25495" s="676"/>
      <c r="J25495" s="770"/>
    </row>
    <row r="25496" spans="8:10" x14ac:dyDescent="0.35">
      <c r="H25496" s="676"/>
      <c r="I25496" s="676"/>
      <c r="J25496" s="770"/>
    </row>
    <row r="25497" spans="8:10" x14ac:dyDescent="0.35">
      <c r="H25497" s="676"/>
      <c r="I25497" s="676"/>
      <c r="J25497" s="770"/>
    </row>
    <row r="25498" spans="8:10" x14ac:dyDescent="0.35">
      <c r="H25498" s="676"/>
      <c r="I25498" s="676"/>
      <c r="J25498" s="770"/>
    </row>
    <row r="25499" spans="8:10" x14ac:dyDescent="0.35">
      <c r="H25499" s="676"/>
      <c r="I25499" s="676"/>
      <c r="J25499" s="770"/>
    </row>
    <row r="25500" spans="8:10" x14ac:dyDescent="0.35">
      <c r="H25500" s="676"/>
      <c r="I25500" s="676"/>
      <c r="J25500" s="770"/>
    </row>
    <row r="25501" spans="8:10" x14ac:dyDescent="0.35">
      <c r="H25501" s="676"/>
      <c r="I25501" s="676"/>
      <c r="J25501" s="770"/>
    </row>
    <row r="25502" spans="8:10" x14ac:dyDescent="0.35">
      <c r="H25502" s="676"/>
      <c r="I25502" s="676"/>
      <c r="J25502" s="770"/>
    </row>
    <row r="25503" spans="8:10" x14ac:dyDescent="0.35">
      <c r="H25503" s="676"/>
      <c r="I25503" s="676"/>
      <c r="J25503" s="770"/>
    </row>
    <row r="25504" spans="8:10" x14ac:dyDescent="0.35">
      <c r="H25504" s="676"/>
      <c r="I25504" s="676"/>
      <c r="J25504" s="770"/>
    </row>
    <row r="25505" spans="8:10" x14ac:dyDescent="0.35">
      <c r="H25505" s="676"/>
      <c r="I25505" s="676"/>
      <c r="J25505" s="770"/>
    </row>
    <row r="25506" spans="8:10" x14ac:dyDescent="0.35">
      <c r="H25506" s="676"/>
      <c r="I25506" s="676"/>
      <c r="J25506" s="770"/>
    </row>
    <row r="25507" spans="8:10" x14ac:dyDescent="0.35">
      <c r="H25507" s="676"/>
      <c r="I25507" s="676"/>
      <c r="J25507" s="770"/>
    </row>
    <row r="25508" spans="8:10" x14ac:dyDescent="0.35">
      <c r="H25508" s="676"/>
      <c r="I25508" s="676"/>
      <c r="J25508" s="770"/>
    </row>
    <row r="25509" spans="8:10" x14ac:dyDescent="0.35">
      <c r="H25509" s="676"/>
      <c r="I25509" s="676"/>
      <c r="J25509" s="770"/>
    </row>
    <row r="25510" spans="8:10" x14ac:dyDescent="0.35">
      <c r="H25510" s="676"/>
      <c r="I25510" s="676"/>
      <c r="J25510" s="770"/>
    </row>
    <row r="25511" spans="8:10" x14ac:dyDescent="0.35">
      <c r="H25511" s="676"/>
      <c r="I25511" s="676"/>
      <c r="J25511" s="770"/>
    </row>
    <row r="25512" spans="8:10" x14ac:dyDescent="0.35">
      <c r="H25512" s="676"/>
      <c r="I25512" s="676"/>
      <c r="J25512" s="770"/>
    </row>
    <row r="25513" spans="8:10" x14ac:dyDescent="0.35">
      <c r="H25513" s="676"/>
      <c r="I25513" s="676"/>
      <c r="J25513" s="770"/>
    </row>
    <row r="25514" spans="8:10" x14ac:dyDescent="0.35">
      <c r="H25514" s="676"/>
      <c r="I25514" s="676"/>
      <c r="J25514" s="770"/>
    </row>
    <row r="25515" spans="8:10" x14ac:dyDescent="0.35">
      <c r="H25515" s="676"/>
      <c r="I25515" s="676"/>
      <c r="J25515" s="770"/>
    </row>
    <row r="25516" spans="8:10" x14ac:dyDescent="0.35">
      <c r="H25516" s="676"/>
      <c r="I25516" s="676"/>
      <c r="J25516" s="770"/>
    </row>
    <row r="25517" spans="8:10" x14ac:dyDescent="0.35">
      <c r="H25517" s="676"/>
      <c r="I25517" s="676"/>
      <c r="J25517" s="770"/>
    </row>
    <row r="25518" spans="8:10" x14ac:dyDescent="0.35">
      <c r="H25518" s="676"/>
      <c r="I25518" s="676"/>
      <c r="J25518" s="770"/>
    </row>
    <row r="25519" spans="8:10" x14ac:dyDescent="0.35">
      <c r="H25519" s="676"/>
      <c r="I25519" s="676"/>
      <c r="J25519" s="770"/>
    </row>
    <row r="25520" spans="8:10" x14ac:dyDescent="0.35">
      <c r="H25520" s="676"/>
      <c r="I25520" s="676"/>
      <c r="J25520" s="770"/>
    </row>
    <row r="25521" spans="8:10" x14ac:dyDescent="0.35">
      <c r="H25521" s="676"/>
      <c r="I25521" s="676"/>
      <c r="J25521" s="770"/>
    </row>
    <row r="25522" spans="8:10" x14ac:dyDescent="0.35">
      <c r="H25522" s="676"/>
      <c r="I25522" s="676"/>
      <c r="J25522" s="770"/>
    </row>
    <row r="25523" spans="8:10" x14ac:dyDescent="0.35">
      <c r="H25523" s="676"/>
      <c r="I25523" s="676"/>
      <c r="J25523" s="770"/>
    </row>
    <row r="25524" spans="8:10" x14ac:dyDescent="0.35">
      <c r="H25524" s="676"/>
      <c r="I25524" s="676"/>
      <c r="J25524" s="770"/>
    </row>
    <row r="25525" spans="8:10" x14ac:dyDescent="0.35">
      <c r="H25525" s="676"/>
      <c r="I25525" s="676"/>
      <c r="J25525" s="770"/>
    </row>
    <row r="25526" spans="8:10" x14ac:dyDescent="0.35">
      <c r="H25526" s="676"/>
      <c r="I25526" s="676"/>
      <c r="J25526" s="770"/>
    </row>
    <row r="25527" spans="8:10" x14ac:dyDescent="0.35">
      <c r="H25527" s="676"/>
      <c r="I25527" s="676"/>
      <c r="J25527" s="770"/>
    </row>
    <row r="25528" spans="8:10" x14ac:dyDescent="0.35">
      <c r="H25528" s="676"/>
      <c r="I25528" s="676"/>
      <c r="J25528" s="770"/>
    </row>
    <row r="25529" spans="8:10" x14ac:dyDescent="0.35">
      <c r="H25529" s="676"/>
      <c r="I25529" s="676"/>
      <c r="J25529" s="770"/>
    </row>
    <row r="25530" spans="8:10" x14ac:dyDescent="0.35">
      <c r="H25530" s="676"/>
      <c r="I25530" s="676"/>
      <c r="J25530" s="770"/>
    </row>
    <row r="25531" spans="8:10" x14ac:dyDescent="0.35">
      <c r="H25531" s="676"/>
      <c r="I25531" s="676"/>
      <c r="J25531" s="770"/>
    </row>
    <row r="25532" spans="8:10" x14ac:dyDescent="0.35">
      <c r="H25532" s="676"/>
      <c r="I25532" s="676"/>
      <c r="J25532" s="770"/>
    </row>
    <row r="25533" spans="8:10" x14ac:dyDescent="0.35">
      <c r="H25533" s="676"/>
      <c r="I25533" s="676"/>
      <c r="J25533" s="770"/>
    </row>
    <row r="25534" spans="8:10" x14ac:dyDescent="0.35">
      <c r="H25534" s="676"/>
      <c r="I25534" s="676"/>
      <c r="J25534" s="770"/>
    </row>
    <row r="25535" spans="8:10" x14ac:dyDescent="0.35">
      <c r="H25535" s="676"/>
      <c r="I25535" s="676"/>
      <c r="J25535" s="770"/>
    </row>
    <row r="25536" spans="8:10" x14ac:dyDescent="0.35">
      <c r="H25536" s="676"/>
      <c r="I25536" s="676"/>
      <c r="J25536" s="770"/>
    </row>
    <row r="25537" spans="8:10" x14ac:dyDescent="0.35">
      <c r="H25537" s="676"/>
      <c r="I25537" s="676"/>
      <c r="J25537" s="770"/>
    </row>
    <row r="25538" spans="8:10" x14ac:dyDescent="0.35">
      <c r="H25538" s="676"/>
      <c r="I25538" s="676"/>
      <c r="J25538" s="770"/>
    </row>
    <row r="25539" spans="8:10" x14ac:dyDescent="0.35">
      <c r="H25539" s="676"/>
      <c r="I25539" s="676"/>
      <c r="J25539" s="770"/>
    </row>
    <row r="25540" spans="8:10" x14ac:dyDescent="0.35">
      <c r="H25540" s="676"/>
      <c r="I25540" s="676"/>
      <c r="J25540" s="770"/>
    </row>
    <row r="25541" spans="8:10" x14ac:dyDescent="0.35">
      <c r="H25541" s="676"/>
      <c r="I25541" s="676"/>
      <c r="J25541" s="770"/>
    </row>
    <row r="25542" spans="8:10" x14ac:dyDescent="0.35">
      <c r="H25542" s="676"/>
      <c r="I25542" s="676"/>
      <c r="J25542" s="770"/>
    </row>
    <row r="25543" spans="8:10" x14ac:dyDescent="0.35">
      <c r="H25543" s="676"/>
      <c r="I25543" s="676"/>
      <c r="J25543" s="770"/>
    </row>
    <row r="25544" spans="8:10" x14ac:dyDescent="0.35">
      <c r="H25544" s="676"/>
      <c r="I25544" s="676"/>
      <c r="J25544" s="770"/>
    </row>
    <row r="25545" spans="8:10" x14ac:dyDescent="0.35">
      <c r="H25545" s="676"/>
      <c r="I25545" s="676"/>
      <c r="J25545" s="770"/>
    </row>
    <row r="25546" spans="8:10" x14ac:dyDescent="0.35">
      <c r="H25546" s="676"/>
      <c r="I25546" s="676"/>
      <c r="J25546" s="770"/>
    </row>
    <row r="25547" spans="8:10" x14ac:dyDescent="0.35">
      <c r="H25547" s="676"/>
      <c r="I25547" s="676"/>
      <c r="J25547" s="770"/>
    </row>
    <row r="25548" spans="8:10" x14ac:dyDescent="0.35">
      <c r="H25548" s="676"/>
      <c r="I25548" s="676"/>
      <c r="J25548" s="770"/>
    </row>
    <row r="25549" spans="8:10" x14ac:dyDescent="0.35">
      <c r="H25549" s="676"/>
      <c r="I25549" s="676"/>
      <c r="J25549" s="770"/>
    </row>
    <row r="25550" spans="8:10" x14ac:dyDescent="0.35">
      <c r="H25550" s="676"/>
      <c r="I25550" s="676"/>
      <c r="J25550" s="770"/>
    </row>
    <row r="25551" spans="8:10" x14ac:dyDescent="0.35">
      <c r="H25551" s="676"/>
      <c r="I25551" s="676"/>
      <c r="J25551" s="770"/>
    </row>
    <row r="25552" spans="8:10" x14ac:dyDescent="0.35">
      <c r="H25552" s="676"/>
      <c r="I25552" s="676"/>
      <c r="J25552" s="770"/>
    </row>
    <row r="25553" spans="8:10" x14ac:dyDescent="0.35">
      <c r="H25553" s="676"/>
      <c r="I25553" s="676"/>
      <c r="J25553" s="770"/>
    </row>
    <row r="25554" spans="8:10" x14ac:dyDescent="0.35">
      <c r="H25554" s="676"/>
      <c r="I25554" s="676"/>
      <c r="J25554" s="770"/>
    </row>
    <row r="25555" spans="8:10" x14ac:dyDescent="0.35">
      <c r="H25555" s="676"/>
      <c r="I25555" s="676"/>
      <c r="J25555" s="770"/>
    </row>
    <row r="25556" spans="8:10" x14ac:dyDescent="0.35">
      <c r="H25556" s="676"/>
      <c r="I25556" s="676"/>
      <c r="J25556" s="770"/>
    </row>
    <row r="25557" spans="8:10" x14ac:dyDescent="0.35">
      <c r="H25557" s="676"/>
      <c r="I25557" s="676"/>
      <c r="J25557" s="770"/>
    </row>
    <row r="25558" spans="8:10" x14ac:dyDescent="0.35">
      <c r="H25558" s="676"/>
      <c r="I25558" s="676"/>
      <c r="J25558" s="770"/>
    </row>
    <row r="25559" spans="8:10" x14ac:dyDescent="0.35">
      <c r="H25559" s="676"/>
      <c r="I25559" s="676"/>
      <c r="J25559" s="770"/>
    </row>
    <row r="25560" spans="8:10" x14ac:dyDescent="0.35">
      <c r="H25560" s="676"/>
      <c r="I25560" s="676"/>
      <c r="J25560" s="770"/>
    </row>
    <row r="25561" spans="8:10" x14ac:dyDescent="0.35">
      <c r="H25561" s="676"/>
      <c r="I25561" s="676"/>
      <c r="J25561" s="770"/>
    </row>
    <row r="25562" spans="8:10" x14ac:dyDescent="0.35">
      <c r="H25562" s="676"/>
      <c r="I25562" s="676"/>
      <c r="J25562" s="770"/>
    </row>
    <row r="25563" spans="8:10" x14ac:dyDescent="0.35">
      <c r="H25563" s="676"/>
      <c r="I25563" s="676"/>
      <c r="J25563" s="770"/>
    </row>
    <row r="25564" spans="8:10" x14ac:dyDescent="0.35">
      <c r="H25564" s="676"/>
      <c r="I25564" s="676"/>
      <c r="J25564" s="770"/>
    </row>
    <row r="25565" spans="8:10" x14ac:dyDescent="0.35">
      <c r="H25565" s="676"/>
      <c r="I25565" s="676"/>
      <c r="J25565" s="770"/>
    </row>
    <row r="25566" spans="8:10" x14ac:dyDescent="0.35">
      <c r="H25566" s="676"/>
      <c r="I25566" s="676"/>
      <c r="J25566" s="770"/>
    </row>
    <row r="25567" spans="8:10" x14ac:dyDescent="0.35">
      <c r="H25567" s="676"/>
      <c r="I25567" s="676"/>
      <c r="J25567" s="770"/>
    </row>
    <row r="25568" spans="8:10" x14ac:dyDescent="0.35">
      <c r="H25568" s="676"/>
      <c r="I25568" s="676"/>
      <c r="J25568" s="770"/>
    </row>
    <row r="25569" spans="8:10" x14ac:dyDescent="0.35">
      <c r="H25569" s="676"/>
      <c r="I25569" s="676"/>
      <c r="J25569" s="770"/>
    </row>
    <row r="25570" spans="8:10" x14ac:dyDescent="0.35">
      <c r="H25570" s="676"/>
      <c r="I25570" s="676"/>
      <c r="J25570" s="770"/>
    </row>
    <row r="25571" spans="8:10" x14ac:dyDescent="0.35">
      <c r="H25571" s="676"/>
      <c r="I25571" s="676"/>
      <c r="J25571" s="770"/>
    </row>
    <row r="25572" spans="8:10" x14ac:dyDescent="0.35">
      <c r="H25572" s="676"/>
      <c r="I25572" s="676"/>
      <c r="J25572" s="770"/>
    </row>
    <row r="25573" spans="8:10" x14ac:dyDescent="0.35">
      <c r="H25573" s="676"/>
      <c r="I25573" s="676"/>
      <c r="J25573" s="770"/>
    </row>
    <row r="25574" spans="8:10" x14ac:dyDescent="0.35">
      <c r="H25574" s="676"/>
      <c r="I25574" s="676"/>
      <c r="J25574" s="770"/>
    </row>
    <row r="25575" spans="8:10" x14ac:dyDescent="0.35">
      <c r="H25575" s="676"/>
      <c r="I25575" s="676"/>
      <c r="J25575" s="770"/>
    </row>
    <row r="25576" spans="8:10" x14ac:dyDescent="0.35">
      <c r="H25576" s="676"/>
      <c r="I25576" s="676"/>
      <c r="J25576" s="770"/>
    </row>
    <row r="25577" spans="8:10" x14ac:dyDescent="0.35">
      <c r="H25577" s="676"/>
      <c r="I25577" s="676"/>
      <c r="J25577" s="770"/>
    </row>
    <row r="25578" spans="8:10" x14ac:dyDescent="0.35">
      <c r="H25578" s="676"/>
      <c r="I25578" s="676"/>
      <c r="J25578" s="770"/>
    </row>
    <row r="25579" spans="8:10" x14ac:dyDescent="0.35">
      <c r="H25579" s="676"/>
      <c r="I25579" s="676"/>
      <c r="J25579" s="770"/>
    </row>
    <row r="25580" spans="8:10" x14ac:dyDescent="0.35">
      <c r="H25580" s="676"/>
      <c r="I25580" s="676"/>
      <c r="J25580" s="770"/>
    </row>
    <row r="25581" spans="8:10" x14ac:dyDescent="0.35">
      <c r="H25581" s="676"/>
      <c r="I25581" s="676"/>
      <c r="J25581" s="770"/>
    </row>
    <row r="25582" spans="8:10" x14ac:dyDescent="0.35">
      <c r="H25582" s="676"/>
      <c r="I25582" s="676"/>
      <c r="J25582" s="770"/>
    </row>
    <row r="25583" spans="8:10" x14ac:dyDescent="0.35">
      <c r="H25583" s="676"/>
      <c r="I25583" s="676"/>
      <c r="J25583" s="770"/>
    </row>
    <row r="25584" spans="8:10" x14ac:dyDescent="0.35">
      <c r="H25584" s="676"/>
      <c r="I25584" s="676"/>
      <c r="J25584" s="770"/>
    </row>
    <row r="25585" spans="8:10" x14ac:dyDescent="0.35">
      <c r="H25585" s="676"/>
      <c r="I25585" s="676"/>
      <c r="J25585" s="770"/>
    </row>
    <row r="25586" spans="8:10" x14ac:dyDescent="0.35">
      <c r="H25586" s="676"/>
      <c r="I25586" s="676"/>
      <c r="J25586" s="770"/>
    </row>
    <row r="25587" spans="8:10" x14ac:dyDescent="0.35">
      <c r="H25587" s="676"/>
      <c r="I25587" s="676"/>
      <c r="J25587" s="770"/>
    </row>
    <row r="25588" spans="8:10" x14ac:dyDescent="0.35">
      <c r="H25588" s="676"/>
      <c r="I25588" s="676"/>
      <c r="J25588" s="770"/>
    </row>
    <row r="25589" spans="8:10" x14ac:dyDescent="0.35">
      <c r="H25589" s="676"/>
      <c r="I25589" s="676"/>
      <c r="J25589" s="770"/>
    </row>
    <row r="25590" spans="8:10" x14ac:dyDescent="0.35">
      <c r="H25590" s="676"/>
      <c r="I25590" s="676"/>
      <c r="J25590" s="770"/>
    </row>
    <row r="25591" spans="8:10" x14ac:dyDescent="0.35">
      <c r="H25591" s="676"/>
      <c r="I25591" s="676"/>
      <c r="J25591" s="770"/>
    </row>
    <row r="25592" spans="8:10" x14ac:dyDescent="0.35">
      <c r="H25592" s="676"/>
      <c r="I25592" s="676"/>
      <c r="J25592" s="770"/>
    </row>
    <row r="25593" spans="8:10" x14ac:dyDescent="0.35">
      <c r="H25593" s="676"/>
      <c r="I25593" s="676"/>
      <c r="J25593" s="770"/>
    </row>
    <row r="25594" spans="8:10" x14ac:dyDescent="0.35">
      <c r="H25594" s="676"/>
      <c r="I25594" s="676"/>
      <c r="J25594" s="770"/>
    </row>
    <row r="25595" spans="8:10" x14ac:dyDescent="0.35">
      <c r="H25595" s="676"/>
      <c r="I25595" s="676"/>
      <c r="J25595" s="770"/>
    </row>
    <row r="25596" spans="8:10" x14ac:dyDescent="0.35">
      <c r="H25596" s="676"/>
      <c r="I25596" s="676"/>
      <c r="J25596" s="770"/>
    </row>
    <row r="25597" spans="8:10" x14ac:dyDescent="0.35">
      <c r="H25597" s="676"/>
      <c r="I25597" s="676"/>
      <c r="J25597" s="770"/>
    </row>
    <row r="25598" spans="8:10" x14ac:dyDescent="0.35">
      <c r="H25598" s="676"/>
      <c r="I25598" s="676"/>
      <c r="J25598" s="770"/>
    </row>
    <row r="25599" spans="8:10" x14ac:dyDescent="0.35">
      <c r="H25599" s="676"/>
      <c r="I25599" s="676"/>
      <c r="J25599" s="770"/>
    </row>
    <row r="25600" spans="8:10" x14ac:dyDescent="0.35">
      <c r="H25600" s="676"/>
      <c r="I25600" s="676"/>
      <c r="J25600" s="770"/>
    </row>
    <row r="25601" spans="8:10" x14ac:dyDescent="0.35">
      <c r="H25601" s="676"/>
      <c r="I25601" s="676"/>
      <c r="J25601" s="770"/>
    </row>
    <row r="25602" spans="8:10" x14ac:dyDescent="0.35">
      <c r="H25602" s="676"/>
      <c r="I25602" s="676"/>
      <c r="J25602" s="770"/>
    </row>
    <row r="25603" spans="8:10" x14ac:dyDescent="0.35">
      <c r="H25603" s="676"/>
      <c r="I25603" s="676"/>
      <c r="J25603" s="770"/>
    </row>
    <row r="25604" spans="8:10" x14ac:dyDescent="0.35">
      <c r="H25604" s="676"/>
      <c r="I25604" s="676"/>
      <c r="J25604" s="770"/>
    </row>
    <row r="25605" spans="8:10" x14ac:dyDescent="0.35">
      <c r="H25605" s="676"/>
      <c r="I25605" s="676"/>
      <c r="J25605" s="770"/>
    </row>
    <row r="25606" spans="8:10" x14ac:dyDescent="0.35">
      <c r="H25606" s="676"/>
      <c r="I25606" s="676"/>
      <c r="J25606" s="770"/>
    </row>
    <row r="25607" spans="8:10" x14ac:dyDescent="0.35">
      <c r="H25607" s="676"/>
      <c r="I25607" s="676"/>
      <c r="J25607" s="770"/>
    </row>
    <row r="25608" spans="8:10" x14ac:dyDescent="0.35">
      <c r="H25608" s="676"/>
      <c r="I25608" s="676"/>
      <c r="J25608" s="770"/>
    </row>
    <row r="25609" spans="8:10" x14ac:dyDescent="0.35">
      <c r="H25609" s="676"/>
      <c r="I25609" s="676"/>
      <c r="J25609" s="770"/>
    </row>
    <row r="25610" spans="8:10" x14ac:dyDescent="0.35">
      <c r="H25610" s="676"/>
      <c r="I25610" s="676"/>
      <c r="J25610" s="770"/>
    </row>
    <row r="25611" spans="8:10" x14ac:dyDescent="0.35">
      <c r="H25611" s="676"/>
      <c r="I25611" s="676"/>
      <c r="J25611" s="770"/>
    </row>
    <row r="25612" spans="8:10" x14ac:dyDescent="0.35">
      <c r="H25612" s="676"/>
      <c r="I25612" s="676"/>
      <c r="J25612" s="770"/>
    </row>
    <row r="25613" spans="8:10" x14ac:dyDescent="0.35">
      <c r="H25613" s="676"/>
      <c r="I25613" s="676"/>
      <c r="J25613" s="770"/>
    </row>
    <row r="25614" spans="8:10" x14ac:dyDescent="0.35">
      <c r="H25614" s="676"/>
      <c r="I25614" s="676"/>
      <c r="J25614" s="770"/>
    </row>
    <row r="25615" spans="8:10" x14ac:dyDescent="0.35">
      <c r="H25615" s="676"/>
      <c r="I25615" s="676"/>
      <c r="J25615" s="770"/>
    </row>
    <row r="25616" spans="8:10" x14ac:dyDescent="0.35">
      <c r="H25616" s="676"/>
      <c r="I25616" s="676"/>
      <c r="J25616" s="770"/>
    </row>
    <row r="25617" spans="8:10" x14ac:dyDescent="0.35">
      <c r="H25617" s="676"/>
      <c r="I25617" s="676"/>
      <c r="J25617" s="770"/>
    </row>
    <row r="25618" spans="8:10" x14ac:dyDescent="0.35">
      <c r="H25618" s="676"/>
      <c r="I25618" s="676"/>
      <c r="J25618" s="770"/>
    </row>
    <row r="25619" spans="8:10" x14ac:dyDescent="0.35">
      <c r="H25619" s="676"/>
      <c r="I25619" s="676"/>
      <c r="J25619" s="770"/>
    </row>
    <row r="25620" spans="8:10" x14ac:dyDescent="0.35">
      <c r="H25620" s="676"/>
      <c r="I25620" s="676"/>
      <c r="J25620" s="770"/>
    </row>
    <row r="25621" spans="8:10" x14ac:dyDescent="0.35">
      <c r="H25621" s="676"/>
      <c r="I25621" s="676"/>
      <c r="J25621" s="770"/>
    </row>
    <row r="25622" spans="8:10" x14ac:dyDescent="0.35">
      <c r="H25622" s="676"/>
      <c r="I25622" s="676"/>
      <c r="J25622" s="770"/>
    </row>
    <row r="25623" spans="8:10" x14ac:dyDescent="0.35">
      <c r="H25623" s="676"/>
      <c r="I25623" s="676"/>
      <c r="J25623" s="770"/>
    </row>
    <row r="25624" spans="8:10" x14ac:dyDescent="0.35">
      <c r="H25624" s="676"/>
      <c r="I25624" s="676"/>
      <c r="J25624" s="770"/>
    </row>
    <row r="25625" spans="8:10" x14ac:dyDescent="0.35">
      <c r="H25625" s="676"/>
      <c r="I25625" s="676"/>
      <c r="J25625" s="770"/>
    </row>
    <row r="25626" spans="8:10" x14ac:dyDescent="0.35">
      <c r="H25626" s="676"/>
      <c r="I25626" s="676"/>
      <c r="J25626" s="770"/>
    </row>
    <row r="25627" spans="8:10" x14ac:dyDescent="0.35">
      <c r="H25627" s="676"/>
      <c r="I25627" s="676"/>
      <c r="J25627" s="770"/>
    </row>
    <row r="25628" spans="8:10" x14ac:dyDescent="0.35">
      <c r="H25628" s="676"/>
      <c r="I25628" s="676"/>
      <c r="J25628" s="770"/>
    </row>
    <row r="25629" spans="8:10" x14ac:dyDescent="0.35">
      <c r="H25629" s="676"/>
      <c r="I25629" s="676"/>
      <c r="J25629" s="770"/>
    </row>
    <row r="25630" spans="8:10" x14ac:dyDescent="0.35">
      <c r="H25630" s="676"/>
      <c r="I25630" s="676"/>
      <c r="J25630" s="770"/>
    </row>
    <row r="25631" spans="8:10" x14ac:dyDescent="0.35">
      <c r="H25631" s="676"/>
      <c r="I25631" s="676"/>
      <c r="J25631" s="770"/>
    </row>
    <row r="25632" spans="8:10" x14ac:dyDescent="0.35">
      <c r="H25632" s="676"/>
      <c r="I25632" s="676"/>
      <c r="J25632" s="770"/>
    </row>
    <row r="25633" spans="8:10" x14ac:dyDescent="0.35">
      <c r="H25633" s="676"/>
      <c r="I25633" s="676"/>
      <c r="J25633" s="770"/>
    </row>
    <row r="25634" spans="8:10" x14ac:dyDescent="0.35">
      <c r="H25634" s="676"/>
      <c r="I25634" s="676"/>
      <c r="J25634" s="770"/>
    </row>
    <row r="25635" spans="8:10" x14ac:dyDescent="0.35">
      <c r="H25635" s="676"/>
      <c r="I25635" s="676"/>
      <c r="J25635" s="770"/>
    </row>
    <row r="25636" spans="8:10" x14ac:dyDescent="0.35">
      <c r="H25636" s="676"/>
      <c r="I25636" s="676"/>
      <c r="J25636" s="770"/>
    </row>
    <row r="25637" spans="8:10" x14ac:dyDescent="0.35">
      <c r="H25637" s="676"/>
      <c r="I25637" s="676"/>
      <c r="J25637" s="770"/>
    </row>
    <row r="25638" spans="8:10" x14ac:dyDescent="0.35">
      <c r="H25638" s="676"/>
      <c r="I25638" s="676"/>
      <c r="J25638" s="770"/>
    </row>
    <row r="25639" spans="8:10" x14ac:dyDescent="0.35">
      <c r="H25639" s="676"/>
      <c r="I25639" s="676"/>
      <c r="J25639" s="770"/>
    </row>
    <row r="25640" spans="8:10" x14ac:dyDescent="0.35">
      <c r="H25640" s="676"/>
      <c r="I25640" s="676"/>
      <c r="J25640" s="770"/>
    </row>
    <row r="25641" spans="8:10" x14ac:dyDescent="0.35">
      <c r="H25641" s="676"/>
      <c r="I25641" s="676"/>
      <c r="J25641" s="770"/>
    </row>
    <row r="25642" spans="8:10" x14ac:dyDescent="0.35">
      <c r="H25642" s="676"/>
      <c r="I25642" s="676"/>
      <c r="J25642" s="770"/>
    </row>
    <row r="25643" spans="8:10" x14ac:dyDescent="0.35">
      <c r="H25643" s="676"/>
      <c r="I25643" s="676"/>
      <c r="J25643" s="770"/>
    </row>
    <row r="25644" spans="8:10" x14ac:dyDescent="0.35">
      <c r="H25644" s="676"/>
      <c r="I25644" s="676"/>
      <c r="J25644" s="770"/>
    </row>
    <row r="25645" spans="8:10" x14ac:dyDescent="0.35">
      <c r="H25645" s="676"/>
      <c r="I25645" s="676"/>
      <c r="J25645" s="770"/>
    </row>
    <row r="25646" spans="8:10" x14ac:dyDescent="0.35">
      <c r="H25646" s="676"/>
      <c r="I25646" s="676"/>
      <c r="J25646" s="770"/>
    </row>
    <row r="25647" spans="8:10" x14ac:dyDescent="0.35">
      <c r="H25647" s="676"/>
      <c r="I25647" s="676"/>
      <c r="J25647" s="770"/>
    </row>
    <row r="25648" spans="8:10" x14ac:dyDescent="0.35">
      <c r="H25648" s="676"/>
      <c r="I25648" s="676"/>
      <c r="J25648" s="770"/>
    </row>
    <row r="25649" spans="8:10" x14ac:dyDescent="0.35">
      <c r="H25649" s="676"/>
      <c r="I25649" s="676"/>
      <c r="J25649" s="770"/>
    </row>
    <row r="25650" spans="8:10" x14ac:dyDescent="0.35">
      <c r="H25650" s="676"/>
      <c r="I25650" s="676"/>
      <c r="J25650" s="770"/>
    </row>
    <row r="25651" spans="8:10" x14ac:dyDescent="0.35">
      <c r="H25651" s="676"/>
      <c r="I25651" s="676"/>
      <c r="J25651" s="770"/>
    </row>
    <row r="25652" spans="8:10" x14ac:dyDescent="0.35">
      <c r="H25652" s="676"/>
      <c r="I25652" s="676"/>
      <c r="J25652" s="770"/>
    </row>
    <row r="25653" spans="8:10" x14ac:dyDescent="0.35">
      <c r="H25653" s="676"/>
      <c r="I25653" s="676"/>
      <c r="J25653" s="770"/>
    </row>
    <row r="25654" spans="8:10" x14ac:dyDescent="0.35">
      <c r="H25654" s="676"/>
      <c r="I25654" s="676"/>
      <c r="J25654" s="770"/>
    </row>
    <row r="25655" spans="8:10" x14ac:dyDescent="0.35">
      <c r="H25655" s="676"/>
      <c r="I25655" s="676"/>
      <c r="J25655" s="770"/>
    </row>
    <row r="25656" spans="8:10" x14ac:dyDescent="0.35">
      <c r="H25656" s="676"/>
      <c r="I25656" s="676"/>
      <c r="J25656" s="770"/>
    </row>
    <row r="25657" spans="8:10" x14ac:dyDescent="0.35">
      <c r="H25657" s="676"/>
      <c r="I25657" s="676"/>
      <c r="J25657" s="770"/>
    </row>
    <row r="25658" spans="8:10" x14ac:dyDescent="0.35">
      <c r="H25658" s="676"/>
      <c r="I25658" s="676"/>
      <c r="J25658" s="770"/>
    </row>
    <row r="25659" spans="8:10" x14ac:dyDescent="0.35">
      <c r="H25659" s="676"/>
      <c r="I25659" s="676"/>
      <c r="J25659" s="770"/>
    </row>
    <row r="25660" spans="8:10" x14ac:dyDescent="0.35">
      <c r="H25660" s="676"/>
      <c r="I25660" s="676"/>
      <c r="J25660" s="770"/>
    </row>
    <row r="25661" spans="8:10" x14ac:dyDescent="0.35">
      <c r="H25661" s="676"/>
      <c r="I25661" s="676"/>
      <c r="J25661" s="770"/>
    </row>
    <row r="25662" spans="8:10" x14ac:dyDescent="0.35">
      <c r="H25662" s="676"/>
      <c r="I25662" s="676"/>
      <c r="J25662" s="770"/>
    </row>
    <row r="25663" spans="8:10" x14ac:dyDescent="0.35">
      <c r="H25663" s="676"/>
      <c r="I25663" s="676"/>
      <c r="J25663" s="770"/>
    </row>
    <row r="25664" spans="8:10" x14ac:dyDescent="0.35">
      <c r="H25664" s="676"/>
      <c r="I25664" s="676"/>
      <c r="J25664" s="770"/>
    </row>
    <row r="25665" spans="8:10" x14ac:dyDescent="0.35">
      <c r="H25665" s="676"/>
      <c r="I25665" s="676"/>
      <c r="J25665" s="770"/>
    </row>
    <row r="25666" spans="8:10" x14ac:dyDescent="0.35">
      <c r="H25666" s="676"/>
      <c r="I25666" s="676"/>
      <c r="J25666" s="770"/>
    </row>
    <row r="25667" spans="8:10" x14ac:dyDescent="0.35">
      <c r="H25667" s="676"/>
      <c r="I25667" s="676"/>
      <c r="J25667" s="770"/>
    </row>
    <row r="25668" spans="8:10" x14ac:dyDescent="0.35">
      <c r="H25668" s="676"/>
      <c r="I25668" s="676"/>
      <c r="J25668" s="770"/>
    </row>
    <row r="25669" spans="8:10" x14ac:dyDescent="0.35">
      <c r="H25669" s="676"/>
      <c r="I25669" s="676"/>
      <c r="J25669" s="770"/>
    </row>
    <row r="25670" spans="8:10" x14ac:dyDescent="0.35">
      <c r="H25670" s="676"/>
      <c r="I25670" s="676"/>
      <c r="J25670" s="770"/>
    </row>
    <row r="25671" spans="8:10" x14ac:dyDescent="0.35">
      <c r="H25671" s="676"/>
      <c r="I25671" s="676"/>
      <c r="J25671" s="770"/>
    </row>
    <row r="25672" spans="8:10" x14ac:dyDescent="0.35">
      <c r="H25672" s="676"/>
      <c r="I25672" s="676"/>
      <c r="J25672" s="770"/>
    </row>
    <row r="25673" spans="8:10" x14ac:dyDescent="0.35">
      <c r="H25673" s="676"/>
      <c r="I25673" s="676"/>
      <c r="J25673" s="770"/>
    </row>
    <row r="25674" spans="8:10" x14ac:dyDescent="0.35">
      <c r="H25674" s="676"/>
      <c r="I25674" s="676"/>
      <c r="J25674" s="770"/>
    </row>
    <row r="25675" spans="8:10" x14ac:dyDescent="0.35">
      <c r="H25675" s="676"/>
      <c r="I25675" s="676"/>
      <c r="J25675" s="770"/>
    </row>
    <row r="25676" spans="8:10" x14ac:dyDescent="0.35">
      <c r="H25676" s="676"/>
      <c r="I25676" s="676"/>
      <c r="J25676" s="770"/>
    </row>
    <row r="25677" spans="8:10" x14ac:dyDescent="0.35">
      <c r="H25677" s="676"/>
      <c r="I25677" s="676"/>
      <c r="J25677" s="770"/>
    </row>
    <row r="25678" spans="8:10" x14ac:dyDescent="0.35">
      <c r="H25678" s="676"/>
      <c r="I25678" s="676"/>
      <c r="J25678" s="770"/>
    </row>
    <row r="25679" spans="8:10" x14ac:dyDescent="0.35">
      <c r="H25679" s="676"/>
      <c r="I25679" s="676"/>
      <c r="J25679" s="770"/>
    </row>
    <row r="25680" spans="8:10" x14ac:dyDescent="0.35">
      <c r="H25680" s="676"/>
      <c r="I25680" s="676"/>
      <c r="J25680" s="770"/>
    </row>
    <row r="25681" spans="8:10" x14ac:dyDescent="0.35">
      <c r="H25681" s="676"/>
      <c r="I25681" s="676"/>
      <c r="J25681" s="770"/>
    </row>
    <row r="25682" spans="8:10" x14ac:dyDescent="0.35">
      <c r="H25682" s="676"/>
      <c r="I25682" s="676"/>
      <c r="J25682" s="770"/>
    </row>
    <row r="25683" spans="8:10" x14ac:dyDescent="0.35">
      <c r="H25683" s="676"/>
      <c r="I25683" s="676"/>
      <c r="J25683" s="770"/>
    </row>
    <row r="25684" spans="8:10" x14ac:dyDescent="0.35">
      <c r="H25684" s="676"/>
      <c r="I25684" s="676"/>
      <c r="J25684" s="770"/>
    </row>
    <row r="25685" spans="8:10" x14ac:dyDescent="0.35">
      <c r="H25685" s="676"/>
      <c r="I25685" s="676"/>
      <c r="J25685" s="770"/>
    </row>
    <row r="25686" spans="8:10" x14ac:dyDescent="0.35">
      <c r="H25686" s="676"/>
      <c r="I25686" s="676"/>
      <c r="J25686" s="770"/>
    </row>
    <row r="25687" spans="8:10" x14ac:dyDescent="0.35">
      <c r="H25687" s="676"/>
      <c r="I25687" s="676"/>
      <c r="J25687" s="770"/>
    </row>
    <row r="25688" spans="8:10" x14ac:dyDescent="0.35">
      <c r="H25688" s="676"/>
      <c r="I25688" s="676"/>
      <c r="J25688" s="770"/>
    </row>
    <row r="25689" spans="8:10" x14ac:dyDescent="0.35">
      <c r="H25689" s="676"/>
      <c r="I25689" s="676"/>
      <c r="J25689" s="770"/>
    </row>
    <row r="25690" spans="8:10" x14ac:dyDescent="0.35">
      <c r="H25690" s="676"/>
      <c r="I25690" s="676"/>
      <c r="J25690" s="770"/>
    </row>
    <row r="25691" spans="8:10" x14ac:dyDescent="0.35">
      <c r="H25691" s="676"/>
      <c r="I25691" s="676"/>
      <c r="J25691" s="770"/>
    </row>
    <row r="25692" spans="8:10" x14ac:dyDescent="0.35">
      <c r="H25692" s="676"/>
      <c r="I25692" s="676"/>
      <c r="J25692" s="770"/>
    </row>
    <row r="25693" spans="8:10" x14ac:dyDescent="0.35">
      <c r="H25693" s="676"/>
      <c r="I25693" s="676"/>
      <c r="J25693" s="770"/>
    </row>
    <row r="25694" spans="8:10" x14ac:dyDescent="0.35">
      <c r="H25694" s="676"/>
      <c r="I25694" s="676"/>
      <c r="J25694" s="770"/>
    </row>
    <row r="25695" spans="8:10" x14ac:dyDescent="0.35">
      <c r="H25695" s="676"/>
      <c r="I25695" s="676"/>
      <c r="J25695" s="770"/>
    </row>
    <row r="25696" spans="8:10" x14ac:dyDescent="0.35">
      <c r="H25696" s="676"/>
      <c r="I25696" s="676"/>
      <c r="J25696" s="770"/>
    </row>
    <row r="25697" spans="8:10" x14ac:dyDescent="0.35">
      <c r="H25697" s="676"/>
      <c r="I25697" s="676"/>
      <c r="J25697" s="770"/>
    </row>
    <row r="25698" spans="8:10" x14ac:dyDescent="0.35">
      <c r="H25698" s="676"/>
      <c r="I25698" s="676"/>
      <c r="J25698" s="770"/>
    </row>
    <row r="25699" spans="8:10" x14ac:dyDescent="0.35">
      <c r="H25699" s="676"/>
      <c r="I25699" s="676"/>
      <c r="J25699" s="770"/>
    </row>
    <row r="25700" spans="8:10" x14ac:dyDescent="0.35">
      <c r="H25700" s="676"/>
      <c r="I25700" s="676"/>
      <c r="J25700" s="770"/>
    </row>
    <row r="25701" spans="8:10" x14ac:dyDescent="0.35">
      <c r="H25701" s="676"/>
      <c r="I25701" s="676"/>
      <c r="J25701" s="770"/>
    </row>
    <row r="25702" spans="8:10" x14ac:dyDescent="0.35">
      <c r="H25702" s="676"/>
      <c r="I25702" s="676"/>
      <c r="J25702" s="770"/>
    </row>
    <row r="25703" spans="8:10" x14ac:dyDescent="0.35">
      <c r="H25703" s="676"/>
      <c r="I25703" s="676"/>
      <c r="J25703" s="770"/>
    </row>
    <row r="25704" spans="8:10" x14ac:dyDescent="0.35">
      <c r="H25704" s="676"/>
      <c r="I25704" s="676"/>
      <c r="J25704" s="770"/>
    </row>
    <row r="25705" spans="8:10" x14ac:dyDescent="0.35">
      <c r="H25705" s="676"/>
      <c r="I25705" s="676"/>
      <c r="J25705" s="770"/>
    </row>
    <row r="25706" spans="8:10" x14ac:dyDescent="0.35">
      <c r="H25706" s="676"/>
      <c r="I25706" s="676"/>
      <c r="J25706" s="770"/>
    </row>
    <row r="25707" spans="8:10" x14ac:dyDescent="0.35">
      <c r="H25707" s="676"/>
      <c r="I25707" s="676"/>
      <c r="J25707" s="770"/>
    </row>
    <row r="25708" spans="8:10" x14ac:dyDescent="0.35">
      <c r="H25708" s="676"/>
      <c r="I25708" s="676"/>
      <c r="J25708" s="770"/>
    </row>
    <row r="25709" spans="8:10" x14ac:dyDescent="0.35">
      <c r="H25709" s="676"/>
      <c r="I25709" s="676"/>
      <c r="J25709" s="770"/>
    </row>
    <row r="25710" spans="8:10" x14ac:dyDescent="0.35">
      <c r="H25710" s="676"/>
      <c r="I25710" s="676"/>
      <c r="J25710" s="770"/>
    </row>
    <row r="25711" spans="8:10" x14ac:dyDescent="0.35">
      <c r="H25711" s="676"/>
      <c r="I25711" s="676"/>
      <c r="J25711" s="770"/>
    </row>
    <row r="25712" spans="8:10" x14ac:dyDescent="0.35">
      <c r="H25712" s="676"/>
      <c r="I25712" s="676"/>
      <c r="J25712" s="770"/>
    </row>
    <row r="25713" spans="8:10" x14ac:dyDescent="0.35">
      <c r="H25713" s="676"/>
      <c r="I25713" s="676"/>
      <c r="J25713" s="770"/>
    </row>
    <row r="25714" spans="8:10" x14ac:dyDescent="0.35">
      <c r="H25714" s="676"/>
      <c r="I25714" s="676"/>
      <c r="J25714" s="770"/>
    </row>
    <row r="25715" spans="8:10" x14ac:dyDescent="0.35">
      <c r="H25715" s="676"/>
      <c r="I25715" s="676"/>
      <c r="J25715" s="770"/>
    </row>
    <row r="25716" spans="8:10" x14ac:dyDescent="0.35">
      <c r="H25716" s="676"/>
      <c r="I25716" s="676"/>
      <c r="J25716" s="770"/>
    </row>
    <row r="25717" spans="8:10" x14ac:dyDescent="0.35">
      <c r="H25717" s="676"/>
      <c r="I25717" s="676"/>
      <c r="J25717" s="770"/>
    </row>
    <row r="25718" spans="8:10" x14ac:dyDescent="0.35">
      <c r="H25718" s="676"/>
      <c r="I25718" s="676"/>
      <c r="J25718" s="770"/>
    </row>
    <row r="25719" spans="8:10" x14ac:dyDescent="0.35">
      <c r="H25719" s="676"/>
      <c r="I25719" s="676"/>
      <c r="J25719" s="770"/>
    </row>
    <row r="25720" spans="8:10" x14ac:dyDescent="0.35">
      <c r="H25720" s="676"/>
      <c r="I25720" s="676"/>
      <c r="J25720" s="770"/>
    </row>
    <row r="25721" spans="8:10" x14ac:dyDescent="0.35">
      <c r="H25721" s="676"/>
      <c r="I25721" s="676"/>
      <c r="J25721" s="770"/>
    </row>
    <row r="25722" spans="8:10" x14ac:dyDescent="0.35">
      <c r="H25722" s="676"/>
      <c r="I25722" s="676"/>
      <c r="J25722" s="770"/>
    </row>
    <row r="25723" spans="8:10" x14ac:dyDescent="0.35">
      <c r="H25723" s="676"/>
      <c r="I25723" s="676"/>
      <c r="J25723" s="770"/>
    </row>
    <row r="25724" spans="8:10" x14ac:dyDescent="0.35">
      <c r="H25724" s="676"/>
      <c r="I25724" s="676"/>
      <c r="J25724" s="770"/>
    </row>
    <row r="25725" spans="8:10" x14ac:dyDescent="0.35">
      <c r="H25725" s="676"/>
      <c r="I25725" s="676"/>
      <c r="J25725" s="770"/>
    </row>
    <row r="25726" spans="8:10" x14ac:dyDescent="0.35">
      <c r="H25726" s="676"/>
      <c r="I25726" s="676"/>
      <c r="J25726" s="770"/>
    </row>
    <row r="25727" spans="8:10" x14ac:dyDescent="0.35">
      <c r="H25727" s="676"/>
      <c r="I25727" s="676"/>
      <c r="J25727" s="770"/>
    </row>
    <row r="25728" spans="8:10" x14ac:dyDescent="0.35">
      <c r="H25728" s="676"/>
      <c r="I25728" s="676"/>
      <c r="J25728" s="770"/>
    </row>
    <row r="25729" spans="8:10" x14ac:dyDescent="0.35">
      <c r="H25729" s="676"/>
      <c r="I25729" s="676"/>
      <c r="J25729" s="770"/>
    </row>
    <row r="25730" spans="8:10" x14ac:dyDescent="0.35">
      <c r="H25730" s="676"/>
      <c r="I25730" s="676"/>
      <c r="J25730" s="770"/>
    </row>
    <row r="25731" spans="8:10" x14ac:dyDescent="0.35">
      <c r="H25731" s="676"/>
      <c r="I25731" s="676"/>
      <c r="J25731" s="770"/>
    </row>
    <row r="25732" spans="8:10" x14ac:dyDescent="0.35">
      <c r="H25732" s="676"/>
      <c r="I25732" s="676"/>
      <c r="J25732" s="770"/>
    </row>
    <row r="25733" spans="8:10" x14ac:dyDescent="0.35">
      <c r="H25733" s="676"/>
      <c r="I25733" s="676"/>
      <c r="J25733" s="770"/>
    </row>
    <row r="25734" spans="8:10" x14ac:dyDescent="0.35">
      <c r="H25734" s="676"/>
      <c r="I25734" s="676"/>
      <c r="J25734" s="770"/>
    </row>
    <row r="25735" spans="8:10" x14ac:dyDescent="0.35">
      <c r="H25735" s="676"/>
      <c r="I25735" s="676"/>
      <c r="J25735" s="770"/>
    </row>
    <row r="25736" spans="8:10" x14ac:dyDescent="0.35">
      <c r="H25736" s="676"/>
      <c r="I25736" s="676"/>
      <c r="J25736" s="770"/>
    </row>
    <row r="25737" spans="8:10" x14ac:dyDescent="0.35">
      <c r="H25737" s="676"/>
      <c r="I25737" s="676"/>
      <c r="J25737" s="770"/>
    </row>
    <row r="25738" spans="8:10" x14ac:dyDescent="0.35">
      <c r="H25738" s="676"/>
      <c r="I25738" s="676"/>
      <c r="J25738" s="770"/>
    </row>
    <row r="25739" spans="8:10" x14ac:dyDescent="0.35">
      <c r="H25739" s="676"/>
      <c r="I25739" s="676"/>
      <c r="J25739" s="770"/>
    </row>
    <row r="25740" spans="8:10" x14ac:dyDescent="0.35">
      <c r="H25740" s="676"/>
      <c r="I25740" s="676"/>
      <c r="J25740" s="770"/>
    </row>
    <row r="25741" spans="8:10" x14ac:dyDescent="0.35">
      <c r="H25741" s="676"/>
      <c r="I25741" s="676"/>
      <c r="J25741" s="770"/>
    </row>
    <row r="25742" spans="8:10" x14ac:dyDescent="0.35">
      <c r="H25742" s="676"/>
      <c r="I25742" s="676"/>
      <c r="J25742" s="770"/>
    </row>
    <row r="25743" spans="8:10" x14ac:dyDescent="0.35">
      <c r="H25743" s="676"/>
      <c r="I25743" s="676"/>
      <c r="J25743" s="770"/>
    </row>
    <row r="25744" spans="8:10" x14ac:dyDescent="0.35">
      <c r="H25744" s="676"/>
      <c r="I25744" s="676"/>
      <c r="J25744" s="770"/>
    </row>
    <row r="25745" spans="8:10" x14ac:dyDescent="0.35">
      <c r="H25745" s="676"/>
      <c r="I25745" s="676"/>
      <c r="J25745" s="770"/>
    </row>
    <row r="25746" spans="8:10" x14ac:dyDescent="0.35">
      <c r="H25746" s="676"/>
      <c r="I25746" s="676"/>
      <c r="J25746" s="770"/>
    </row>
    <row r="25747" spans="8:10" x14ac:dyDescent="0.35">
      <c r="H25747" s="676"/>
      <c r="I25747" s="676"/>
      <c r="J25747" s="770"/>
    </row>
    <row r="25748" spans="8:10" x14ac:dyDescent="0.35">
      <c r="H25748" s="676"/>
      <c r="I25748" s="676"/>
      <c r="J25748" s="770"/>
    </row>
    <row r="25749" spans="8:10" x14ac:dyDescent="0.35">
      <c r="H25749" s="676"/>
      <c r="I25749" s="676"/>
      <c r="J25749" s="770"/>
    </row>
    <row r="25750" spans="8:10" x14ac:dyDescent="0.35">
      <c r="H25750" s="676"/>
      <c r="I25750" s="676"/>
      <c r="J25750" s="770"/>
    </row>
    <row r="25751" spans="8:10" x14ac:dyDescent="0.35">
      <c r="H25751" s="676"/>
      <c r="I25751" s="676"/>
      <c r="J25751" s="770"/>
    </row>
    <row r="25752" spans="8:10" x14ac:dyDescent="0.35">
      <c r="H25752" s="676"/>
      <c r="I25752" s="676"/>
      <c r="J25752" s="770"/>
    </row>
    <row r="25753" spans="8:10" x14ac:dyDescent="0.35">
      <c r="H25753" s="676"/>
      <c r="I25753" s="676"/>
      <c r="J25753" s="770"/>
    </row>
    <row r="25754" spans="8:10" x14ac:dyDescent="0.35">
      <c r="H25754" s="676"/>
      <c r="I25754" s="676"/>
      <c r="J25754" s="770"/>
    </row>
    <row r="25755" spans="8:10" x14ac:dyDescent="0.35">
      <c r="H25755" s="676"/>
      <c r="I25755" s="676"/>
      <c r="J25755" s="770"/>
    </row>
    <row r="25756" spans="8:10" x14ac:dyDescent="0.35">
      <c r="H25756" s="676"/>
      <c r="I25756" s="676"/>
      <c r="J25756" s="770"/>
    </row>
    <row r="25757" spans="8:10" x14ac:dyDescent="0.35">
      <c r="H25757" s="676"/>
      <c r="I25757" s="676"/>
      <c r="J25757" s="770"/>
    </row>
    <row r="25758" spans="8:10" x14ac:dyDescent="0.35">
      <c r="H25758" s="676"/>
      <c r="I25758" s="676"/>
      <c r="J25758" s="770"/>
    </row>
    <row r="25759" spans="8:10" x14ac:dyDescent="0.35">
      <c r="H25759" s="676"/>
      <c r="I25759" s="676"/>
      <c r="J25759" s="770"/>
    </row>
    <row r="25760" spans="8:10" x14ac:dyDescent="0.35">
      <c r="H25760" s="676"/>
      <c r="I25760" s="676"/>
      <c r="J25760" s="770"/>
    </row>
    <row r="25761" spans="8:10" x14ac:dyDescent="0.35">
      <c r="H25761" s="676"/>
      <c r="I25761" s="676"/>
      <c r="J25761" s="770"/>
    </row>
    <row r="25762" spans="8:10" x14ac:dyDescent="0.35">
      <c r="H25762" s="676"/>
      <c r="I25762" s="676"/>
      <c r="J25762" s="770"/>
    </row>
    <row r="25763" spans="8:10" x14ac:dyDescent="0.35">
      <c r="H25763" s="676"/>
      <c r="I25763" s="676"/>
      <c r="J25763" s="770"/>
    </row>
    <row r="25764" spans="8:10" x14ac:dyDescent="0.35">
      <c r="H25764" s="676"/>
      <c r="I25764" s="676"/>
      <c r="J25764" s="770"/>
    </row>
    <row r="25765" spans="8:10" x14ac:dyDescent="0.35">
      <c r="H25765" s="676"/>
      <c r="I25765" s="676"/>
      <c r="J25765" s="770"/>
    </row>
    <row r="25766" spans="8:10" x14ac:dyDescent="0.35">
      <c r="H25766" s="676"/>
      <c r="I25766" s="676"/>
      <c r="J25766" s="770"/>
    </row>
    <row r="25767" spans="8:10" x14ac:dyDescent="0.35">
      <c r="H25767" s="676"/>
      <c r="I25767" s="676"/>
      <c r="J25767" s="770"/>
    </row>
    <row r="25768" spans="8:10" x14ac:dyDescent="0.35">
      <c r="H25768" s="676"/>
      <c r="I25768" s="676"/>
      <c r="J25768" s="770"/>
    </row>
    <row r="25769" spans="8:10" x14ac:dyDescent="0.35">
      <c r="H25769" s="676"/>
      <c r="I25769" s="676"/>
      <c r="J25769" s="770"/>
    </row>
    <row r="25770" spans="8:10" x14ac:dyDescent="0.35">
      <c r="H25770" s="676"/>
      <c r="I25770" s="676"/>
      <c r="J25770" s="770"/>
    </row>
    <row r="25771" spans="8:10" x14ac:dyDescent="0.35">
      <c r="H25771" s="676"/>
      <c r="I25771" s="676"/>
      <c r="J25771" s="770"/>
    </row>
    <row r="25772" spans="8:10" x14ac:dyDescent="0.35">
      <c r="H25772" s="676"/>
      <c r="I25772" s="676"/>
      <c r="J25772" s="770"/>
    </row>
    <row r="25773" spans="8:10" x14ac:dyDescent="0.35">
      <c r="H25773" s="676"/>
      <c r="I25773" s="676"/>
      <c r="J25773" s="770"/>
    </row>
    <row r="25774" spans="8:10" x14ac:dyDescent="0.35">
      <c r="H25774" s="676"/>
      <c r="I25774" s="676"/>
      <c r="J25774" s="770"/>
    </row>
    <row r="25775" spans="8:10" x14ac:dyDescent="0.35">
      <c r="H25775" s="676"/>
      <c r="I25775" s="676"/>
      <c r="J25775" s="770"/>
    </row>
    <row r="25776" spans="8:10" x14ac:dyDescent="0.35">
      <c r="H25776" s="676"/>
      <c r="I25776" s="676"/>
      <c r="J25776" s="770"/>
    </row>
    <row r="25777" spans="8:10" x14ac:dyDescent="0.35">
      <c r="H25777" s="676"/>
      <c r="I25777" s="676"/>
      <c r="J25777" s="770"/>
    </row>
    <row r="25778" spans="8:10" x14ac:dyDescent="0.35">
      <c r="H25778" s="676"/>
      <c r="I25778" s="676"/>
      <c r="J25778" s="770"/>
    </row>
    <row r="25779" spans="8:10" x14ac:dyDescent="0.35">
      <c r="H25779" s="676"/>
      <c r="I25779" s="676"/>
      <c r="J25779" s="770"/>
    </row>
    <row r="25780" spans="8:10" x14ac:dyDescent="0.35">
      <c r="H25780" s="676"/>
      <c r="I25780" s="676"/>
      <c r="J25780" s="770"/>
    </row>
    <row r="25781" spans="8:10" x14ac:dyDescent="0.35">
      <c r="H25781" s="676"/>
      <c r="I25781" s="676"/>
      <c r="J25781" s="770"/>
    </row>
    <row r="25782" spans="8:10" x14ac:dyDescent="0.35">
      <c r="H25782" s="676"/>
      <c r="I25782" s="676"/>
      <c r="J25782" s="770"/>
    </row>
    <row r="25783" spans="8:10" x14ac:dyDescent="0.35">
      <c r="H25783" s="676"/>
      <c r="I25783" s="676"/>
      <c r="J25783" s="770"/>
    </row>
    <row r="25784" spans="8:10" x14ac:dyDescent="0.35">
      <c r="H25784" s="676"/>
      <c r="I25784" s="676"/>
      <c r="J25784" s="770"/>
    </row>
    <row r="25785" spans="8:10" x14ac:dyDescent="0.35">
      <c r="H25785" s="676"/>
      <c r="I25785" s="676"/>
      <c r="J25785" s="770"/>
    </row>
    <row r="25786" spans="8:10" x14ac:dyDescent="0.35">
      <c r="H25786" s="676"/>
      <c r="I25786" s="676"/>
      <c r="J25786" s="770"/>
    </row>
    <row r="25787" spans="8:10" x14ac:dyDescent="0.35">
      <c r="H25787" s="676"/>
      <c r="I25787" s="676"/>
      <c r="J25787" s="770"/>
    </row>
    <row r="25788" spans="8:10" x14ac:dyDescent="0.35">
      <c r="H25788" s="676"/>
      <c r="I25788" s="676"/>
      <c r="J25788" s="770"/>
    </row>
    <row r="25789" spans="8:10" x14ac:dyDescent="0.35">
      <c r="H25789" s="676"/>
      <c r="I25789" s="676"/>
      <c r="J25789" s="770"/>
    </row>
    <row r="25790" spans="8:10" x14ac:dyDescent="0.35">
      <c r="H25790" s="676"/>
      <c r="I25790" s="676"/>
      <c r="J25790" s="770"/>
    </row>
    <row r="25791" spans="8:10" x14ac:dyDescent="0.35">
      <c r="H25791" s="676"/>
      <c r="I25791" s="676"/>
      <c r="J25791" s="770"/>
    </row>
    <row r="25792" spans="8:10" x14ac:dyDescent="0.35">
      <c r="H25792" s="676"/>
      <c r="I25792" s="676"/>
      <c r="J25792" s="770"/>
    </row>
    <row r="25793" spans="8:10" x14ac:dyDescent="0.35">
      <c r="H25793" s="676"/>
      <c r="I25793" s="676"/>
      <c r="J25793" s="770"/>
    </row>
    <row r="25794" spans="8:10" x14ac:dyDescent="0.35">
      <c r="H25794" s="676"/>
      <c r="I25794" s="676"/>
      <c r="J25794" s="770"/>
    </row>
    <row r="25795" spans="8:10" x14ac:dyDescent="0.35">
      <c r="H25795" s="676"/>
      <c r="I25795" s="676"/>
      <c r="J25795" s="770"/>
    </row>
    <row r="25796" spans="8:10" x14ac:dyDescent="0.35">
      <c r="H25796" s="676"/>
      <c r="I25796" s="676"/>
      <c r="J25796" s="770"/>
    </row>
    <row r="25797" spans="8:10" x14ac:dyDescent="0.35">
      <c r="H25797" s="676"/>
      <c r="I25797" s="676"/>
      <c r="J25797" s="770"/>
    </row>
    <row r="25798" spans="8:10" x14ac:dyDescent="0.35">
      <c r="H25798" s="676"/>
      <c r="I25798" s="676"/>
      <c r="J25798" s="770"/>
    </row>
    <row r="25799" spans="8:10" x14ac:dyDescent="0.35">
      <c r="H25799" s="676"/>
      <c r="I25799" s="676"/>
      <c r="J25799" s="770"/>
    </row>
    <row r="25800" spans="8:10" x14ac:dyDescent="0.35">
      <c r="H25800" s="676"/>
      <c r="I25800" s="676"/>
      <c r="J25800" s="770"/>
    </row>
    <row r="25801" spans="8:10" x14ac:dyDescent="0.35">
      <c r="H25801" s="676"/>
      <c r="I25801" s="676"/>
      <c r="J25801" s="770"/>
    </row>
    <row r="25802" spans="8:10" x14ac:dyDescent="0.35">
      <c r="H25802" s="676"/>
      <c r="I25802" s="676"/>
      <c r="J25802" s="770"/>
    </row>
    <row r="25803" spans="8:10" x14ac:dyDescent="0.35">
      <c r="H25803" s="676"/>
      <c r="I25803" s="676"/>
      <c r="J25803" s="770"/>
    </row>
    <row r="25804" spans="8:10" x14ac:dyDescent="0.35">
      <c r="H25804" s="676"/>
      <c r="I25804" s="676"/>
      <c r="J25804" s="770"/>
    </row>
    <row r="25805" spans="8:10" x14ac:dyDescent="0.35">
      <c r="H25805" s="676"/>
      <c r="I25805" s="676"/>
      <c r="J25805" s="770"/>
    </row>
    <row r="25806" spans="8:10" x14ac:dyDescent="0.35">
      <c r="H25806" s="676"/>
      <c r="I25806" s="676"/>
      <c r="J25806" s="770"/>
    </row>
    <row r="25807" spans="8:10" x14ac:dyDescent="0.35">
      <c r="H25807" s="676"/>
      <c r="I25807" s="676"/>
      <c r="J25807" s="770"/>
    </row>
    <row r="25808" spans="8:10" x14ac:dyDescent="0.35">
      <c r="H25808" s="676"/>
      <c r="I25808" s="676"/>
      <c r="J25808" s="770"/>
    </row>
    <row r="25809" spans="8:10" x14ac:dyDescent="0.35">
      <c r="H25809" s="676"/>
      <c r="I25809" s="676"/>
      <c r="J25809" s="770"/>
    </row>
    <row r="25810" spans="8:10" x14ac:dyDescent="0.35">
      <c r="H25810" s="676"/>
      <c r="I25810" s="676"/>
      <c r="J25810" s="770"/>
    </row>
    <row r="25811" spans="8:10" x14ac:dyDescent="0.35">
      <c r="H25811" s="676"/>
      <c r="I25811" s="676"/>
      <c r="J25811" s="770"/>
    </row>
    <row r="25812" spans="8:10" x14ac:dyDescent="0.35">
      <c r="H25812" s="676"/>
      <c r="I25812" s="676"/>
      <c r="J25812" s="770"/>
    </row>
    <row r="25813" spans="8:10" x14ac:dyDescent="0.35">
      <c r="H25813" s="676"/>
      <c r="I25813" s="676"/>
      <c r="J25813" s="770"/>
    </row>
    <row r="25814" spans="8:10" x14ac:dyDescent="0.35">
      <c r="H25814" s="676"/>
      <c r="I25814" s="676"/>
      <c r="J25814" s="770"/>
    </row>
    <row r="25815" spans="8:10" x14ac:dyDescent="0.35">
      <c r="H25815" s="676"/>
      <c r="I25815" s="676"/>
      <c r="J25815" s="770"/>
    </row>
    <row r="25816" spans="8:10" x14ac:dyDescent="0.35">
      <c r="H25816" s="676"/>
      <c r="I25816" s="676"/>
      <c r="J25816" s="770"/>
    </row>
    <row r="25817" spans="8:10" x14ac:dyDescent="0.35">
      <c r="H25817" s="676"/>
      <c r="I25817" s="676"/>
      <c r="J25817" s="770"/>
    </row>
    <row r="25818" spans="8:10" x14ac:dyDescent="0.35">
      <c r="H25818" s="676"/>
      <c r="I25818" s="676"/>
      <c r="J25818" s="770"/>
    </row>
    <row r="25819" spans="8:10" x14ac:dyDescent="0.35">
      <c r="H25819" s="676"/>
      <c r="I25819" s="676"/>
      <c r="J25819" s="770"/>
    </row>
    <row r="25820" spans="8:10" x14ac:dyDescent="0.35">
      <c r="H25820" s="676"/>
      <c r="I25820" s="676"/>
      <c r="J25820" s="770"/>
    </row>
    <row r="25821" spans="8:10" x14ac:dyDescent="0.35">
      <c r="H25821" s="676"/>
      <c r="I25821" s="676"/>
      <c r="J25821" s="770"/>
    </row>
    <row r="25822" spans="8:10" x14ac:dyDescent="0.35">
      <c r="H25822" s="676"/>
      <c r="I25822" s="676"/>
      <c r="J25822" s="770"/>
    </row>
    <row r="25823" spans="8:10" x14ac:dyDescent="0.35">
      <c r="H25823" s="676"/>
      <c r="I25823" s="676"/>
      <c r="J25823" s="770"/>
    </row>
    <row r="25824" spans="8:10" x14ac:dyDescent="0.35">
      <c r="H25824" s="676"/>
      <c r="I25824" s="676"/>
      <c r="J25824" s="770"/>
    </row>
    <row r="25825" spans="8:10" x14ac:dyDescent="0.35">
      <c r="H25825" s="676"/>
      <c r="I25825" s="676"/>
      <c r="J25825" s="770"/>
    </row>
    <row r="25826" spans="8:10" x14ac:dyDescent="0.35">
      <c r="H25826" s="676"/>
      <c r="I25826" s="676"/>
      <c r="J25826" s="770"/>
    </row>
    <row r="25827" spans="8:10" x14ac:dyDescent="0.35">
      <c r="H25827" s="676"/>
      <c r="I25827" s="676"/>
      <c r="J25827" s="770"/>
    </row>
    <row r="25828" spans="8:10" x14ac:dyDescent="0.35">
      <c r="H25828" s="676"/>
      <c r="I25828" s="676"/>
      <c r="J25828" s="770"/>
    </row>
    <row r="25829" spans="8:10" x14ac:dyDescent="0.35">
      <c r="H25829" s="676"/>
      <c r="I25829" s="676"/>
      <c r="J25829" s="770"/>
    </row>
    <row r="25830" spans="8:10" x14ac:dyDescent="0.35">
      <c r="H25830" s="676"/>
      <c r="I25830" s="676"/>
      <c r="J25830" s="770"/>
    </row>
    <row r="25831" spans="8:10" x14ac:dyDescent="0.35">
      <c r="H25831" s="676"/>
      <c r="I25831" s="676"/>
      <c r="J25831" s="770"/>
    </row>
    <row r="25832" spans="8:10" x14ac:dyDescent="0.35">
      <c r="H25832" s="676"/>
      <c r="I25832" s="676"/>
      <c r="J25832" s="770"/>
    </row>
    <row r="25833" spans="8:10" x14ac:dyDescent="0.35">
      <c r="H25833" s="676"/>
      <c r="I25833" s="676"/>
      <c r="J25833" s="770"/>
    </row>
    <row r="25834" spans="8:10" x14ac:dyDescent="0.35">
      <c r="H25834" s="676"/>
      <c r="I25834" s="676"/>
      <c r="J25834" s="770"/>
    </row>
    <row r="25835" spans="8:10" x14ac:dyDescent="0.35">
      <c r="H25835" s="676"/>
      <c r="I25835" s="676"/>
      <c r="J25835" s="770"/>
    </row>
    <row r="25836" spans="8:10" x14ac:dyDescent="0.35">
      <c r="H25836" s="676"/>
      <c r="I25836" s="676"/>
      <c r="J25836" s="770"/>
    </row>
    <row r="25837" spans="8:10" x14ac:dyDescent="0.35">
      <c r="H25837" s="676"/>
      <c r="I25837" s="676"/>
      <c r="J25837" s="770"/>
    </row>
    <row r="25838" spans="8:10" x14ac:dyDescent="0.35">
      <c r="H25838" s="676"/>
      <c r="I25838" s="676"/>
      <c r="J25838" s="770"/>
    </row>
    <row r="25839" spans="8:10" x14ac:dyDescent="0.35">
      <c r="H25839" s="676"/>
      <c r="I25839" s="676"/>
      <c r="J25839" s="770"/>
    </row>
    <row r="25840" spans="8:10" x14ac:dyDescent="0.35">
      <c r="H25840" s="676"/>
      <c r="I25840" s="676"/>
      <c r="J25840" s="770"/>
    </row>
    <row r="25841" spans="8:10" x14ac:dyDescent="0.35">
      <c r="H25841" s="676"/>
      <c r="I25841" s="676"/>
      <c r="J25841" s="770"/>
    </row>
    <row r="25842" spans="8:10" x14ac:dyDescent="0.35">
      <c r="H25842" s="676"/>
      <c r="I25842" s="676"/>
      <c r="J25842" s="770"/>
    </row>
    <row r="25843" spans="8:10" x14ac:dyDescent="0.35">
      <c r="H25843" s="676"/>
      <c r="I25843" s="676"/>
      <c r="J25843" s="770"/>
    </row>
    <row r="25844" spans="8:10" x14ac:dyDescent="0.35">
      <c r="H25844" s="676"/>
      <c r="I25844" s="676"/>
      <c r="J25844" s="770"/>
    </row>
    <row r="25845" spans="8:10" x14ac:dyDescent="0.35">
      <c r="H25845" s="676"/>
      <c r="I25845" s="676"/>
      <c r="J25845" s="770"/>
    </row>
    <row r="25846" spans="8:10" x14ac:dyDescent="0.35">
      <c r="H25846" s="676"/>
      <c r="I25846" s="676"/>
      <c r="J25846" s="770"/>
    </row>
    <row r="25847" spans="8:10" x14ac:dyDescent="0.35">
      <c r="H25847" s="676"/>
      <c r="I25847" s="676"/>
      <c r="J25847" s="770"/>
    </row>
    <row r="25848" spans="8:10" x14ac:dyDescent="0.35">
      <c r="H25848" s="676"/>
      <c r="I25848" s="676"/>
      <c r="J25848" s="770"/>
    </row>
    <row r="25849" spans="8:10" x14ac:dyDescent="0.35">
      <c r="H25849" s="676"/>
      <c r="I25849" s="676"/>
      <c r="J25849" s="770"/>
    </row>
    <row r="25850" spans="8:10" x14ac:dyDescent="0.35">
      <c r="H25850" s="676"/>
      <c r="I25850" s="676"/>
      <c r="J25850" s="770"/>
    </row>
    <row r="25851" spans="8:10" x14ac:dyDescent="0.35">
      <c r="H25851" s="676"/>
      <c r="I25851" s="676"/>
      <c r="J25851" s="770"/>
    </row>
    <row r="25852" spans="8:10" x14ac:dyDescent="0.35">
      <c r="H25852" s="676"/>
      <c r="I25852" s="676"/>
      <c r="J25852" s="770"/>
    </row>
    <row r="25853" spans="8:10" x14ac:dyDescent="0.35">
      <c r="H25853" s="676"/>
      <c r="I25853" s="676"/>
      <c r="J25853" s="770"/>
    </row>
    <row r="25854" spans="8:10" x14ac:dyDescent="0.35">
      <c r="H25854" s="676"/>
      <c r="I25854" s="676"/>
      <c r="J25854" s="770"/>
    </row>
    <row r="25855" spans="8:10" x14ac:dyDescent="0.35">
      <c r="H25855" s="676"/>
      <c r="I25855" s="676"/>
      <c r="J25855" s="770"/>
    </row>
    <row r="25856" spans="8:10" x14ac:dyDescent="0.35">
      <c r="H25856" s="676"/>
      <c r="I25856" s="676"/>
      <c r="J25856" s="770"/>
    </row>
    <row r="25857" spans="8:10" x14ac:dyDescent="0.35">
      <c r="H25857" s="676"/>
      <c r="I25857" s="676"/>
      <c r="J25857" s="770"/>
    </row>
    <row r="25858" spans="8:10" x14ac:dyDescent="0.35">
      <c r="H25858" s="676"/>
      <c r="I25858" s="676"/>
      <c r="J25858" s="770"/>
    </row>
    <row r="25859" spans="8:10" x14ac:dyDescent="0.35">
      <c r="H25859" s="676"/>
      <c r="I25859" s="676"/>
      <c r="J25859" s="770"/>
    </row>
    <row r="25860" spans="8:10" x14ac:dyDescent="0.35">
      <c r="H25860" s="676"/>
      <c r="I25860" s="676"/>
      <c r="J25860" s="770"/>
    </row>
    <row r="25861" spans="8:10" x14ac:dyDescent="0.35">
      <c r="H25861" s="676"/>
      <c r="I25861" s="676"/>
      <c r="J25861" s="770"/>
    </row>
    <row r="25862" spans="8:10" x14ac:dyDescent="0.35">
      <c r="H25862" s="676"/>
      <c r="I25862" s="676"/>
      <c r="J25862" s="770"/>
    </row>
    <row r="25863" spans="8:10" x14ac:dyDescent="0.35">
      <c r="H25863" s="676"/>
      <c r="I25863" s="676"/>
      <c r="J25863" s="770"/>
    </row>
    <row r="25864" spans="8:10" x14ac:dyDescent="0.35">
      <c r="H25864" s="676"/>
      <c r="I25864" s="676"/>
      <c r="J25864" s="770"/>
    </row>
    <row r="25865" spans="8:10" x14ac:dyDescent="0.35">
      <c r="H25865" s="676"/>
      <c r="I25865" s="676"/>
      <c r="J25865" s="770"/>
    </row>
    <row r="25866" spans="8:10" x14ac:dyDescent="0.35">
      <c r="H25866" s="676"/>
      <c r="I25866" s="676"/>
      <c r="J25866" s="770"/>
    </row>
    <row r="25867" spans="8:10" x14ac:dyDescent="0.35">
      <c r="H25867" s="676"/>
      <c r="I25867" s="676"/>
      <c r="J25867" s="770"/>
    </row>
    <row r="25868" spans="8:10" x14ac:dyDescent="0.35">
      <c r="H25868" s="676"/>
      <c r="I25868" s="676"/>
      <c r="J25868" s="770"/>
    </row>
    <row r="25869" spans="8:10" x14ac:dyDescent="0.35">
      <c r="H25869" s="676"/>
      <c r="I25869" s="676"/>
      <c r="J25869" s="770"/>
    </row>
    <row r="25870" spans="8:10" x14ac:dyDescent="0.35">
      <c r="H25870" s="676"/>
      <c r="I25870" s="676"/>
      <c r="J25870" s="770"/>
    </row>
    <row r="25871" spans="8:10" x14ac:dyDescent="0.35">
      <c r="H25871" s="676"/>
      <c r="I25871" s="676"/>
      <c r="J25871" s="770"/>
    </row>
    <row r="25872" spans="8:10" x14ac:dyDescent="0.35">
      <c r="H25872" s="676"/>
      <c r="I25872" s="676"/>
      <c r="J25872" s="770"/>
    </row>
    <row r="25873" spans="8:10" x14ac:dyDescent="0.35">
      <c r="H25873" s="676"/>
      <c r="I25873" s="676"/>
      <c r="J25873" s="770"/>
    </row>
    <row r="25874" spans="8:10" x14ac:dyDescent="0.35">
      <c r="H25874" s="676"/>
      <c r="I25874" s="676"/>
      <c r="J25874" s="770"/>
    </row>
    <row r="25875" spans="8:10" x14ac:dyDescent="0.35">
      <c r="H25875" s="676"/>
      <c r="I25875" s="676"/>
      <c r="J25875" s="770"/>
    </row>
    <row r="25876" spans="8:10" x14ac:dyDescent="0.35">
      <c r="H25876" s="676"/>
      <c r="I25876" s="676"/>
      <c r="J25876" s="770"/>
    </row>
    <row r="25877" spans="8:10" x14ac:dyDescent="0.35">
      <c r="H25877" s="676"/>
      <c r="I25877" s="676"/>
      <c r="J25877" s="770"/>
    </row>
    <row r="25878" spans="8:10" x14ac:dyDescent="0.35">
      <c r="H25878" s="676"/>
      <c r="I25878" s="676"/>
      <c r="J25878" s="770"/>
    </row>
    <row r="25879" spans="8:10" x14ac:dyDescent="0.35">
      <c r="H25879" s="676"/>
      <c r="I25879" s="676"/>
      <c r="J25879" s="770"/>
    </row>
    <row r="25880" spans="8:10" x14ac:dyDescent="0.35">
      <c r="H25880" s="676"/>
      <c r="I25880" s="676"/>
      <c r="J25880" s="770"/>
    </row>
    <row r="25881" spans="8:10" x14ac:dyDescent="0.35">
      <c r="H25881" s="676"/>
      <c r="I25881" s="676"/>
      <c r="J25881" s="770"/>
    </row>
    <row r="25882" spans="8:10" x14ac:dyDescent="0.35">
      <c r="H25882" s="676"/>
      <c r="I25882" s="676"/>
      <c r="J25882" s="770"/>
    </row>
    <row r="25883" spans="8:10" x14ac:dyDescent="0.35">
      <c r="H25883" s="676"/>
      <c r="I25883" s="676"/>
      <c r="J25883" s="770"/>
    </row>
    <row r="25884" spans="8:10" x14ac:dyDescent="0.35">
      <c r="H25884" s="676"/>
      <c r="I25884" s="676"/>
      <c r="J25884" s="770"/>
    </row>
    <row r="25885" spans="8:10" x14ac:dyDescent="0.35">
      <c r="H25885" s="676"/>
      <c r="I25885" s="676"/>
      <c r="J25885" s="770"/>
    </row>
    <row r="25886" spans="8:10" x14ac:dyDescent="0.35">
      <c r="H25886" s="676"/>
      <c r="I25886" s="676"/>
      <c r="J25886" s="770"/>
    </row>
    <row r="25887" spans="8:10" x14ac:dyDescent="0.35">
      <c r="H25887" s="676"/>
      <c r="I25887" s="676"/>
      <c r="J25887" s="770"/>
    </row>
    <row r="25888" spans="8:10" x14ac:dyDescent="0.35">
      <c r="H25888" s="676"/>
      <c r="I25888" s="676"/>
      <c r="J25888" s="770"/>
    </row>
    <row r="25889" spans="8:10" x14ac:dyDescent="0.35">
      <c r="H25889" s="676"/>
      <c r="I25889" s="676"/>
      <c r="J25889" s="770"/>
    </row>
    <row r="25890" spans="8:10" x14ac:dyDescent="0.35">
      <c r="H25890" s="676"/>
      <c r="I25890" s="676"/>
      <c r="J25890" s="770"/>
    </row>
    <row r="25891" spans="8:10" x14ac:dyDescent="0.35">
      <c r="H25891" s="676"/>
      <c r="I25891" s="676"/>
      <c r="J25891" s="770"/>
    </row>
    <row r="25892" spans="8:10" x14ac:dyDescent="0.35">
      <c r="H25892" s="676"/>
      <c r="I25892" s="676"/>
      <c r="J25892" s="770"/>
    </row>
    <row r="25893" spans="8:10" x14ac:dyDescent="0.35">
      <c r="H25893" s="676"/>
      <c r="I25893" s="676"/>
      <c r="J25893" s="770"/>
    </row>
    <row r="25894" spans="8:10" x14ac:dyDescent="0.35">
      <c r="H25894" s="676"/>
      <c r="I25894" s="676"/>
      <c r="J25894" s="770"/>
    </row>
    <row r="25895" spans="8:10" x14ac:dyDescent="0.35">
      <c r="H25895" s="676"/>
      <c r="I25895" s="676"/>
      <c r="J25895" s="770"/>
    </row>
    <row r="25896" spans="8:10" x14ac:dyDescent="0.35">
      <c r="H25896" s="676"/>
      <c r="I25896" s="676"/>
      <c r="J25896" s="770"/>
    </row>
    <row r="25897" spans="8:10" x14ac:dyDescent="0.35">
      <c r="H25897" s="676"/>
      <c r="I25897" s="676"/>
      <c r="J25897" s="770"/>
    </row>
    <row r="25898" spans="8:10" x14ac:dyDescent="0.35">
      <c r="H25898" s="676"/>
      <c r="I25898" s="676"/>
      <c r="J25898" s="770"/>
    </row>
    <row r="25899" spans="8:10" x14ac:dyDescent="0.35">
      <c r="H25899" s="676"/>
      <c r="I25899" s="676"/>
      <c r="J25899" s="770"/>
    </row>
    <row r="25900" spans="8:10" x14ac:dyDescent="0.35">
      <c r="H25900" s="676"/>
      <c r="I25900" s="676"/>
      <c r="J25900" s="770"/>
    </row>
    <row r="25901" spans="8:10" x14ac:dyDescent="0.35">
      <c r="H25901" s="676"/>
      <c r="I25901" s="676"/>
      <c r="J25901" s="770"/>
    </row>
    <row r="25902" spans="8:10" x14ac:dyDescent="0.35">
      <c r="H25902" s="676"/>
      <c r="I25902" s="676"/>
      <c r="J25902" s="770"/>
    </row>
    <row r="25903" spans="8:10" x14ac:dyDescent="0.35">
      <c r="H25903" s="676"/>
      <c r="I25903" s="676"/>
      <c r="J25903" s="770"/>
    </row>
    <row r="25904" spans="8:10" x14ac:dyDescent="0.35">
      <c r="H25904" s="676"/>
      <c r="I25904" s="676"/>
      <c r="J25904" s="770"/>
    </row>
    <row r="25905" spans="8:10" x14ac:dyDescent="0.35">
      <c r="H25905" s="676"/>
      <c r="I25905" s="676"/>
      <c r="J25905" s="770"/>
    </row>
    <row r="25906" spans="8:10" x14ac:dyDescent="0.35">
      <c r="H25906" s="676"/>
      <c r="I25906" s="676"/>
      <c r="J25906" s="770"/>
    </row>
    <row r="25907" spans="8:10" x14ac:dyDescent="0.35">
      <c r="H25907" s="676"/>
      <c r="I25907" s="676"/>
      <c r="J25907" s="770"/>
    </row>
    <row r="25908" spans="8:10" x14ac:dyDescent="0.35">
      <c r="H25908" s="676"/>
      <c r="I25908" s="676"/>
      <c r="J25908" s="770"/>
    </row>
    <row r="25909" spans="8:10" x14ac:dyDescent="0.35">
      <c r="H25909" s="676"/>
      <c r="I25909" s="676"/>
      <c r="J25909" s="770"/>
    </row>
    <row r="25910" spans="8:10" x14ac:dyDescent="0.35">
      <c r="H25910" s="676"/>
      <c r="I25910" s="676"/>
      <c r="J25910" s="770"/>
    </row>
    <row r="25911" spans="8:10" x14ac:dyDescent="0.35">
      <c r="H25911" s="676"/>
      <c r="I25911" s="676"/>
      <c r="J25911" s="770"/>
    </row>
    <row r="25912" spans="8:10" x14ac:dyDescent="0.35">
      <c r="H25912" s="676"/>
      <c r="I25912" s="676"/>
      <c r="J25912" s="770"/>
    </row>
    <row r="25913" spans="8:10" x14ac:dyDescent="0.35">
      <c r="H25913" s="676"/>
      <c r="I25913" s="676"/>
      <c r="J25913" s="770"/>
    </row>
    <row r="25914" spans="8:10" x14ac:dyDescent="0.35">
      <c r="H25914" s="676"/>
      <c r="I25914" s="676"/>
      <c r="J25914" s="770"/>
    </row>
    <row r="25915" spans="8:10" x14ac:dyDescent="0.35">
      <c r="H25915" s="676"/>
      <c r="I25915" s="676"/>
      <c r="J25915" s="770"/>
    </row>
    <row r="25916" spans="8:10" x14ac:dyDescent="0.35">
      <c r="H25916" s="676"/>
      <c r="I25916" s="676"/>
      <c r="J25916" s="770"/>
    </row>
    <row r="25917" spans="8:10" x14ac:dyDescent="0.35">
      <c r="H25917" s="676"/>
      <c r="I25917" s="676"/>
      <c r="J25917" s="770"/>
    </row>
    <row r="25918" spans="8:10" x14ac:dyDescent="0.35">
      <c r="H25918" s="676"/>
      <c r="I25918" s="676"/>
      <c r="J25918" s="770"/>
    </row>
    <row r="25919" spans="8:10" x14ac:dyDescent="0.35">
      <c r="H25919" s="676"/>
      <c r="I25919" s="676"/>
      <c r="J25919" s="770"/>
    </row>
    <row r="25920" spans="8:10" x14ac:dyDescent="0.35">
      <c r="H25920" s="676"/>
      <c r="I25920" s="676"/>
      <c r="J25920" s="770"/>
    </row>
    <row r="25921" spans="8:10" x14ac:dyDescent="0.35">
      <c r="H25921" s="676"/>
      <c r="I25921" s="676"/>
      <c r="J25921" s="770"/>
    </row>
    <row r="25922" spans="8:10" x14ac:dyDescent="0.35">
      <c r="H25922" s="676"/>
      <c r="I25922" s="676"/>
      <c r="J25922" s="770"/>
    </row>
    <row r="25923" spans="8:10" x14ac:dyDescent="0.35">
      <c r="H25923" s="676"/>
      <c r="I25923" s="676"/>
      <c r="J25923" s="770"/>
    </row>
    <row r="25924" spans="8:10" x14ac:dyDescent="0.35">
      <c r="H25924" s="676"/>
      <c r="I25924" s="676"/>
      <c r="J25924" s="770"/>
    </row>
    <row r="25925" spans="8:10" x14ac:dyDescent="0.35">
      <c r="H25925" s="676"/>
      <c r="I25925" s="676"/>
      <c r="J25925" s="770"/>
    </row>
    <row r="25926" spans="8:10" x14ac:dyDescent="0.35">
      <c r="H25926" s="676"/>
      <c r="I25926" s="676"/>
      <c r="J25926" s="770"/>
    </row>
    <row r="25927" spans="8:10" x14ac:dyDescent="0.35">
      <c r="H25927" s="676"/>
      <c r="I25927" s="676"/>
      <c r="J25927" s="770"/>
    </row>
    <row r="25928" spans="8:10" x14ac:dyDescent="0.35">
      <c r="H25928" s="676"/>
      <c r="I25928" s="676"/>
      <c r="J25928" s="770"/>
    </row>
    <row r="25929" spans="8:10" x14ac:dyDescent="0.35">
      <c r="H25929" s="676"/>
      <c r="I25929" s="676"/>
      <c r="J25929" s="770"/>
    </row>
    <row r="25930" spans="8:10" x14ac:dyDescent="0.35">
      <c r="H25930" s="676"/>
      <c r="I25930" s="676"/>
      <c r="J25930" s="770"/>
    </row>
    <row r="25931" spans="8:10" x14ac:dyDescent="0.35">
      <c r="H25931" s="676"/>
      <c r="I25931" s="676"/>
      <c r="J25931" s="770"/>
    </row>
    <row r="25932" spans="8:10" x14ac:dyDescent="0.35">
      <c r="H25932" s="676"/>
      <c r="I25932" s="676"/>
      <c r="J25932" s="770"/>
    </row>
    <row r="25933" spans="8:10" x14ac:dyDescent="0.35">
      <c r="H25933" s="676"/>
      <c r="I25933" s="676"/>
      <c r="J25933" s="770"/>
    </row>
    <row r="25934" spans="8:10" x14ac:dyDescent="0.35">
      <c r="H25934" s="676"/>
      <c r="I25934" s="676"/>
      <c r="J25934" s="770"/>
    </row>
    <row r="25935" spans="8:10" x14ac:dyDescent="0.35">
      <c r="H25935" s="676"/>
      <c r="I25935" s="676"/>
      <c r="J25935" s="770"/>
    </row>
    <row r="25936" spans="8:10" x14ac:dyDescent="0.35">
      <c r="H25936" s="676"/>
      <c r="I25936" s="676"/>
      <c r="J25936" s="770"/>
    </row>
    <row r="25937" spans="8:10" x14ac:dyDescent="0.35">
      <c r="H25937" s="676"/>
      <c r="I25937" s="676"/>
      <c r="J25937" s="770"/>
    </row>
    <row r="25938" spans="8:10" x14ac:dyDescent="0.35">
      <c r="H25938" s="676"/>
      <c r="I25938" s="676"/>
      <c r="J25938" s="770"/>
    </row>
    <row r="25939" spans="8:10" x14ac:dyDescent="0.35">
      <c r="H25939" s="676"/>
      <c r="I25939" s="676"/>
      <c r="J25939" s="770"/>
    </row>
    <row r="25940" spans="8:10" x14ac:dyDescent="0.35">
      <c r="H25940" s="676"/>
      <c r="I25940" s="676"/>
      <c r="J25940" s="770"/>
    </row>
    <row r="25941" spans="8:10" x14ac:dyDescent="0.35">
      <c r="H25941" s="676"/>
      <c r="I25941" s="676"/>
      <c r="J25941" s="770"/>
    </row>
    <row r="25942" spans="8:10" x14ac:dyDescent="0.35">
      <c r="H25942" s="676"/>
      <c r="I25942" s="676"/>
      <c r="J25942" s="770"/>
    </row>
    <row r="25943" spans="8:10" x14ac:dyDescent="0.35">
      <c r="H25943" s="676"/>
      <c r="I25943" s="676"/>
      <c r="J25943" s="770"/>
    </row>
    <row r="25944" spans="8:10" x14ac:dyDescent="0.35">
      <c r="H25944" s="676"/>
      <c r="I25944" s="676"/>
      <c r="J25944" s="770"/>
    </row>
    <row r="25945" spans="8:10" x14ac:dyDescent="0.35">
      <c r="H25945" s="676"/>
      <c r="I25945" s="676"/>
      <c r="J25945" s="770"/>
    </row>
    <row r="25946" spans="8:10" x14ac:dyDescent="0.35">
      <c r="H25946" s="676"/>
      <c r="I25946" s="676"/>
      <c r="J25946" s="770"/>
    </row>
    <row r="25947" spans="8:10" x14ac:dyDescent="0.35">
      <c r="H25947" s="676"/>
      <c r="I25947" s="676"/>
      <c r="J25947" s="770"/>
    </row>
    <row r="25948" spans="8:10" x14ac:dyDescent="0.35">
      <c r="H25948" s="676"/>
      <c r="I25948" s="676"/>
      <c r="J25948" s="770"/>
    </row>
    <row r="25949" spans="8:10" x14ac:dyDescent="0.35">
      <c r="H25949" s="676"/>
      <c r="I25949" s="676"/>
      <c r="J25949" s="770"/>
    </row>
    <row r="25950" spans="8:10" x14ac:dyDescent="0.35">
      <c r="H25950" s="676"/>
      <c r="I25950" s="676"/>
      <c r="J25950" s="770"/>
    </row>
    <row r="25951" spans="8:10" x14ac:dyDescent="0.35">
      <c r="H25951" s="676"/>
      <c r="I25951" s="676"/>
      <c r="J25951" s="770"/>
    </row>
    <row r="25952" spans="8:10" x14ac:dyDescent="0.35">
      <c r="H25952" s="676"/>
      <c r="I25952" s="676"/>
      <c r="J25952" s="770"/>
    </row>
    <row r="25953" spans="8:10" x14ac:dyDescent="0.35">
      <c r="H25953" s="676"/>
      <c r="I25953" s="676"/>
      <c r="J25953" s="770"/>
    </row>
    <row r="25954" spans="8:10" x14ac:dyDescent="0.35">
      <c r="H25954" s="676"/>
      <c r="I25954" s="676"/>
      <c r="J25954" s="770"/>
    </row>
    <row r="25955" spans="8:10" x14ac:dyDescent="0.35">
      <c r="H25955" s="676"/>
      <c r="I25955" s="676"/>
      <c r="J25955" s="770"/>
    </row>
    <row r="25956" spans="8:10" x14ac:dyDescent="0.35">
      <c r="H25956" s="676"/>
      <c r="I25956" s="676"/>
      <c r="J25956" s="770"/>
    </row>
    <row r="25957" spans="8:10" x14ac:dyDescent="0.35">
      <c r="H25957" s="676"/>
      <c r="I25957" s="676"/>
      <c r="J25957" s="770"/>
    </row>
    <row r="25958" spans="8:10" x14ac:dyDescent="0.35">
      <c r="H25958" s="676"/>
      <c r="I25958" s="676"/>
      <c r="J25958" s="770"/>
    </row>
    <row r="25959" spans="8:10" x14ac:dyDescent="0.35">
      <c r="H25959" s="676"/>
      <c r="I25959" s="676"/>
      <c r="J25959" s="770"/>
    </row>
    <row r="25960" spans="8:10" x14ac:dyDescent="0.35">
      <c r="H25960" s="676"/>
      <c r="I25960" s="676"/>
      <c r="J25960" s="770"/>
    </row>
    <row r="25961" spans="8:10" x14ac:dyDescent="0.35">
      <c r="H25961" s="676"/>
      <c r="I25961" s="676"/>
      <c r="J25961" s="770"/>
    </row>
    <row r="25962" spans="8:10" x14ac:dyDescent="0.35">
      <c r="H25962" s="676"/>
      <c r="I25962" s="676"/>
      <c r="J25962" s="770"/>
    </row>
    <row r="25963" spans="8:10" x14ac:dyDescent="0.35">
      <c r="H25963" s="676"/>
      <c r="I25963" s="676"/>
      <c r="J25963" s="770"/>
    </row>
    <row r="25964" spans="8:10" x14ac:dyDescent="0.35">
      <c r="H25964" s="676"/>
      <c r="I25964" s="676"/>
      <c r="J25964" s="770"/>
    </row>
    <row r="25965" spans="8:10" x14ac:dyDescent="0.35">
      <c r="H25965" s="676"/>
      <c r="I25965" s="676"/>
      <c r="J25965" s="770"/>
    </row>
    <row r="25966" spans="8:10" x14ac:dyDescent="0.35">
      <c r="H25966" s="676"/>
      <c r="I25966" s="676"/>
      <c r="J25966" s="770"/>
    </row>
    <row r="25967" spans="8:10" x14ac:dyDescent="0.35">
      <c r="H25967" s="676"/>
      <c r="I25967" s="676"/>
      <c r="J25967" s="770"/>
    </row>
    <row r="25968" spans="8:10" x14ac:dyDescent="0.35">
      <c r="H25968" s="676"/>
      <c r="I25968" s="676"/>
      <c r="J25968" s="770"/>
    </row>
    <row r="25969" spans="8:10" x14ac:dyDescent="0.35">
      <c r="H25969" s="676"/>
      <c r="I25969" s="676"/>
      <c r="J25969" s="770"/>
    </row>
    <row r="25970" spans="8:10" x14ac:dyDescent="0.35">
      <c r="H25970" s="676"/>
      <c r="I25970" s="676"/>
      <c r="J25970" s="770"/>
    </row>
    <row r="25971" spans="8:10" x14ac:dyDescent="0.35">
      <c r="H25971" s="676"/>
      <c r="I25971" s="676"/>
      <c r="J25971" s="770"/>
    </row>
    <row r="25972" spans="8:10" x14ac:dyDescent="0.35">
      <c r="H25972" s="676"/>
      <c r="I25972" s="676"/>
      <c r="J25972" s="770"/>
    </row>
    <row r="25973" spans="8:10" x14ac:dyDescent="0.35">
      <c r="H25973" s="676"/>
      <c r="I25973" s="676"/>
      <c r="J25973" s="770"/>
    </row>
    <row r="25974" spans="8:10" x14ac:dyDescent="0.35">
      <c r="H25974" s="676"/>
      <c r="I25974" s="676"/>
      <c r="J25974" s="770"/>
    </row>
    <row r="25975" spans="8:10" x14ac:dyDescent="0.35">
      <c r="H25975" s="676"/>
      <c r="I25975" s="676"/>
      <c r="J25975" s="770"/>
    </row>
    <row r="25976" spans="8:10" x14ac:dyDescent="0.35">
      <c r="H25976" s="676"/>
      <c r="I25976" s="676"/>
      <c r="J25976" s="770"/>
    </row>
    <row r="25977" spans="8:10" x14ac:dyDescent="0.35">
      <c r="H25977" s="676"/>
      <c r="I25977" s="676"/>
      <c r="J25977" s="770"/>
    </row>
    <row r="25978" spans="8:10" x14ac:dyDescent="0.35">
      <c r="H25978" s="676"/>
      <c r="I25978" s="676"/>
      <c r="J25978" s="770"/>
    </row>
    <row r="25979" spans="8:10" x14ac:dyDescent="0.35">
      <c r="H25979" s="676"/>
      <c r="I25979" s="676"/>
      <c r="J25979" s="770"/>
    </row>
    <row r="25980" spans="8:10" x14ac:dyDescent="0.35">
      <c r="H25980" s="676"/>
      <c r="I25980" s="676"/>
      <c r="J25980" s="770"/>
    </row>
    <row r="25981" spans="8:10" x14ac:dyDescent="0.35">
      <c r="H25981" s="676"/>
      <c r="I25981" s="676"/>
      <c r="J25981" s="770"/>
    </row>
    <row r="25982" spans="8:10" x14ac:dyDescent="0.35">
      <c r="H25982" s="676"/>
      <c r="I25982" s="676"/>
      <c r="J25982" s="770"/>
    </row>
    <row r="25983" spans="8:10" x14ac:dyDescent="0.35">
      <c r="H25983" s="676"/>
      <c r="I25983" s="676"/>
      <c r="J25983" s="770"/>
    </row>
    <row r="25984" spans="8:10" x14ac:dyDescent="0.35">
      <c r="H25984" s="676"/>
      <c r="I25984" s="676"/>
      <c r="J25984" s="770"/>
    </row>
    <row r="25985" spans="8:10" x14ac:dyDescent="0.35">
      <c r="H25985" s="676"/>
      <c r="I25985" s="676"/>
      <c r="J25985" s="770"/>
    </row>
    <row r="25986" spans="8:10" x14ac:dyDescent="0.35">
      <c r="H25986" s="676"/>
      <c r="I25986" s="676"/>
      <c r="J25986" s="770"/>
    </row>
    <row r="25987" spans="8:10" x14ac:dyDescent="0.35">
      <c r="H25987" s="676"/>
      <c r="I25987" s="676"/>
      <c r="J25987" s="770"/>
    </row>
    <row r="25988" spans="8:10" x14ac:dyDescent="0.35">
      <c r="H25988" s="676"/>
      <c r="I25988" s="676"/>
      <c r="J25988" s="770"/>
    </row>
    <row r="25989" spans="8:10" x14ac:dyDescent="0.35">
      <c r="H25989" s="676"/>
      <c r="I25989" s="676"/>
      <c r="J25989" s="770"/>
    </row>
    <row r="25990" spans="8:10" x14ac:dyDescent="0.35">
      <c r="H25990" s="676"/>
      <c r="I25990" s="676"/>
      <c r="J25990" s="770"/>
    </row>
    <row r="25991" spans="8:10" x14ac:dyDescent="0.35">
      <c r="H25991" s="676"/>
      <c r="I25991" s="676"/>
      <c r="J25991" s="770"/>
    </row>
    <row r="25992" spans="8:10" x14ac:dyDescent="0.35">
      <c r="H25992" s="676"/>
      <c r="I25992" s="676"/>
      <c r="J25992" s="770"/>
    </row>
    <row r="25993" spans="8:10" x14ac:dyDescent="0.35">
      <c r="H25993" s="676"/>
      <c r="I25993" s="676"/>
      <c r="J25993" s="770"/>
    </row>
    <row r="25994" spans="8:10" x14ac:dyDescent="0.35">
      <c r="H25994" s="676"/>
      <c r="I25994" s="676"/>
      <c r="J25994" s="770"/>
    </row>
    <row r="25995" spans="8:10" x14ac:dyDescent="0.35">
      <c r="H25995" s="676"/>
      <c r="I25995" s="676"/>
      <c r="J25995" s="770"/>
    </row>
    <row r="25996" spans="8:10" x14ac:dyDescent="0.35">
      <c r="H25996" s="676"/>
      <c r="I25996" s="676"/>
      <c r="J25996" s="770"/>
    </row>
    <row r="25997" spans="8:10" x14ac:dyDescent="0.35">
      <c r="H25997" s="676"/>
      <c r="I25997" s="676"/>
      <c r="J25997" s="770"/>
    </row>
    <row r="25998" spans="8:10" x14ac:dyDescent="0.35">
      <c r="H25998" s="676"/>
      <c r="I25998" s="676"/>
      <c r="J25998" s="770"/>
    </row>
    <row r="25999" spans="8:10" x14ac:dyDescent="0.35">
      <c r="H25999" s="676"/>
      <c r="I25999" s="676"/>
      <c r="J25999" s="770"/>
    </row>
    <row r="26000" spans="8:10" x14ac:dyDescent="0.35">
      <c r="H26000" s="676"/>
      <c r="I26000" s="676"/>
      <c r="J26000" s="770"/>
    </row>
    <row r="26001" spans="8:10" x14ac:dyDescent="0.35">
      <c r="H26001" s="676"/>
      <c r="I26001" s="676"/>
      <c r="J26001" s="770"/>
    </row>
    <row r="26002" spans="8:10" x14ac:dyDescent="0.35">
      <c r="H26002" s="676"/>
      <c r="I26002" s="676"/>
      <c r="J26002" s="770"/>
    </row>
    <row r="26003" spans="8:10" x14ac:dyDescent="0.35">
      <c r="H26003" s="676"/>
      <c r="I26003" s="676"/>
      <c r="J26003" s="770"/>
    </row>
    <row r="26004" spans="8:10" x14ac:dyDescent="0.35">
      <c r="H26004" s="676"/>
      <c r="I26004" s="676"/>
      <c r="J26004" s="770"/>
    </row>
    <row r="26005" spans="8:10" x14ac:dyDescent="0.35">
      <c r="H26005" s="676"/>
      <c r="I26005" s="676"/>
      <c r="J26005" s="770"/>
    </row>
    <row r="26006" spans="8:10" x14ac:dyDescent="0.35">
      <c r="H26006" s="676"/>
      <c r="I26006" s="676"/>
      <c r="J26006" s="770"/>
    </row>
    <row r="26007" spans="8:10" x14ac:dyDescent="0.35">
      <c r="H26007" s="676"/>
      <c r="I26007" s="676"/>
      <c r="J26007" s="770"/>
    </row>
    <row r="26008" spans="8:10" x14ac:dyDescent="0.35">
      <c r="H26008" s="676"/>
      <c r="I26008" s="676"/>
      <c r="J26008" s="770"/>
    </row>
    <row r="26009" spans="8:10" x14ac:dyDescent="0.35">
      <c r="H26009" s="676"/>
      <c r="I26009" s="676"/>
      <c r="J26009" s="770"/>
    </row>
    <row r="26010" spans="8:10" x14ac:dyDescent="0.35">
      <c r="H26010" s="676"/>
      <c r="I26010" s="676"/>
      <c r="J26010" s="770"/>
    </row>
    <row r="26011" spans="8:10" x14ac:dyDescent="0.35">
      <c r="H26011" s="676"/>
      <c r="I26011" s="676"/>
      <c r="J26011" s="770"/>
    </row>
    <row r="26012" spans="8:10" x14ac:dyDescent="0.35">
      <c r="H26012" s="676"/>
      <c r="I26012" s="676"/>
      <c r="J26012" s="770"/>
    </row>
    <row r="26013" spans="8:10" x14ac:dyDescent="0.35">
      <c r="H26013" s="676"/>
      <c r="I26013" s="676"/>
      <c r="J26013" s="770"/>
    </row>
    <row r="26014" spans="8:10" x14ac:dyDescent="0.35">
      <c r="H26014" s="676"/>
      <c r="I26014" s="676"/>
      <c r="J26014" s="770"/>
    </row>
    <row r="26015" spans="8:10" x14ac:dyDescent="0.35">
      <c r="H26015" s="676"/>
      <c r="I26015" s="676"/>
      <c r="J26015" s="770"/>
    </row>
    <row r="26016" spans="8:10" x14ac:dyDescent="0.35">
      <c r="H26016" s="676"/>
      <c r="I26016" s="676"/>
      <c r="J26016" s="770"/>
    </row>
    <row r="26017" spans="8:10" x14ac:dyDescent="0.35">
      <c r="H26017" s="676"/>
      <c r="I26017" s="676"/>
      <c r="J26017" s="770"/>
    </row>
    <row r="26018" spans="8:10" x14ac:dyDescent="0.35">
      <c r="H26018" s="676"/>
      <c r="I26018" s="676"/>
      <c r="J26018" s="770"/>
    </row>
    <row r="26019" spans="8:10" x14ac:dyDescent="0.35">
      <c r="H26019" s="676"/>
      <c r="I26019" s="676"/>
      <c r="J26019" s="770"/>
    </row>
    <row r="26020" spans="8:10" x14ac:dyDescent="0.35">
      <c r="H26020" s="676"/>
      <c r="I26020" s="676"/>
      <c r="J26020" s="770"/>
    </row>
    <row r="26021" spans="8:10" x14ac:dyDescent="0.35">
      <c r="H26021" s="676"/>
      <c r="I26021" s="676"/>
      <c r="J26021" s="770"/>
    </row>
    <row r="26022" spans="8:10" x14ac:dyDescent="0.35">
      <c r="H26022" s="676"/>
      <c r="I26022" s="676"/>
      <c r="J26022" s="770"/>
    </row>
    <row r="26023" spans="8:10" x14ac:dyDescent="0.35">
      <c r="H26023" s="676"/>
      <c r="I26023" s="676"/>
      <c r="J26023" s="770"/>
    </row>
    <row r="26024" spans="8:10" x14ac:dyDescent="0.35">
      <c r="H26024" s="676"/>
      <c r="I26024" s="676"/>
      <c r="J26024" s="770"/>
    </row>
    <row r="26025" spans="8:10" x14ac:dyDescent="0.35">
      <c r="H26025" s="676"/>
      <c r="I26025" s="676"/>
      <c r="J26025" s="770"/>
    </row>
    <row r="26026" spans="8:10" x14ac:dyDescent="0.35">
      <c r="H26026" s="676"/>
      <c r="I26026" s="676"/>
      <c r="J26026" s="770"/>
    </row>
    <row r="26027" spans="8:10" x14ac:dyDescent="0.35">
      <c r="H26027" s="676"/>
      <c r="I26027" s="676"/>
      <c r="J26027" s="770"/>
    </row>
    <row r="26028" spans="8:10" x14ac:dyDescent="0.35">
      <c r="H26028" s="676"/>
      <c r="I26028" s="676"/>
      <c r="J26028" s="770"/>
    </row>
    <row r="26029" spans="8:10" x14ac:dyDescent="0.35">
      <c r="H26029" s="676"/>
      <c r="I26029" s="676"/>
      <c r="J26029" s="770"/>
    </row>
    <row r="26030" spans="8:10" x14ac:dyDescent="0.35">
      <c r="H26030" s="676"/>
      <c r="I26030" s="676"/>
      <c r="J26030" s="770"/>
    </row>
    <row r="26031" spans="8:10" x14ac:dyDescent="0.35">
      <c r="H26031" s="676"/>
      <c r="I26031" s="676"/>
      <c r="J26031" s="770"/>
    </row>
    <row r="26032" spans="8:10" x14ac:dyDescent="0.35">
      <c r="H26032" s="676"/>
      <c r="I26032" s="676"/>
      <c r="J26032" s="770"/>
    </row>
    <row r="26033" spans="8:10" x14ac:dyDescent="0.35">
      <c r="H26033" s="676"/>
      <c r="I26033" s="676"/>
      <c r="J26033" s="770"/>
    </row>
    <row r="26034" spans="8:10" x14ac:dyDescent="0.35">
      <c r="H26034" s="676"/>
      <c r="I26034" s="676"/>
      <c r="J26034" s="770"/>
    </row>
    <row r="26035" spans="8:10" x14ac:dyDescent="0.35">
      <c r="H26035" s="676"/>
      <c r="I26035" s="676"/>
      <c r="J26035" s="770"/>
    </row>
    <row r="26036" spans="8:10" x14ac:dyDescent="0.35">
      <c r="H26036" s="676"/>
      <c r="I26036" s="676"/>
      <c r="J26036" s="770"/>
    </row>
    <row r="26037" spans="8:10" x14ac:dyDescent="0.35">
      <c r="H26037" s="676"/>
      <c r="I26037" s="676"/>
      <c r="J26037" s="770"/>
    </row>
    <row r="26038" spans="8:10" x14ac:dyDescent="0.35">
      <c r="H26038" s="676"/>
      <c r="I26038" s="676"/>
      <c r="J26038" s="770"/>
    </row>
    <row r="26039" spans="8:10" x14ac:dyDescent="0.35">
      <c r="H26039" s="676"/>
      <c r="I26039" s="676"/>
      <c r="J26039" s="770"/>
    </row>
    <row r="26040" spans="8:10" x14ac:dyDescent="0.35">
      <c r="H26040" s="676"/>
      <c r="I26040" s="676"/>
      <c r="J26040" s="770"/>
    </row>
    <row r="26041" spans="8:10" x14ac:dyDescent="0.35">
      <c r="H26041" s="676"/>
      <c r="I26041" s="676"/>
      <c r="J26041" s="770"/>
    </row>
    <row r="26042" spans="8:10" x14ac:dyDescent="0.35">
      <c r="H26042" s="676"/>
      <c r="I26042" s="676"/>
      <c r="J26042" s="770"/>
    </row>
    <row r="26043" spans="8:10" x14ac:dyDescent="0.35">
      <c r="H26043" s="676"/>
      <c r="I26043" s="676"/>
      <c r="J26043" s="770"/>
    </row>
    <row r="26044" spans="8:10" x14ac:dyDescent="0.35">
      <c r="H26044" s="676"/>
      <c r="I26044" s="676"/>
      <c r="J26044" s="770"/>
    </row>
    <row r="26045" spans="8:10" x14ac:dyDescent="0.35">
      <c r="H26045" s="676"/>
      <c r="I26045" s="676"/>
      <c r="J26045" s="770"/>
    </row>
    <row r="26046" spans="8:10" x14ac:dyDescent="0.35">
      <c r="H26046" s="676"/>
      <c r="I26046" s="676"/>
      <c r="J26046" s="770"/>
    </row>
    <row r="26047" spans="8:10" x14ac:dyDescent="0.35">
      <c r="H26047" s="676"/>
      <c r="I26047" s="676"/>
      <c r="J26047" s="770"/>
    </row>
    <row r="26048" spans="8:10" x14ac:dyDescent="0.35">
      <c r="H26048" s="676"/>
      <c r="I26048" s="676"/>
      <c r="J26048" s="770"/>
    </row>
    <row r="26049" spans="8:10" x14ac:dyDescent="0.35">
      <c r="H26049" s="676"/>
      <c r="I26049" s="676"/>
      <c r="J26049" s="770"/>
    </row>
    <row r="26050" spans="8:10" x14ac:dyDescent="0.35">
      <c r="H26050" s="676"/>
      <c r="I26050" s="676"/>
      <c r="J26050" s="770"/>
    </row>
    <row r="26051" spans="8:10" x14ac:dyDescent="0.35">
      <c r="H26051" s="676"/>
      <c r="I26051" s="676"/>
      <c r="J26051" s="770"/>
    </row>
    <row r="26052" spans="8:10" x14ac:dyDescent="0.35">
      <c r="H26052" s="676"/>
      <c r="I26052" s="676"/>
      <c r="J26052" s="770"/>
    </row>
    <row r="26053" spans="8:10" x14ac:dyDescent="0.35">
      <c r="H26053" s="676"/>
      <c r="I26053" s="676"/>
      <c r="J26053" s="770"/>
    </row>
    <row r="26054" spans="8:10" x14ac:dyDescent="0.35">
      <c r="H26054" s="676"/>
      <c r="I26054" s="676"/>
      <c r="J26054" s="770"/>
    </row>
    <row r="26055" spans="8:10" x14ac:dyDescent="0.35">
      <c r="H26055" s="676"/>
      <c r="I26055" s="676"/>
      <c r="J26055" s="770"/>
    </row>
    <row r="26056" spans="8:10" x14ac:dyDescent="0.35">
      <c r="H26056" s="676"/>
      <c r="I26056" s="676"/>
      <c r="J26056" s="770"/>
    </row>
    <row r="26057" spans="8:10" x14ac:dyDescent="0.35">
      <c r="H26057" s="676"/>
      <c r="I26057" s="676"/>
      <c r="J26057" s="770"/>
    </row>
    <row r="26058" spans="8:10" x14ac:dyDescent="0.35">
      <c r="H26058" s="676"/>
      <c r="I26058" s="676"/>
      <c r="J26058" s="770"/>
    </row>
    <row r="26059" spans="8:10" x14ac:dyDescent="0.35">
      <c r="H26059" s="676"/>
      <c r="I26059" s="676"/>
      <c r="J26059" s="770"/>
    </row>
    <row r="26060" spans="8:10" x14ac:dyDescent="0.35">
      <c r="H26060" s="676"/>
      <c r="I26060" s="676"/>
      <c r="J26060" s="770"/>
    </row>
    <row r="26061" spans="8:10" x14ac:dyDescent="0.35">
      <c r="H26061" s="676"/>
      <c r="I26061" s="676"/>
      <c r="J26061" s="770"/>
    </row>
    <row r="26062" spans="8:10" x14ac:dyDescent="0.35">
      <c r="H26062" s="676"/>
      <c r="I26062" s="676"/>
      <c r="J26062" s="770"/>
    </row>
    <row r="26063" spans="8:10" x14ac:dyDescent="0.35">
      <c r="H26063" s="676"/>
      <c r="I26063" s="676"/>
      <c r="J26063" s="770"/>
    </row>
    <row r="26064" spans="8:10" x14ac:dyDescent="0.35">
      <c r="H26064" s="676"/>
      <c r="I26064" s="676"/>
      <c r="J26064" s="770"/>
    </row>
    <row r="26065" spans="8:10" x14ac:dyDescent="0.35">
      <c r="H26065" s="676"/>
      <c r="I26065" s="676"/>
      <c r="J26065" s="770"/>
    </row>
    <row r="26066" spans="8:10" x14ac:dyDescent="0.35">
      <c r="H26066" s="676"/>
      <c r="I26066" s="676"/>
      <c r="J26066" s="770"/>
    </row>
    <row r="26067" spans="8:10" x14ac:dyDescent="0.35">
      <c r="H26067" s="676"/>
      <c r="I26067" s="676"/>
      <c r="J26067" s="770"/>
    </row>
    <row r="26068" spans="8:10" x14ac:dyDescent="0.35">
      <c r="H26068" s="676"/>
      <c r="I26068" s="676"/>
      <c r="J26068" s="770"/>
    </row>
    <row r="26069" spans="8:10" x14ac:dyDescent="0.35">
      <c r="H26069" s="676"/>
      <c r="I26069" s="676"/>
      <c r="J26069" s="770"/>
    </row>
    <row r="26070" spans="8:10" x14ac:dyDescent="0.35">
      <c r="H26070" s="676"/>
      <c r="I26070" s="676"/>
      <c r="J26070" s="770"/>
    </row>
    <row r="26071" spans="8:10" x14ac:dyDescent="0.35">
      <c r="H26071" s="676"/>
      <c r="I26071" s="676"/>
      <c r="J26071" s="770"/>
    </row>
    <row r="26072" spans="8:10" x14ac:dyDescent="0.35">
      <c r="H26072" s="676"/>
      <c r="I26072" s="676"/>
      <c r="J26072" s="770"/>
    </row>
    <row r="26073" spans="8:10" x14ac:dyDescent="0.35">
      <c r="H26073" s="676"/>
      <c r="I26073" s="676"/>
      <c r="J26073" s="770"/>
    </row>
    <row r="26074" spans="8:10" x14ac:dyDescent="0.35">
      <c r="H26074" s="676"/>
      <c r="I26074" s="676"/>
      <c r="J26074" s="770"/>
    </row>
    <row r="26075" spans="8:10" x14ac:dyDescent="0.35">
      <c r="H26075" s="676"/>
      <c r="I26075" s="676"/>
      <c r="J26075" s="770"/>
    </row>
    <row r="26076" spans="8:10" x14ac:dyDescent="0.35">
      <c r="H26076" s="676"/>
      <c r="I26076" s="676"/>
      <c r="J26076" s="770"/>
    </row>
    <row r="26077" spans="8:10" x14ac:dyDescent="0.35">
      <c r="H26077" s="676"/>
      <c r="I26077" s="676"/>
      <c r="J26077" s="770"/>
    </row>
    <row r="26078" spans="8:10" x14ac:dyDescent="0.35">
      <c r="H26078" s="676"/>
      <c r="I26078" s="676"/>
      <c r="J26078" s="770"/>
    </row>
    <row r="26079" spans="8:10" x14ac:dyDescent="0.35">
      <c r="H26079" s="676"/>
      <c r="I26079" s="676"/>
      <c r="J26079" s="770"/>
    </row>
    <row r="26080" spans="8:10" x14ac:dyDescent="0.35">
      <c r="H26080" s="676"/>
      <c r="I26080" s="676"/>
      <c r="J26080" s="770"/>
    </row>
    <row r="26081" spans="8:10" x14ac:dyDescent="0.35">
      <c r="H26081" s="676"/>
      <c r="I26081" s="676"/>
      <c r="J26081" s="770"/>
    </row>
    <row r="26082" spans="8:10" x14ac:dyDescent="0.35">
      <c r="H26082" s="676"/>
      <c r="I26082" s="676"/>
      <c r="J26082" s="770"/>
    </row>
    <row r="26083" spans="8:10" x14ac:dyDescent="0.35">
      <c r="H26083" s="676"/>
      <c r="I26083" s="676"/>
      <c r="J26083" s="770"/>
    </row>
    <row r="26084" spans="8:10" x14ac:dyDescent="0.35">
      <c r="H26084" s="676"/>
      <c r="I26084" s="676"/>
      <c r="J26084" s="770"/>
    </row>
    <row r="26085" spans="8:10" x14ac:dyDescent="0.35">
      <c r="H26085" s="676"/>
      <c r="I26085" s="676"/>
      <c r="J26085" s="770"/>
    </row>
    <row r="26086" spans="8:10" x14ac:dyDescent="0.35">
      <c r="H26086" s="676"/>
      <c r="I26086" s="676"/>
      <c r="J26086" s="770"/>
    </row>
    <row r="26087" spans="8:10" x14ac:dyDescent="0.35">
      <c r="H26087" s="676"/>
      <c r="I26087" s="676"/>
      <c r="J26087" s="770"/>
    </row>
    <row r="26088" spans="8:10" x14ac:dyDescent="0.35">
      <c r="H26088" s="676"/>
      <c r="I26088" s="676"/>
      <c r="J26088" s="770"/>
    </row>
    <row r="26089" spans="8:10" x14ac:dyDescent="0.35">
      <c r="H26089" s="676"/>
      <c r="I26089" s="676"/>
      <c r="J26089" s="770"/>
    </row>
    <row r="26090" spans="8:10" x14ac:dyDescent="0.35">
      <c r="H26090" s="676"/>
      <c r="I26090" s="676"/>
      <c r="J26090" s="770"/>
    </row>
    <row r="26091" spans="8:10" x14ac:dyDescent="0.35">
      <c r="H26091" s="676"/>
      <c r="I26091" s="676"/>
      <c r="J26091" s="770"/>
    </row>
    <row r="26092" spans="8:10" x14ac:dyDescent="0.35">
      <c r="H26092" s="676"/>
      <c r="I26092" s="676"/>
      <c r="J26092" s="770"/>
    </row>
    <row r="26093" spans="8:10" x14ac:dyDescent="0.35">
      <c r="H26093" s="676"/>
      <c r="I26093" s="676"/>
      <c r="J26093" s="770"/>
    </row>
    <row r="26094" spans="8:10" x14ac:dyDescent="0.35">
      <c r="H26094" s="676"/>
      <c r="I26094" s="676"/>
      <c r="J26094" s="770"/>
    </row>
    <row r="26095" spans="8:10" x14ac:dyDescent="0.35">
      <c r="H26095" s="676"/>
      <c r="I26095" s="676"/>
      <c r="J26095" s="770"/>
    </row>
    <row r="26096" spans="8:10" x14ac:dyDescent="0.35">
      <c r="H26096" s="676"/>
      <c r="I26096" s="676"/>
      <c r="J26096" s="770"/>
    </row>
    <row r="26097" spans="8:10" x14ac:dyDescent="0.35">
      <c r="H26097" s="676"/>
      <c r="I26097" s="676"/>
      <c r="J26097" s="770"/>
    </row>
    <row r="26098" spans="8:10" x14ac:dyDescent="0.35">
      <c r="H26098" s="676"/>
      <c r="I26098" s="676"/>
      <c r="J26098" s="770"/>
    </row>
    <row r="26099" spans="8:10" x14ac:dyDescent="0.35">
      <c r="H26099" s="676"/>
      <c r="I26099" s="676"/>
      <c r="J26099" s="770"/>
    </row>
    <row r="26100" spans="8:10" x14ac:dyDescent="0.35">
      <c r="H26100" s="676"/>
      <c r="I26100" s="676"/>
      <c r="J26100" s="770"/>
    </row>
    <row r="26101" spans="8:10" x14ac:dyDescent="0.35">
      <c r="H26101" s="676"/>
      <c r="I26101" s="676"/>
      <c r="J26101" s="770"/>
    </row>
    <row r="26102" spans="8:10" x14ac:dyDescent="0.35">
      <c r="H26102" s="676"/>
      <c r="I26102" s="676"/>
      <c r="J26102" s="770"/>
    </row>
    <row r="26103" spans="8:10" x14ac:dyDescent="0.35">
      <c r="H26103" s="676"/>
      <c r="I26103" s="676"/>
      <c r="J26103" s="770"/>
    </row>
    <row r="26104" spans="8:10" x14ac:dyDescent="0.35">
      <c r="H26104" s="676"/>
      <c r="I26104" s="676"/>
      <c r="J26104" s="770"/>
    </row>
    <row r="26105" spans="8:10" x14ac:dyDescent="0.35">
      <c r="H26105" s="676"/>
      <c r="I26105" s="676"/>
      <c r="J26105" s="770"/>
    </row>
    <row r="26106" spans="8:10" x14ac:dyDescent="0.35">
      <c r="H26106" s="676"/>
      <c r="I26106" s="676"/>
      <c r="J26106" s="770"/>
    </row>
    <row r="26107" spans="8:10" x14ac:dyDescent="0.35">
      <c r="H26107" s="676"/>
      <c r="I26107" s="676"/>
      <c r="J26107" s="770"/>
    </row>
    <row r="26108" spans="8:10" x14ac:dyDescent="0.35">
      <c r="H26108" s="676"/>
      <c r="I26108" s="676"/>
      <c r="J26108" s="770"/>
    </row>
    <row r="26109" spans="8:10" x14ac:dyDescent="0.35">
      <c r="H26109" s="676"/>
      <c r="I26109" s="676"/>
      <c r="J26109" s="770"/>
    </row>
    <row r="26110" spans="8:10" x14ac:dyDescent="0.35">
      <c r="H26110" s="676"/>
      <c r="I26110" s="676"/>
      <c r="J26110" s="770"/>
    </row>
    <row r="26111" spans="8:10" x14ac:dyDescent="0.35">
      <c r="H26111" s="676"/>
      <c r="I26111" s="676"/>
      <c r="J26111" s="770"/>
    </row>
    <row r="26112" spans="8:10" x14ac:dyDescent="0.35">
      <c r="H26112" s="676"/>
      <c r="I26112" s="676"/>
      <c r="J26112" s="770"/>
    </row>
    <row r="26113" spans="8:10" x14ac:dyDescent="0.35">
      <c r="H26113" s="676"/>
      <c r="I26113" s="676"/>
      <c r="J26113" s="770"/>
    </row>
    <row r="26114" spans="8:10" x14ac:dyDescent="0.35">
      <c r="H26114" s="676"/>
      <c r="I26114" s="676"/>
      <c r="J26114" s="770"/>
    </row>
    <row r="26115" spans="8:10" x14ac:dyDescent="0.35">
      <c r="H26115" s="676"/>
      <c r="I26115" s="676"/>
      <c r="J26115" s="770"/>
    </row>
    <row r="26116" spans="8:10" x14ac:dyDescent="0.35">
      <c r="H26116" s="676"/>
      <c r="I26116" s="676"/>
      <c r="J26116" s="770"/>
    </row>
    <row r="26117" spans="8:10" x14ac:dyDescent="0.35">
      <c r="H26117" s="676"/>
      <c r="I26117" s="676"/>
      <c r="J26117" s="770"/>
    </row>
    <row r="26118" spans="8:10" x14ac:dyDescent="0.35">
      <c r="H26118" s="676"/>
      <c r="I26118" s="676"/>
      <c r="J26118" s="770"/>
    </row>
    <row r="26119" spans="8:10" x14ac:dyDescent="0.35">
      <c r="H26119" s="676"/>
      <c r="I26119" s="676"/>
      <c r="J26119" s="770"/>
    </row>
    <row r="26120" spans="8:10" x14ac:dyDescent="0.35">
      <c r="H26120" s="676"/>
      <c r="I26120" s="676"/>
      <c r="J26120" s="770"/>
    </row>
    <row r="26121" spans="8:10" x14ac:dyDescent="0.35">
      <c r="H26121" s="676"/>
      <c r="I26121" s="676"/>
      <c r="J26121" s="770"/>
    </row>
    <row r="26122" spans="8:10" x14ac:dyDescent="0.35">
      <c r="H26122" s="676"/>
      <c r="I26122" s="676"/>
      <c r="J26122" s="770"/>
    </row>
    <row r="26123" spans="8:10" x14ac:dyDescent="0.35">
      <c r="H26123" s="676"/>
      <c r="I26123" s="676"/>
      <c r="J26123" s="770"/>
    </row>
    <row r="26124" spans="8:10" x14ac:dyDescent="0.35">
      <c r="H26124" s="676"/>
      <c r="I26124" s="676"/>
      <c r="J26124" s="770"/>
    </row>
    <row r="26125" spans="8:10" x14ac:dyDescent="0.35">
      <c r="H26125" s="676"/>
      <c r="I26125" s="676"/>
      <c r="J26125" s="770"/>
    </row>
    <row r="26126" spans="8:10" x14ac:dyDescent="0.35">
      <c r="H26126" s="676"/>
      <c r="I26126" s="676"/>
      <c r="J26126" s="770"/>
    </row>
    <row r="26127" spans="8:10" x14ac:dyDescent="0.35">
      <c r="H26127" s="676"/>
      <c r="I26127" s="676"/>
      <c r="J26127" s="770"/>
    </row>
    <row r="26128" spans="8:10" x14ac:dyDescent="0.35">
      <c r="H26128" s="676"/>
      <c r="I26128" s="676"/>
      <c r="J26128" s="770"/>
    </row>
    <row r="26129" spans="8:10" x14ac:dyDescent="0.35">
      <c r="H26129" s="676"/>
      <c r="I26129" s="676"/>
      <c r="J26129" s="770"/>
    </row>
    <row r="26130" spans="8:10" x14ac:dyDescent="0.35">
      <c r="H26130" s="676"/>
      <c r="I26130" s="676"/>
      <c r="J26130" s="770"/>
    </row>
    <row r="26131" spans="8:10" x14ac:dyDescent="0.35">
      <c r="H26131" s="676"/>
      <c r="I26131" s="676"/>
      <c r="J26131" s="770"/>
    </row>
    <row r="26132" spans="8:10" x14ac:dyDescent="0.35">
      <c r="H26132" s="676"/>
      <c r="I26132" s="676"/>
      <c r="J26132" s="770"/>
    </row>
    <row r="26133" spans="8:10" x14ac:dyDescent="0.35">
      <c r="H26133" s="676"/>
      <c r="I26133" s="676"/>
      <c r="J26133" s="770"/>
    </row>
    <row r="26134" spans="8:10" x14ac:dyDescent="0.35">
      <c r="H26134" s="676"/>
      <c r="I26134" s="676"/>
      <c r="J26134" s="770"/>
    </row>
    <row r="26135" spans="8:10" x14ac:dyDescent="0.35">
      <c r="H26135" s="676"/>
      <c r="I26135" s="676"/>
      <c r="J26135" s="770"/>
    </row>
    <row r="26136" spans="8:10" x14ac:dyDescent="0.35">
      <c r="H26136" s="676"/>
      <c r="I26136" s="676"/>
      <c r="J26136" s="770"/>
    </row>
    <row r="26137" spans="8:10" x14ac:dyDescent="0.35">
      <c r="H26137" s="676"/>
      <c r="I26137" s="676"/>
      <c r="J26137" s="770"/>
    </row>
    <row r="26138" spans="8:10" x14ac:dyDescent="0.35">
      <c r="H26138" s="676"/>
      <c r="I26138" s="676"/>
      <c r="J26138" s="770"/>
    </row>
    <row r="26139" spans="8:10" x14ac:dyDescent="0.35">
      <c r="H26139" s="676"/>
      <c r="I26139" s="676"/>
      <c r="J26139" s="770"/>
    </row>
    <row r="26140" spans="8:10" x14ac:dyDescent="0.35">
      <c r="H26140" s="676"/>
      <c r="I26140" s="676"/>
      <c r="J26140" s="770"/>
    </row>
    <row r="26141" spans="8:10" x14ac:dyDescent="0.35">
      <c r="H26141" s="676"/>
      <c r="I26141" s="676"/>
      <c r="J26141" s="770"/>
    </row>
    <row r="26142" spans="8:10" x14ac:dyDescent="0.35">
      <c r="H26142" s="676"/>
      <c r="I26142" s="676"/>
      <c r="J26142" s="770"/>
    </row>
    <row r="26143" spans="8:10" x14ac:dyDescent="0.35">
      <c r="H26143" s="676"/>
      <c r="I26143" s="676"/>
      <c r="J26143" s="770"/>
    </row>
    <row r="26144" spans="8:10" x14ac:dyDescent="0.35">
      <c r="H26144" s="676"/>
      <c r="I26144" s="676"/>
      <c r="J26144" s="770"/>
    </row>
    <row r="26145" spans="8:10" x14ac:dyDescent="0.35">
      <c r="H26145" s="676"/>
      <c r="I26145" s="676"/>
      <c r="J26145" s="770"/>
    </row>
    <row r="26146" spans="8:10" x14ac:dyDescent="0.35">
      <c r="H26146" s="676"/>
      <c r="I26146" s="676"/>
      <c r="J26146" s="770"/>
    </row>
    <row r="26147" spans="8:10" x14ac:dyDescent="0.35">
      <c r="H26147" s="676"/>
      <c r="I26147" s="676"/>
      <c r="J26147" s="770"/>
    </row>
    <row r="26148" spans="8:10" x14ac:dyDescent="0.35">
      <c r="H26148" s="676"/>
      <c r="I26148" s="676"/>
      <c r="J26148" s="770"/>
    </row>
    <row r="26149" spans="8:10" x14ac:dyDescent="0.35">
      <c r="H26149" s="676"/>
      <c r="I26149" s="676"/>
      <c r="J26149" s="770"/>
    </row>
    <row r="26150" spans="8:10" x14ac:dyDescent="0.35">
      <c r="H26150" s="676"/>
      <c r="I26150" s="676"/>
      <c r="J26150" s="770"/>
    </row>
    <row r="26151" spans="8:10" x14ac:dyDescent="0.35">
      <c r="H26151" s="676"/>
      <c r="I26151" s="676"/>
      <c r="J26151" s="770"/>
    </row>
    <row r="26152" spans="8:10" x14ac:dyDescent="0.35">
      <c r="H26152" s="676"/>
      <c r="I26152" s="676"/>
      <c r="J26152" s="770"/>
    </row>
    <row r="26153" spans="8:10" x14ac:dyDescent="0.35">
      <c r="H26153" s="676"/>
      <c r="I26153" s="676"/>
      <c r="J26153" s="770"/>
    </row>
    <row r="26154" spans="8:10" x14ac:dyDescent="0.35">
      <c r="H26154" s="676"/>
      <c r="I26154" s="676"/>
      <c r="J26154" s="770"/>
    </row>
    <row r="26155" spans="8:10" x14ac:dyDescent="0.35">
      <c r="H26155" s="676"/>
      <c r="I26155" s="676"/>
      <c r="J26155" s="770"/>
    </row>
    <row r="26156" spans="8:10" x14ac:dyDescent="0.35">
      <c r="H26156" s="676"/>
      <c r="I26156" s="676"/>
      <c r="J26156" s="770"/>
    </row>
    <row r="26157" spans="8:10" x14ac:dyDescent="0.35">
      <c r="H26157" s="676"/>
      <c r="I26157" s="676"/>
      <c r="J26157" s="770"/>
    </row>
    <row r="26158" spans="8:10" x14ac:dyDescent="0.35">
      <c r="H26158" s="676"/>
      <c r="I26158" s="676"/>
      <c r="J26158" s="770"/>
    </row>
    <row r="26159" spans="8:10" x14ac:dyDescent="0.35">
      <c r="H26159" s="676"/>
      <c r="I26159" s="676"/>
      <c r="J26159" s="770"/>
    </row>
    <row r="26160" spans="8:10" x14ac:dyDescent="0.35">
      <c r="H26160" s="676"/>
      <c r="I26160" s="676"/>
      <c r="J26160" s="770"/>
    </row>
    <row r="26161" spans="8:10" x14ac:dyDescent="0.35">
      <c r="H26161" s="676"/>
      <c r="I26161" s="676"/>
      <c r="J26161" s="770"/>
    </row>
    <row r="26162" spans="8:10" x14ac:dyDescent="0.35">
      <c r="H26162" s="676"/>
      <c r="I26162" s="676"/>
      <c r="J26162" s="770"/>
    </row>
    <row r="26163" spans="8:10" x14ac:dyDescent="0.35">
      <c r="H26163" s="676"/>
      <c r="I26163" s="676"/>
      <c r="J26163" s="770"/>
    </row>
    <row r="26164" spans="8:10" x14ac:dyDescent="0.35">
      <c r="H26164" s="676"/>
      <c r="I26164" s="676"/>
      <c r="J26164" s="770"/>
    </row>
    <row r="26165" spans="8:10" x14ac:dyDescent="0.35">
      <c r="H26165" s="676"/>
      <c r="I26165" s="676"/>
      <c r="J26165" s="770"/>
    </row>
    <row r="26166" spans="8:10" x14ac:dyDescent="0.35">
      <c r="H26166" s="676"/>
      <c r="I26166" s="676"/>
      <c r="J26166" s="770"/>
    </row>
    <row r="26167" spans="8:10" x14ac:dyDescent="0.35">
      <c r="H26167" s="676"/>
      <c r="I26167" s="676"/>
      <c r="J26167" s="770"/>
    </row>
    <row r="26168" spans="8:10" x14ac:dyDescent="0.35">
      <c r="H26168" s="676"/>
      <c r="I26168" s="676"/>
      <c r="J26168" s="770"/>
    </row>
    <row r="26169" spans="8:10" x14ac:dyDescent="0.35">
      <c r="H26169" s="676"/>
      <c r="I26169" s="676"/>
      <c r="J26169" s="770"/>
    </row>
    <row r="26170" spans="8:10" x14ac:dyDescent="0.35">
      <c r="H26170" s="676"/>
      <c r="I26170" s="676"/>
      <c r="J26170" s="770"/>
    </row>
    <row r="26171" spans="8:10" x14ac:dyDescent="0.35">
      <c r="H26171" s="676"/>
      <c r="I26171" s="676"/>
      <c r="J26171" s="770"/>
    </row>
    <row r="26172" spans="8:10" x14ac:dyDescent="0.35">
      <c r="H26172" s="676"/>
      <c r="I26172" s="676"/>
      <c r="J26172" s="770"/>
    </row>
    <row r="26173" spans="8:10" x14ac:dyDescent="0.35">
      <c r="H26173" s="676"/>
      <c r="I26173" s="676"/>
      <c r="J26173" s="770"/>
    </row>
    <row r="26174" spans="8:10" x14ac:dyDescent="0.35">
      <c r="H26174" s="676"/>
      <c r="I26174" s="676"/>
      <c r="J26174" s="770"/>
    </row>
    <row r="26175" spans="8:10" x14ac:dyDescent="0.35">
      <c r="H26175" s="676"/>
      <c r="I26175" s="676"/>
      <c r="J26175" s="770"/>
    </row>
    <row r="26176" spans="8:10" x14ac:dyDescent="0.35">
      <c r="H26176" s="676"/>
      <c r="I26176" s="676"/>
      <c r="J26176" s="770"/>
    </row>
    <row r="26177" spans="8:10" x14ac:dyDescent="0.35">
      <c r="H26177" s="676"/>
      <c r="I26177" s="676"/>
      <c r="J26177" s="770"/>
    </row>
    <row r="26178" spans="8:10" x14ac:dyDescent="0.35">
      <c r="H26178" s="676"/>
      <c r="I26178" s="676"/>
      <c r="J26178" s="770"/>
    </row>
    <row r="26179" spans="8:10" x14ac:dyDescent="0.35">
      <c r="H26179" s="676"/>
      <c r="I26179" s="676"/>
      <c r="J26179" s="770"/>
    </row>
    <row r="26180" spans="8:10" x14ac:dyDescent="0.35">
      <c r="H26180" s="676"/>
      <c r="I26180" s="676"/>
      <c r="J26180" s="770"/>
    </row>
    <row r="26181" spans="8:10" x14ac:dyDescent="0.35">
      <c r="H26181" s="676"/>
      <c r="I26181" s="676"/>
      <c r="J26181" s="770"/>
    </row>
    <row r="26182" spans="8:10" x14ac:dyDescent="0.35">
      <c r="H26182" s="676"/>
      <c r="I26182" s="676"/>
      <c r="J26182" s="770"/>
    </row>
    <row r="26183" spans="8:10" x14ac:dyDescent="0.35">
      <c r="H26183" s="676"/>
      <c r="I26183" s="676"/>
      <c r="J26183" s="770"/>
    </row>
    <row r="26184" spans="8:10" x14ac:dyDescent="0.35">
      <c r="H26184" s="676"/>
      <c r="I26184" s="676"/>
      <c r="J26184" s="770"/>
    </row>
    <row r="26185" spans="8:10" x14ac:dyDescent="0.35">
      <c r="H26185" s="676"/>
      <c r="I26185" s="676"/>
      <c r="J26185" s="770"/>
    </row>
    <row r="26186" spans="8:10" x14ac:dyDescent="0.35">
      <c r="H26186" s="676"/>
      <c r="I26186" s="676"/>
      <c r="J26186" s="770"/>
    </row>
    <row r="26187" spans="8:10" x14ac:dyDescent="0.35">
      <c r="H26187" s="676"/>
      <c r="I26187" s="676"/>
      <c r="J26187" s="770"/>
    </row>
    <row r="26188" spans="8:10" x14ac:dyDescent="0.35">
      <c r="H26188" s="676"/>
      <c r="I26188" s="676"/>
      <c r="J26188" s="770"/>
    </row>
    <row r="26189" spans="8:10" x14ac:dyDescent="0.35">
      <c r="H26189" s="676"/>
      <c r="I26189" s="676"/>
      <c r="J26189" s="770"/>
    </row>
    <row r="26190" spans="8:10" x14ac:dyDescent="0.35">
      <c r="H26190" s="676"/>
      <c r="I26190" s="676"/>
      <c r="J26190" s="770"/>
    </row>
    <row r="26191" spans="8:10" x14ac:dyDescent="0.35">
      <c r="H26191" s="676"/>
      <c r="I26191" s="676"/>
      <c r="J26191" s="770"/>
    </row>
    <row r="26192" spans="8:10" x14ac:dyDescent="0.35">
      <c r="H26192" s="676"/>
      <c r="I26192" s="676"/>
      <c r="J26192" s="770"/>
    </row>
    <row r="26193" spans="8:10" x14ac:dyDescent="0.35">
      <c r="H26193" s="676"/>
      <c r="I26193" s="676"/>
      <c r="J26193" s="770"/>
    </row>
    <row r="26194" spans="8:10" x14ac:dyDescent="0.35">
      <c r="H26194" s="676"/>
      <c r="I26194" s="676"/>
      <c r="J26194" s="770"/>
    </row>
    <row r="26195" spans="8:10" x14ac:dyDescent="0.35">
      <c r="H26195" s="676"/>
      <c r="I26195" s="676"/>
      <c r="J26195" s="770"/>
    </row>
    <row r="26196" spans="8:10" x14ac:dyDescent="0.35">
      <c r="H26196" s="676"/>
      <c r="I26196" s="676"/>
      <c r="J26196" s="770"/>
    </row>
    <row r="26197" spans="8:10" x14ac:dyDescent="0.35">
      <c r="H26197" s="676"/>
      <c r="I26197" s="676"/>
      <c r="J26197" s="770"/>
    </row>
    <row r="26198" spans="8:10" x14ac:dyDescent="0.35">
      <c r="H26198" s="676"/>
      <c r="I26198" s="676"/>
      <c r="J26198" s="770"/>
    </row>
    <row r="26199" spans="8:10" x14ac:dyDescent="0.35">
      <c r="H26199" s="676"/>
      <c r="I26199" s="676"/>
      <c r="J26199" s="770"/>
    </row>
    <row r="26200" spans="8:10" x14ac:dyDescent="0.35">
      <c r="H26200" s="676"/>
      <c r="I26200" s="676"/>
      <c r="J26200" s="770"/>
    </row>
    <row r="26201" spans="8:10" x14ac:dyDescent="0.35">
      <c r="H26201" s="676"/>
      <c r="I26201" s="676"/>
      <c r="J26201" s="770"/>
    </row>
    <row r="26202" spans="8:10" x14ac:dyDescent="0.35">
      <c r="H26202" s="676"/>
      <c r="I26202" s="676"/>
      <c r="J26202" s="770"/>
    </row>
    <row r="26203" spans="8:10" x14ac:dyDescent="0.35">
      <c r="H26203" s="676"/>
      <c r="I26203" s="676"/>
      <c r="J26203" s="770"/>
    </row>
    <row r="26204" spans="8:10" x14ac:dyDescent="0.35">
      <c r="H26204" s="676"/>
      <c r="I26204" s="676"/>
      <c r="J26204" s="770"/>
    </row>
    <row r="26205" spans="8:10" x14ac:dyDescent="0.35">
      <c r="H26205" s="676"/>
      <c r="I26205" s="676"/>
      <c r="J26205" s="770"/>
    </row>
    <row r="26206" spans="8:10" x14ac:dyDescent="0.35">
      <c r="H26206" s="676"/>
      <c r="I26206" s="676"/>
      <c r="J26206" s="770"/>
    </row>
    <row r="26207" spans="8:10" x14ac:dyDescent="0.35">
      <c r="H26207" s="676"/>
      <c r="I26207" s="676"/>
      <c r="J26207" s="770"/>
    </row>
    <row r="26208" spans="8:10" x14ac:dyDescent="0.35">
      <c r="H26208" s="676"/>
      <c r="I26208" s="676"/>
      <c r="J26208" s="770"/>
    </row>
    <row r="26209" spans="8:10" x14ac:dyDescent="0.35">
      <c r="H26209" s="676"/>
      <c r="I26209" s="676"/>
      <c r="J26209" s="770"/>
    </row>
    <row r="26210" spans="8:10" x14ac:dyDescent="0.35">
      <c r="H26210" s="676"/>
      <c r="I26210" s="676"/>
      <c r="J26210" s="770"/>
    </row>
    <row r="26211" spans="8:10" x14ac:dyDescent="0.35">
      <c r="H26211" s="676"/>
      <c r="I26211" s="676"/>
      <c r="J26211" s="770"/>
    </row>
    <row r="26212" spans="8:10" x14ac:dyDescent="0.35">
      <c r="H26212" s="676"/>
      <c r="I26212" s="676"/>
      <c r="J26212" s="770"/>
    </row>
    <row r="26213" spans="8:10" x14ac:dyDescent="0.35">
      <c r="H26213" s="676"/>
      <c r="I26213" s="676"/>
      <c r="J26213" s="770"/>
    </row>
    <row r="26214" spans="8:10" x14ac:dyDescent="0.35">
      <c r="H26214" s="676"/>
      <c r="I26214" s="676"/>
      <c r="J26214" s="770"/>
    </row>
    <row r="26215" spans="8:10" x14ac:dyDescent="0.35">
      <c r="H26215" s="676"/>
      <c r="I26215" s="676"/>
      <c r="J26215" s="770"/>
    </row>
    <row r="26216" spans="8:10" x14ac:dyDescent="0.35">
      <c r="H26216" s="676"/>
      <c r="I26216" s="676"/>
      <c r="J26216" s="770"/>
    </row>
    <row r="26217" spans="8:10" x14ac:dyDescent="0.35">
      <c r="H26217" s="676"/>
      <c r="I26217" s="676"/>
      <c r="J26217" s="770"/>
    </row>
    <row r="26218" spans="8:10" x14ac:dyDescent="0.35">
      <c r="H26218" s="676"/>
      <c r="I26218" s="676"/>
      <c r="J26218" s="770"/>
    </row>
    <row r="26219" spans="8:10" x14ac:dyDescent="0.35">
      <c r="H26219" s="676"/>
      <c r="I26219" s="676"/>
      <c r="J26219" s="770"/>
    </row>
    <row r="26220" spans="8:10" x14ac:dyDescent="0.35">
      <c r="H26220" s="676"/>
      <c r="I26220" s="676"/>
      <c r="J26220" s="770"/>
    </row>
    <row r="26221" spans="8:10" x14ac:dyDescent="0.35">
      <c r="H26221" s="676"/>
      <c r="I26221" s="676"/>
      <c r="J26221" s="770"/>
    </row>
    <row r="26222" spans="8:10" x14ac:dyDescent="0.35">
      <c r="H26222" s="676"/>
      <c r="I26222" s="676"/>
      <c r="J26222" s="770"/>
    </row>
    <row r="26223" spans="8:10" x14ac:dyDescent="0.35">
      <c r="H26223" s="676"/>
      <c r="I26223" s="676"/>
      <c r="J26223" s="770"/>
    </row>
    <row r="26224" spans="8:10" x14ac:dyDescent="0.35">
      <c r="H26224" s="676"/>
      <c r="I26224" s="676"/>
      <c r="J26224" s="770"/>
    </row>
    <row r="26225" spans="8:10" x14ac:dyDescent="0.35">
      <c r="H26225" s="676"/>
      <c r="I26225" s="676"/>
      <c r="J26225" s="770"/>
    </row>
    <row r="26226" spans="8:10" x14ac:dyDescent="0.35">
      <c r="H26226" s="676"/>
      <c r="I26226" s="676"/>
      <c r="J26226" s="770"/>
    </row>
    <row r="26227" spans="8:10" x14ac:dyDescent="0.35">
      <c r="H26227" s="676"/>
      <c r="I26227" s="676"/>
      <c r="J26227" s="770"/>
    </row>
    <row r="26228" spans="8:10" x14ac:dyDescent="0.35">
      <c r="H26228" s="676"/>
      <c r="I26228" s="676"/>
      <c r="J26228" s="770"/>
    </row>
    <row r="26229" spans="8:10" x14ac:dyDescent="0.35">
      <c r="H26229" s="676"/>
      <c r="I26229" s="676"/>
      <c r="J26229" s="770"/>
    </row>
    <row r="26230" spans="8:10" x14ac:dyDescent="0.35">
      <c r="H26230" s="676"/>
      <c r="I26230" s="676"/>
      <c r="J26230" s="770"/>
    </row>
    <row r="26231" spans="8:10" x14ac:dyDescent="0.35">
      <c r="H26231" s="676"/>
      <c r="I26231" s="676"/>
      <c r="J26231" s="770"/>
    </row>
    <row r="26232" spans="8:10" x14ac:dyDescent="0.35">
      <c r="H26232" s="676"/>
      <c r="I26232" s="676"/>
      <c r="J26232" s="770"/>
    </row>
    <row r="26233" spans="8:10" x14ac:dyDescent="0.35">
      <c r="H26233" s="676"/>
      <c r="I26233" s="676"/>
      <c r="J26233" s="770"/>
    </row>
    <row r="26234" spans="8:10" x14ac:dyDescent="0.35">
      <c r="H26234" s="676"/>
      <c r="I26234" s="676"/>
      <c r="J26234" s="770"/>
    </row>
    <row r="26235" spans="8:10" x14ac:dyDescent="0.35">
      <c r="H26235" s="676"/>
      <c r="I26235" s="676"/>
      <c r="J26235" s="770"/>
    </row>
    <row r="26236" spans="8:10" x14ac:dyDescent="0.35">
      <c r="H26236" s="676"/>
      <c r="I26236" s="676"/>
      <c r="J26236" s="770"/>
    </row>
    <row r="26237" spans="8:10" x14ac:dyDescent="0.35">
      <c r="H26237" s="676"/>
      <c r="I26237" s="676"/>
      <c r="J26237" s="770"/>
    </row>
    <row r="26238" spans="8:10" x14ac:dyDescent="0.35">
      <c r="H26238" s="676"/>
      <c r="I26238" s="676"/>
      <c r="J26238" s="770"/>
    </row>
    <row r="26239" spans="8:10" x14ac:dyDescent="0.35">
      <c r="H26239" s="676"/>
      <c r="I26239" s="676"/>
      <c r="J26239" s="770"/>
    </row>
    <row r="26240" spans="8:10" x14ac:dyDescent="0.35">
      <c r="H26240" s="676"/>
      <c r="I26240" s="676"/>
      <c r="J26240" s="770"/>
    </row>
    <row r="26241" spans="8:10" x14ac:dyDescent="0.35">
      <c r="H26241" s="676"/>
      <c r="I26241" s="676"/>
      <c r="J26241" s="770"/>
    </row>
    <row r="26242" spans="8:10" x14ac:dyDescent="0.35">
      <c r="H26242" s="676"/>
      <c r="I26242" s="676"/>
      <c r="J26242" s="770"/>
    </row>
    <row r="26243" spans="8:10" x14ac:dyDescent="0.35">
      <c r="H26243" s="676"/>
      <c r="I26243" s="676"/>
      <c r="J26243" s="770"/>
    </row>
    <row r="26244" spans="8:10" x14ac:dyDescent="0.35">
      <c r="H26244" s="676"/>
      <c r="I26244" s="676"/>
      <c r="J26244" s="770"/>
    </row>
    <row r="26245" spans="8:10" x14ac:dyDescent="0.35">
      <c r="H26245" s="676"/>
      <c r="I26245" s="676"/>
      <c r="J26245" s="770"/>
    </row>
    <row r="26246" spans="8:10" x14ac:dyDescent="0.35">
      <c r="H26246" s="676"/>
      <c r="I26246" s="676"/>
      <c r="J26246" s="770"/>
    </row>
    <row r="26247" spans="8:10" x14ac:dyDescent="0.35">
      <c r="H26247" s="676"/>
      <c r="I26247" s="676"/>
      <c r="J26247" s="770"/>
    </row>
    <row r="26248" spans="8:10" x14ac:dyDescent="0.35">
      <c r="H26248" s="676"/>
      <c r="I26248" s="676"/>
      <c r="J26248" s="770"/>
    </row>
    <row r="26249" spans="8:10" x14ac:dyDescent="0.35">
      <c r="H26249" s="676"/>
      <c r="I26249" s="676"/>
      <c r="J26249" s="770"/>
    </row>
    <row r="26250" spans="8:10" x14ac:dyDescent="0.35">
      <c r="H26250" s="676"/>
      <c r="I26250" s="676"/>
      <c r="J26250" s="770"/>
    </row>
    <row r="26251" spans="8:10" x14ac:dyDescent="0.35">
      <c r="H26251" s="676"/>
      <c r="I26251" s="676"/>
      <c r="J26251" s="770"/>
    </row>
    <row r="26252" spans="8:10" x14ac:dyDescent="0.35">
      <c r="H26252" s="676"/>
      <c r="I26252" s="676"/>
      <c r="J26252" s="770"/>
    </row>
    <row r="26253" spans="8:10" x14ac:dyDescent="0.35">
      <c r="H26253" s="676"/>
      <c r="I26253" s="676"/>
      <c r="J26253" s="770"/>
    </row>
    <row r="26254" spans="8:10" x14ac:dyDescent="0.35">
      <c r="H26254" s="676"/>
      <c r="I26254" s="676"/>
      <c r="J26254" s="770"/>
    </row>
    <row r="26255" spans="8:10" x14ac:dyDescent="0.35">
      <c r="H26255" s="676"/>
      <c r="I26255" s="676"/>
      <c r="J26255" s="770"/>
    </row>
    <row r="26256" spans="8:10" x14ac:dyDescent="0.35">
      <c r="H26256" s="676"/>
      <c r="I26256" s="676"/>
      <c r="J26256" s="770"/>
    </row>
    <row r="26257" spans="8:10" x14ac:dyDescent="0.35">
      <c r="H26257" s="676"/>
      <c r="I26257" s="676"/>
      <c r="J26257" s="770"/>
    </row>
    <row r="26258" spans="8:10" x14ac:dyDescent="0.35">
      <c r="H26258" s="676"/>
      <c r="I26258" s="676"/>
      <c r="J26258" s="770"/>
    </row>
    <row r="26259" spans="8:10" x14ac:dyDescent="0.35">
      <c r="H26259" s="676"/>
      <c r="I26259" s="676"/>
      <c r="J26259" s="770"/>
    </row>
    <row r="26260" spans="8:10" x14ac:dyDescent="0.35">
      <c r="H26260" s="676"/>
      <c r="I26260" s="676"/>
      <c r="J26260" s="770"/>
    </row>
    <row r="26261" spans="8:10" x14ac:dyDescent="0.35">
      <c r="H26261" s="676"/>
      <c r="I26261" s="676"/>
      <c r="J26261" s="770"/>
    </row>
    <row r="26262" spans="8:10" x14ac:dyDescent="0.35">
      <c r="H26262" s="676"/>
      <c r="I26262" s="676"/>
      <c r="J26262" s="770"/>
    </row>
    <row r="26263" spans="8:10" x14ac:dyDescent="0.35">
      <c r="H26263" s="676"/>
      <c r="I26263" s="676"/>
      <c r="J26263" s="770"/>
    </row>
    <row r="26264" spans="8:10" x14ac:dyDescent="0.35">
      <c r="H26264" s="676"/>
      <c r="I26264" s="676"/>
      <c r="J26264" s="770"/>
    </row>
    <row r="26265" spans="8:10" x14ac:dyDescent="0.35">
      <c r="H26265" s="676"/>
      <c r="I26265" s="676"/>
      <c r="J26265" s="770"/>
    </row>
    <row r="26266" spans="8:10" x14ac:dyDescent="0.35">
      <c r="H26266" s="676"/>
      <c r="I26266" s="676"/>
      <c r="J26266" s="770"/>
    </row>
    <row r="26267" spans="8:10" x14ac:dyDescent="0.35">
      <c r="H26267" s="676"/>
      <c r="I26267" s="676"/>
      <c r="J26267" s="770"/>
    </row>
    <row r="26268" spans="8:10" x14ac:dyDescent="0.35">
      <c r="H26268" s="676"/>
      <c r="I26268" s="676"/>
      <c r="J26268" s="770"/>
    </row>
    <row r="26269" spans="8:10" x14ac:dyDescent="0.35">
      <c r="H26269" s="676"/>
      <c r="I26269" s="676"/>
      <c r="J26269" s="770"/>
    </row>
    <row r="26270" spans="8:10" x14ac:dyDescent="0.35">
      <c r="H26270" s="676"/>
      <c r="I26270" s="676"/>
      <c r="J26270" s="770"/>
    </row>
    <row r="26271" spans="8:10" x14ac:dyDescent="0.35">
      <c r="H26271" s="676"/>
      <c r="I26271" s="676"/>
      <c r="J26271" s="770"/>
    </row>
    <row r="26272" spans="8:10" x14ac:dyDescent="0.35">
      <c r="H26272" s="676"/>
      <c r="I26272" s="676"/>
      <c r="J26272" s="770"/>
    </row>
    <row r="26273" spans="8:10" x14ac:dyDescent="0.35">
      <c r="H26273" s="676"/>
      <c r="I26273" s="676"/>
      <c r="J26273" s="770"/>
    </row>
    <row r="26274" spans="8:10" x14ac:dyDescent="0.35">
      <c r="H26274" s="676"/>
      <c r="I26274" s="676"/>
      <c r="J26274" s="770"/>
    </row>
    <row r="26275" spans="8:10" x14ac:dyDescent="0.35">
      <c r="H26275" s="676"/>
      <c r="I26275" s="676"/>
      <c r="J26275" s="770"/>
    </row>
    <row r="26276" spans="8:10" x14ac:dyDescent="0.35">
      <c r="H26276" s="676"/>
      <c r="I26276" s="676"/>
      <c r="J26276" s="770"/>
    </row>
    <row r="26277" spans="8:10" x14ac:dyDescent="0.35">
      <c r="H26277" s="676"/>
      <c r="I26277" s="676"/>
      <c r="J26277" s="770"/>
    </row>
    <row r="26278" spans="8:10" x14ac:dyDescent="0.35">
      <c r="H26278" s="676"/>
      <c r="I26278" s="676"/>
      <c r="J26278" s="770"/>
    </row>
    <row r="26279" spans="8:10" x14ac:dyDescent="0.35">
      <c r="H26279" s="676"/>
      <c r="I26279" s="676"/>
      <c r="J26279" s="770"/>
    </row>
    <row r="26280" spans="8:10" x14ac:dyDescent="0.35">
      <c r="H26280" s="676"/>
      <c r="I26280" s="676"/>
      <c r="J26280" s="770"/>
    </row>
    <row r="26281" spans="8:10" x14ac:dyDescent="0.35">
      <c r="H26281" s="676"/>
      <c r="I26281" s="676"/>
      <c r="J26281" s="770"/>
    </row>
    <row r="26282" spans="8:10" x14ac:dyDescent="0.35">
      <c r="H26282" s="676"/>
      <c r="I26282" s="676"/>
      <c r="J26282" s="770"/>
    </row>
    <row r="26283" spans="8:10" x14ac:dyDescent="0.35">
      <c r="H26283" s="676"/>
      <c r="I26283" s="676"/>
      <c r="J26283" s="770"/>
    </row>
    <row r="26284" spans="8:10" x14ac:dyDescent="0.35">
      <c r="H26284" s="676"/>
      <c r="I26284" s="676"/>
      <c r="J26284" s="770"/>
    </row>
    <row r="26285" spans="8:10" x14ac:dyDescent="0.35">
      <c r="H26285" s="676"/>
      <c r="I26285" s="676"/>
      <c r="J26285" s="770"/>
    </row>
    <row r="26286" spans="8:10" x14ac:dyDescent="0.35">
      <c r="H26286" s="676"/>
      <c r="I26286" s="676"/>
      <c r="J26286" s="770"/>
    </row>
    <row r="26287" spans="8:10" x14ac:dyDescent="0.35">
      <c r="H26287" s="676"/>
      <c r="I26287" s="676"/>
      <c r="J26287" s="770"/>
    </row>
    <row r="26288" spans="8:10" x14ac:dyDescent="0.35">
      <c r="H26288" s="676"/>
      <c r="I26288" s="676"/>
      <c r="J26288" s="770"/>
    </row>
    <row r="26289" spans="8:10" x14ac:dyDescent="0.35">
      <c r="H26289" s="676"/>
      <c r="I26289" s="676"/>
      <c r="J26289" s="770"/>
    </row>
    <row r="26290" spans="8:10" x14ac:dyDescent="0.35">
      <c r="H26290" s="676"/>
      <c r="I26290" s="676"/>
      <c r="J26290" s="770"/>
    </row>
    <row r="26291" spans="8:10" x14ac:dyDescent="0.35">
      <c r="H26291" s="676"/>
      <c r="I26291" s="676"/>
      <c r="J26291" s="770"/>
    </row>
    <row r="26292" spans="8:10" x14ac:dyDescent="0.35">
      <c r="H26292" s="676"/>
      <c r="I26292" s="676"/>
      <c r="J26292" s="770"/>
    </row>
    <row r="26293" spans="8:10" x14ac:dyDescent="0.35">
      <c r="H26293" s="676"/>
      <c r="I26293" s="676"/>
      <c r="J26293" s="770"/>
    </row>
    <row r="26294" spans="8:10" x14ac:dyDescent="0.35">
      <c r="H26294" s="676"/>
      <c r="I26294" s="676"/>
      <c r="J26294" s="770"/>
    </row>
    <row r="26295" spans="8:10" x14ac:dyDescent="0.35">
      <c r="H26295" s="676"/>
      <c r="I26295" s="676"/>
      <c r="J26295" s="770"/>
    </row>
    <row r="26296" spans="8:10" x14ac:dyDescent="0.35">
      <c r="H26296" s="676"/>
      <c r="I26296" s="676"/>
      <c r="J26296" s="770"/>
    </row>
    <row r="26297" spans="8:10" x14ac:dyDescent="0.35">
      <c r="H26297" s="676"/>
      <c r="I26297" s="676"/>
      <c r="J26297" s="770"/>
    </row>
    <row r="26298" spans="8:10" x14ac:dyDescent="0.35">
      <c r="H26298" s="676"/>
      <c r="I26298" s="676"/>
      <c r="J26298" s="770"/>
    </row>
    <row r="26299" spans="8:10" x14ac:dyDescent="0.35">
      <c r="H26299" s="676"/>
      <c r="I26299" s="676"/>
      <c r="J26299" s="770"/>
    </row>
    <row r="26300" spans="8:10" x14ac:dyDescent="0.35">
      <c r="H26300" s="676"/>
      <c r="I26300" s="676"/>
      <c r="J26300" s="770"/>
    </row>
    <row r="26301" spans="8:10" x14ac:dyDescent="0.35">
      <c r="H26301" s="676"/>
      <c r="I26301" s="676"/>
      <c r="J26301" s="770"/>
    </row>
    <row r="26302" spans="8:10" x14ac:dyDescent="0.35">
      <c r="H26302" s="676"/>
      <c r="I26302" s="676"/>
      <c r="J26302" s="770"/>
    </row>
    <row r="26303" spans="8:10" x14ac:dyDescent="0.35">
      <c r="H26303" s="676"/>
      <c r="I26303" s="676"/>
      <c r="J26303" s="770"/>
    </row>
    <row r="26304" spans="8:10" x14ac:dyDescent="0.35">
      <c r="H26304" s="676"/>
      <c r="I26304" s="676"/>
      <c r="J26304" s="770"/>
    </row>
    <row r="26305" spans="8:10" x14ac:dyDescent="0.35">
      <c r="H26305" s="676"/>
      <c r="I26305" s="676"/>
      <c r="J26305" s="770"/>
    </row>
    <row r="26306" spans="8:10" x14ac:dyDescent="0.35">
      <c r="H26306" s="676"/>
      <c r="I26306" s="676"/>
      <c r="J26306" s="770"/>
    </row>
    <row r="26307" spans="8:10" x14ac:dyDescent="0.35">
      <c r="H26307" s="676"/>
      <c r="I26307" s="676"/>
      <c r="J26307" s="770"/>
    </row>
    <row r="26308" spans="8:10" x14ac:dyDescent="0.35">
      <c r="H26308" s="676"/>
      <c r="I26308" s="676"/>
      <c r="J26308" s="770"/>
    </row>
    <row r="26309" spans="8:10" x14ac:dyDescent="0.35">
      <c r="H26309" s="676"/>
      <c r="I26309" s="676"/>
      <c r="J26309" s="770"/>
    </row>
    <row r="26310" spans="8:10" x14ac:dyDescent="0.35">
      <c r="H26310" s="676"/>
      <c r="I26310" s="676"/>
      <c r="J26310" s="770"/>
    </row>
    <row r="26311" spans="8:10" x14ac:dyDescent="0.35">
      <c r="H26311" s="676"/>
      <c r="I26311" s="676"/>
      <c r="J26311" s="770"/>
    </row>
    <row r="26312" spans="8:10" x14ac:dyDescent="0.35">
      <c r="H26312" s="676"/>
      <c r="I26312" s="676"/>
      <c r="J26312" s="770"/>
    </row>
    <row r="26313" spans="8:10" x14ac:dyDescent="0.35">
      <c r="H26313" s="676"/>
      <c r="I26313" s="676"/>
      <c r="J26313" s="770"/>
    </row>
    <row r="26314" spans="8:10" x14ac:dyDescent="0.35">
      <c r="H26314" s="676"/>
      <c r="I26314" s="676"/>
      <c r="J26314" s="770"/>
    </row>
    <row r="26315" spans="8:10" x14ac:dyDescent="0.35">
      <c r="H26315" s="676"/>
      <c r="I26315" s="676"/>
      <c r="J26315" s="770"/>
    </row>
    <row r="26316" spans="8:10" x14ac:dyDescent="0.35">
      <c r="H26316" s="676"/>
      <c r="I26316" s="676"/>
      <c r="J26316" s="770"/>
    </row>
    <row r="26317" spans="8:10" x14ac:dyDescent="0.35">
      <c r="H26317" s="676"/>
      <c r="I26317" s="676"/>
      <c r="J26317" s="770"/>
    </row>
    <row r="26318" spans="8:10" x14ac:dyDescent="0.35">
      <c r="H26318" s="676"/>
      <c r="I26318" s="676"/>
      <c r="J26318" s="770"/>
    </row>
    <row r="26319" spans="8:10" x14ac:dyDescent="0.35">
      <c r="H26319" s="676"/>
      <c r="I26319" s="676"/>
      <c r="J26319" s="770"/>
    </row>
    <row r="26320" spans="8:10" x14ac:dyDescent="0.35">
      <c r="H26320" s="676"/>
      <c r="I26320" s="676"/>
      <c r="J26320" s="770"/>
    </row>
    <row r="26321" spans="8:10" x14ac:dyDescent="0.35">
      <c r="H26321" s="676"/>
      <c r="I26321" s="676"/>
      <c r="J26321" s="770"/>
    </row>
    <row r="26322" spans="8:10" x14ac:dyDescent="0.35">
      <c r="H26322" s="676"/>
      <c r="I26322" s="676"/>
      <c r="J26322" s="770"/>
    </row>
    <row r="26323" spans="8:10" x14ac:dyDescent="0.35">
      <c r="H26323" s="676"/>
      <c r="I26323" s="676"/>
      <c r="J26323" s="770"/>
    </row>
    <row r="26324" spans="8:10" x14ac:dyDescent="0.35">
      <c r="H26324" s="676"/>
      <c r="I26324" s="676"/>
      <c r="J26324" s="770"/>
    </row>
    <row r="26325" spans="8:10" x14ac:dyDescent="0.35">
      <c r="H26325" s="676"/>
      <c r="I26325" s="676"/>
      <c r="J26325" s="770"/>
    </row>
    <row r="26326" spans="8:10" x14ac:dyDescent="0.35">
      <c r="H26326" s="676"/>
      <c r="I26326" s="676"/>
      <c r="J26326" s="770"/>
    </row>
    <row r="26327" spans="8:10" x14ac:dyDescent="0.35">
      <c r="H26327" s="676"/>
      <c r="I26327" s="676"/>
      <c r="J26327" s="770"/>
    </row>
    <row r="26328" spans="8:10" x14ac:dyDescent="0.35">
      <c r="H26328" s="676"/>
      <c r="I26328" s="676"/>
      <c r="J26328" s="770"/>
    </row>
    <row r="26329" spans="8:10" x14ac:dyDescent="0.35">
      <c r="H26329" s="676"/>
      <c r="I26329" s="676"/>
      <c r="J26329" s="770"/>
    </row>
    <row r="26330" spans="8:10" x14ac:dyDescent="0.35">
      <c r="H26330" s="676"/>
      <c r="I26330" s="676"/>
      <c r="J26330" s="770"/>
    </row>
    <row r="26331" spans="8:10" x14ac:dyDescent="0.35">
      <c r="H26331" s="676"/>
      <c r="I26331" s="676"/>
      <c r="J26331" s="770"/>
    </row>
    <row r="26332" spans="8:10" x14ac:dyDescent="0.35">
      <c r="H26332" s="676"/>
      <c r="I26332" s="676"/>
      <c r="J26332" s="770"/>
    </row>
    <row r="26333" spans="8:10" x14ac:dyDescent="0.35">
      <c r="H26333" s="676"/>
      <c r="I26333" s="676"/>
      <c r="J26333" s="770"/>
    </row>
    <row r="26334" spans="8:10" x14ac:dyDescent="0.35">
      <c r="H26334" s="676"/>
      <c r="I26334" s="676"/>
      <c r="J26334" s="770"/>
    </row>
    <row r="26335" spans="8:10" x14ac:dyDescent="0.35">
      <c r="H26335" s="676"/>
      <c r="I26335" s="676"/>
      <c r="J26335" s="770"/>
    </row>
    <row r="26336" spans="8:10" x14ac:dyDescent="0.35">
      <c r="H26336" s="676"/>
      <c r="I26336" s="676"/>
      <c r="J26336" s="770"/>
    </row>
    <row r="26337" spans="8:10" x14ac:dyDescent="0.35">
      <c r="H26337" s="676"/>
      <c r="I26337" s="676"/>
      <c r="J26337" s="770"/>
    </row>
    <row r="26338" spans="8:10" x14ac:dyDescent="0.35">
      <c r="H26338" s="676"/>
      <c r="I26338" s="676"/>
      <c r="J26338" s="770"/>
    </row>
    <row r="26339" spans="8:10" x14ac:dyDescent="0.35">
      <c r="H26339" s="676"/>
      <c r="I26339" s="676"/>
      <c r="J26339" s="770"/>
    </row>
    <row r="26340" spans="8:10" x14ac:dyDescent="0.35">
      <c r="H26340" s="676"/>
      <c r="I26340" s="676"/>
      <c r="J26340" s="770"/>
    </row>
    <row r="26341" spans="8:10" x14ac:dyDescent="0.35">
      <c r="H26341" s="676"/>
      <c r="I26341" s="676"/>
      <c r="J26341" s="770"/>
    </row>
    <row r="26342" spans="8:10" x14ac:dyDescent="0.35">
      <c r="H26342" s="676"/>
      <c r="I26342" s="676"/>
      <c r="J26342" s="770"/>
    </row>
    <row r="26343" spans="8:10" x14ac:dyDescent="0.35">
      <c r="H26343" s="676"/>
      <c r="I26343" s="676"/>
      <c r="J26343" s="770"/>
    </row>
    <row r="26344" spans="8:10" x14ac:dyDescent="0.35">
      <c r="H26344" s="676"/>
      <c r="I26344" s="676"/>
      <c r="J26344" s="770"/>
    </row>
    <row r="26345" spans="8:10" x14ac:dyDescent="0.35">
      <c r="H26345" s="676"/>
      <c r="I26345" s="676"/>
      <c r="J26345" s="770"/>
    </row>
    <row r="26346" spans="8:10" x14ac:dyDescent="0.35">
      <c r="H26346" s="676"/>
      <c r="I26346" s="676"/>
      <c r="J26346" s="770"/>
    </row>
    <row r="26347" spans="8:10" x14ac:dyDescent="0.35">
      <c r="H26347" s="676"/>
      <c r="I26347" s="676"/>
      <c r="J26347" s="770"/>
    </row>
    <row r="26348" spans="8:10" x14ac:dyDescent="0.35">
      <c r="H26348" s="676"/>
      <c r="I26348" s="676"/>
      <c r="J26348" s="770"/>
    </row>
    <row r="26349" spans="8:10" x14ac:dyDescent="0.35">
      <c r="H26349" s="676"/>
      <c r="I26349" s="676"/>
      <c r="J26349" s="770"/>
    </row>
    <row r="26350" spans="8:10" x14ac:dyDescent="0.35">
      <c r="H26350" s="676"/>
      <c r="I26350" s="676"/>
      <c r="J26350" s="770"/>
    </row>
    <row r="26351" spans="8:10" x14ac:dyDescent="0.35">
      <c r="H26351" s="676"/>
      <c r="I26351" s="676"/>
      <c r="J26351" s="770"/>
    </row>
    <row r="26352" spans="8:10" x14ac:dyDescent="0.35">
      <c r="H26352" s="676"/>
      <c r="I26352" s="676"/>
      <c r="J26352" s="770"/>
    </row>
    <row r="26353" spans="8:10" x14ac:dyDescent="0.35">
      <c r="H26353" s="676"/>
      <c r="I26353" s="676"/>
      <c r="J26353" s="770"/>
    </row>
    <row r="26354" spans="8:10" x14ac:dyDescent="0.35">
      <c r="H26354" s="676"/>
      <c r="I26354" s="676"/>
      <c r="J26354" s="770"/>
    </row>
    <row r="26355" spans="8:10" x14ac:dyDescent="0.35">
      <c r="H26355" s="676"/>
      <c r="I26355" s="676"/>
      <c r="J26355" s="770"/>
    </row>
    <row r="26356" spans="8:10" x14ac:dyDescent="0.35">
      <c r="H26356" s="676"/>
      <c r="I26356" s="676"/>
      <c r="J26356" s="770"/>
    </row>
    <row r="26357" spans="8:10" x14ac:dyDescent="0.35">
      <c r="H26357" s="676"/>
      <c r="I26357" s="676"/>
      <c r="J26357" s="770"/>
    </row>
    <row r="26358" spans="8:10" x14ac:dyDescent="0.35">
      <c r="H26358" s="676"/>
      <c r="I26358" s="676"/>
      <c r="J26358" s="770"/>
    </row>
    <row r="26359" spans="8:10" x14ac:dyDescent="0.35">
      <c r="H26359" s="676"/>
      <c r="I26359" s="676"/>
      <c r="J26359" s="770"/>
    </row>
    <row r="26360" spans="8:10" x14ac:dyDescent="0.35">
      <c r="H26360" s="676"/>
      <c r="I26360" s="676"/>
      <c r="J26360" s="770"/>
    </row>
    <row r="26361" spans="8:10" x14ac:dyDescent="0.35">
      <c r="H26361" s="676"/>
      <c r="I26361" s="676"/>
      <c r="J26361" s="770"/>
    </row>
    <row r="26362" spans="8:10" x14ac:dyDescent="0.35">
      <c r="H26362" s="676"/>
      <c r="I26362" s="676"/>
      <c r="J26362" s="770"/>
    </row>
    <row r="26363" spans="8:10" x14ac:dyDescent="0.35">
      <c r="H26363" s="676"/>
      <c r="I26363" s="676"/>
      <c r="J26363" s="770"/>
    </row>
    <row r="26364" spans="8:10" x14ac:dyDescent="0.35">
      <c r="H26364" s="676"/>
      <c r="I26364" s="676"/>
      <c r="J26364" s="770"/>
    </row>
    <row r="26365" spans="8:10" x14ac:dyDescent="0.35">
      <c r="H26365" s="676"/>
      <c r="I26365" s="676"/>
      <c r="J26365" s="770"/>
    </row>
    <row r="26366" spans="8:10" x14ac:dyDescent="0.35">
      <c r="H26366" s="676"/>
      <c r="I26366" s="676"/>
      <c r="J26366" s="770"/>
    </row>
    <row r="26367" spans="8:10" x14ac:dyDescent="0.35">
      <c r="H26367" s="676"/>
      <c r="I26367" s="676"/>
      <c r="J26367" s="770"/>
    </row>
    <row r="26368" spans="8:10" x14ac:dyDescent="0.35">
      <c r="H26368" s="676"/>
      <c r="I26368" s="676"/>
      <c r="J26368" s="770"/>
    </row>
    <row r="26369" spans="8:10" x14ac:dyDescent="0.35">
      <c r="H26369" s="676"/>
      <c r="I26369" s="676"/>
      <c r="J26369" s="770"/>
    </row>
    <row r="26370" spans="8:10" x14ac:dyDescent="0.35">
      <c r="H26370" s="676"/>
      <c r="I26370" s="676"/>
      <c r="J26370" s="770"/>
    </row>
    <row r="26371" spans="8:10" x14ac:dyDescent="0.35">
      <c r="H26371" s="676"/>
      <c r="I26371" s="676"/>
      <c r="J26371" s="770"/>
    </row>
    <row r="26372" spans="8:10" x14ac:dyDescent="0.35">
      <c r="H26372" s="676"/>
      <c r="I26372" s="676"/>
      <c r="J26372" s="770"/>
    </row>
    <row r="26373" spans="8:10" x14ac:dyDescent="0.35">
      <c r="H26373" s="676"/>
      <c r="I26373" s="676"/>
      <c r="J26373" s="770"/>
    </row>
    <row r="26374" spans="8:10" x14ac:dyDescent="0.35">
      <c r="H26374" s="676"/>
      <c r="I26374" s="676"/>
      <c r="J26374" s="770"/>
    </row>
    <row r="26375" spans="8:10" x14ac:dyDescent="0.35">
      <c r="H26375" s="676"/>
      <c r="I26375" s="676"/>
      <c r="J26375" s="770"/>
    </row>
    <row r="26376" spans="8:10" x14ac:dyDescent="0.35">
      <c r="H26376" s="676"/>
      <c r="I26376" s="676"/>
      <c r="J26376" s="770"/>
    </row>
    <row r="26377" spans="8:10" x14ac:dyDescent="0.35">
      <c r="H26377" s="676"/>
      <c r="I26377" s="676"/>
      <c r="J26377" s="770"/>
    </row>
    <row r="26378" spans="8:10" x14ac:dyDescent="0.35">
      <c r="H26378" s="676"/>
      <c r="I26378" s="676"/>
      <c r="J26378" s="770"/>
    </row>
    <row r="26379" spans="8:10" x14ac:dyDescent="0.35">
      <c r="H26379" s="676"/>
      <c r="I26379" s="676"/>
      <c r="J26379" s="770"/>
    </row>
    <row r="26380" spans="8:10" x14ac:dyDescent="0.35">
      <c r="H26380" s="676"/>
      <c r="I26380" s="676"/>
      <c r="J26380" s="770"/>
    </row>
    <row r="26381" spans="8:10" x14ac:dyDescent="0.35">
      <c r="H26381" s="676"/>
      <c r="I26381" s="676"/>
      <c r="J26381" s="770"/>
    </row>
    <row r="26382" spans="8:10" x14ac:dyDescent="0.35">
      <c r="H26382" s="676"/>
      <c r="I26382" s="676"/>
      <c r="J26382" s="770"/>
    </row>
    <row r="26383" spans="8:10" x14ac:dyDescent="0.35">
      <c r="H26383" s="676"/>
      <c r="I26383" s="676"/>
      <c r="J26383" s="770"/>
    </row>
    <row r="26384" spans="8:10" x14ac:dyDescent="0.35">
      <c r="H26384" s="676"/>
      <c r="I26384" s="676"/>
      <c r="J26384" s="770"/>
    </row>
    <row r="26385" spans="8:10" x14ac:dyDescent="0.35">
      <c r="H26385" s="676"/>
      <c r="I26385" s="676"/>
      <c r="J26385" s="770"/>
    </row>
    <row r="26386" spans="8:10" x14ac:dyDescent="0.35">
      <c r="H26386" s="676"/>
      <c r="I26386" s="676"/>
      <c r="J26386" s="770"/>
    </row>
    <row r="26387" spans="8:10" x14ac:dyDescent="0.35">
      <c r="H26387" s="676"/>
      <c r="I26387" s="676"/>
      <c r="J26387" s="770"/>
    </row>
    <row r="26388" spans="8:10" x14ac:dyDescent="0.35">
      <c r="H26388" s="676"/>
      <c r="I26388" s="676"/>
      <c r="J26388" s="770"/>
    </row>
    <row r="26389" spans="8:10" x14ac:dyDescent="0.35">
      <c r="H26389" s="676"/>
      <c r="I26389" s="676"/>
      <c r="J26389" s="770"/>
    </row>
    <row r="26390" spans="8:10" x14ac:dyDescent="0.35">
      <c r="H26390" s="676"/>
      <c r="I26390" s="676"/>
      <c r="J26390" s="770"/>
    </row>
    <row r="26391" spans="8:10" x14ac:dyDescent="0.35">
      <c r="H26391" s="676"/>
      <c r="I26391" s="676"/>
      <c r="J26391" s="770"/>
    </row>
    <row r="26392" spans="8:10" x14ac:dyDescent="0.35">
      <c r="H26392" s="676"/>
      <c r="I26392" s="676"/>
      <c r="J26392" s="770"/>
    </row>
    <row r="26393" spans="8:10" x14ac:dyDescent="0.35">
      <c r="H26393" s="676"/>
      <c r="I26393" s="676"/>
      <c r="J26393" s="770"/>
    </row>
    <row r="26394" spans="8:10" x14ac:dyDescent="0.35">
      <c r="H26394" s="676"/>
      <c r="I26394" s="676"/>
      <c r="J26394" s="770"/>
    </row>
    <row r="26395" spans="8:10" x14ac:dyDescent="0.35">
      <c r="H26395" s="676"/>
      <c r="I26395" s="676"/>
      <c r="J26395" s="770"/>
    </row>
    <row r="26396" spans="8:10" x14ac:dyDescent="0.35">
      <c r="H26396" s="676"/>
      <c r="I26396" s="676"/>
      <c r="J26396" s="770"/>
    </row>
    <row r="26397" spans="8:10" x14ac:dyDescent="0.35">
      <c r="H26397" s="676"/>
      <c r="I26397" s="676"/>
      <c r="J26397" s="770"/>
    </row>
    <row r="26398" spans="8:10" x14ac:dyDescent="0.35">
      <c r="H26398" s="676"/>
      <c r="I26398" s="676"/>
      <c r="J26398" s="770"/>
    </row>
    <row r="26399" spans="8:10" x14ac:dyDescent="0.35">
      <c r="H26399" s="676"/>
      <c r="I26399" s="676"/>
      <c r="J26399" s="770"/>
    </row>
    <row r="26400" spans="8:10" x14ac:dyDescent="0.35">
      <c r="H26400" s="676"/>
      <c r="I26400" s="676"/>
      <c r="J26400" s="770"/>
    </row>
    <row r="26401" spans="8:10" x14ac:dyDescent="0.35">
      <c r="H26401" s="676"/>
      <c r="I26401" s="676"/>
      <c r="J26401" s="770"/>
    </row>
    <row r="26402" spans="8:10" x14ac:dyDescent="0.35">
      <c r="H26402" s="676"/>
      <c r="I26402" s="676"/>
      <c r="J26402" s="770"/>
    </row>
    <row r="26403" spans="8:10" x14ac:dyDescent="0.35">
      <c r="H26403" s="676"/>
      <c r="I26403" s="676"/>
      <c r="J26403" s="770"/>
    </row>
    <row r="26404" spans="8:10" x14ac:dyDescent="0.35">
      <c r="H26404" s="676"/>
      <c r="I26404" s="676"/>
      <c r="J26404" s="770"/>
    </row>
    <row r="26405" spans="8:10" x14ac:dyDescent="0.35">
      <c r="H26405" s="676"/>
      <c r="I26405" s="676"/>
      <c r="J26405" s="770"/>
    </row>
    <row r="26406" spans="8:10" x14ac:dyDescent="0.35">
      <c r="H26406" s="676"/>
      <c r="I26406" s="676"/>
      <c r="J26406" s="770"/>
    </row>
    <row r="26407" spans="8:10" x14ac:dyDescent="0.35">
      <c r="H26407" s="676"/>
      <c r="I26407" s="676"/>
      <c r="J26407" s="770"/>
    </row>
    <row r="26408" spans="8:10" x14ac:dyDescent="0.35">
      <c r="H26408" s="676"/>
      <c r="I26408" s="676"/>
      <c r="J26408" s="770"/>
    </row>
    <row r="26409" spans="8:10" x14ac:dyDescent="0.35">
      <c r="H26409" s="676"/>
      <c r="I26409" s="676"/>
      <c r="J26409" s="770"/>
    </row>
    <row r="26410" spans="8:10" x14ac:dyDescent="0.35">
      <c r="H26410" s="676"/>
      <c r="I26410" s="676"/>
      <c r="J26410" s="770"/>
    </row>
    <row r="26411" spans="8:10" x14ac:dyDescent="0.35">
      <c r="H26411" s="676"/>
      <c r="I26411" s="676"/>
      <c r="J26411" s="770"/>
    </row>
    <row r="26412" spans="8:10" x14ac:dyDescent="0.35">
      <c r="H26412" s="676"/>
      <c r="I26412" s="676"/>
      <c r="J26412" s="770"/>
    </row>
    <row r="26413" spans="8:10" x14ac:dyDescent="0.35">
      <c r="H26413" s="676"/>
      <c r="I26413" s="676"/>
      <c r="J26413" s="770"/>
    </row>
    <row r="26414" spans="8:10" x14ac:dyDescent="0.35">
      <c r="H26414" s="676"/>
      <c r="I26414" s="676"/>
      <c r="J26414" s="770"/>
    </row>
    <row r="26415" spans="8:10" x14ac:dyDescent="0.35">
      <c r="H26415" s="676"/>
      <c r="I26415" s="676"/>
      <c r="J26415" s="770"/>
    </row>
    <row r="26416" spans="8:10" x14ac:dyDescent="0.35">
      <c r="H26416" s="676"/>
      <c r="I26416" s="676"/>
      <c r="J26416" s="770"/>
    </row>
    <row r="26417" spans="8:10" x14ac:dyDescent="0.35">
      <c r="H26417" s="676"/>
      <c r="I26417" s="676"/>
      <c r="J26417" s="770"/>
    </row>
    <row r="26418" spans="8:10" x14ac:dyDescent="0.35">
      <c r="H26418" s="676"/>
      <c r="I26418" s="676"/>
      <c r="J26418" s="770"/>
    </row>
    <row r="26419" spans="8:10" x14ac:dyDescent="0.35">
      <c r="H26419" s="676"/>
      <c r="I26419" s="676"/>
      <c r="J26419" s="770"/>
    </row>
    <row r="26420" spans="8:10" x14ac:dyDescent="0.35">
      <c r="H26420" s="676"/>
      <c r="I26420" s="676"/>
      <c r="J26420" s="770"/>
    </row>
    <row r="26421" spans="8:10" x14ac:dyDescent="0.35">
      <c r="H26421" s="676"/>
      <c r="I26421" s="676"/>
      <c r="J26421" s="770"/>
    </row>
    <row r="26422" spans="8:10" x14ac:dyDescent="0.35">
      <c r="H26422" s="676"/>
      <c r="I26422" s="676"/>
      <c r="J26422" s="770"/>
    </row>
    <row r="26423" spans="8:10" x14ac:dyDescent="0.35">
      <c r="H26423" s="676"/>
      <c r="I26423" s="676"/>
      <c r="J26423" s="770"/>
    </row>
    <row r="26424" spans="8:10" x14ac:dyDescent="0.35">
      <c r="H26424" s="676"/>
      <c r="I26424" s="676"/>
      <c r="J26424" s="770"/>
    </row>
    <row r="26425" spans="8:10" x14ac:dyDescent="0.35">
      <c r="H26425" s="676"/>
      <c r="I26425" s="676"/>
      <c r="J26425" s="770"/>
    </row>
    <row r="26426" spans="8:10" x14ac:dyDescent="0.35">
      <c r="H26426" s="676"/>
      <c r="I26426" s="676"/>
      <c r="J26426" s="770"/>
    </row>
    <row r="26427" spans="8:10" x14ac:dyDescent="0.35">
      <c r="H26427" s="676"/>
      <c r="I26427" s="676"/>
      <c r="J26427" s="770"/>
    </row>
    <row r="26428" spans="8:10" x14ac:dyDescent="0.35">
      <c r="H26428" s="676"/>
      <c r="I26428" s="676"/>
      <c r="J26428" s="770"/>
    </row>
    <row r="26429" spans="8:10" x14ac:dyDescent="0.35">
      <c r="H26429" s="676"/>
      <c r="I26429" s="676"/>
      <c r="J26429" s="770"/>
    </row>
    <row r="26430" spans="8:10" x14ac:dyDescent="0.35">
      <c r="H26430" s="676"/>
      <c r="I26430" s="676"/>
      <c r="J26430" s="770"/>
    </row>
    <row r="26431" spans="8:10" x14ac:dyDescent="0.35">
      <c r="H26431" s="676"/>
      <c r="I26431" s="676"/>
      <c r="J26431" s="770"/>
    </row>
    <row r="26432" spans="8:10" x14ac:dyDescent="0.35">
      <c r="H26432" s="676"/>
      <c r="I26432" s="676"/>
      <c r="J26432" s="770"/>
    </row>
    <row r="26433" spans="8:10" x14ac:dyDescent="0.35">
      <c r="H26433" s="676"/>
      <c r="I26433" s="676"/>
      <c r="J26433" s="770"/>
    </row>
    <row r="26434" spans="8:10" x14ac:dyDescent="0.35">
      <c r="H26434" s="676"/>
      <c r="I26434" s="676"/>
      <c r="J26434" s="770"/>
    </row>
    <row r="26435" spans="8:10" x14ac:dyDescent="0.35">
      <c r="H26435" s="676"/>
      <c r="I26435" s="676"/>
      <c r="J26435" s="770"/>
    </row>
    <row r="26436" spans="8:10" x14ac:dyDescent="0.35">
      <c r="H26436" s="676"/>
      <c r="I26436" s="676"/>
      <c r="J26436" s="770"/>
    </row>
    <row r="26437" spans="8:10" x14ac:dyDescent="0.35">
      <c r="H26437" s="676"/>
      <c r="I26437" s="676"/>
      <c r="J26437" s="770"/>
    </row>
    <row r="26438" spans="8:10" x14ac:dyDescent="0.35">
      <c r="H26438" s="676"/>
      <c r="I26438" s="676"/>
      <c r="J26438" s="770"/>
    </row>
    <row r="26439" spans="8:10" x14ac:dyDescent="0.35">
      <c r="H26439" s="676"/>
      <c r="I26439" s="676"/>
      <c r="J26439" s="770"/>
    </row>
    <row r="26440" spans="8:10" x14ac:dyDescent="0.35">
      <c r="H26440" s="676"/>
      <c r="I26440" s="676"/>
      <c r="J26440" s="770"/>
    </row>
    <row r="26441" spans="8:10" x14ac:dyDescent="0.35">
      <c r="H26441" s="676"/>
      <c r="I26441" s="676"/>
      <c r="J26441" s="770"/>
    </row>
    <row r="26442" spans="8:10" x14ac:dyDescent="0.35">
      <c r="H26442" s="676"/>
      <c r="I26442" s="676"/>
      <c r="J26442" s="770"/>
    </row>
    <row r="26443" spans="8:10" x14ac:dyDescent="0.35">
      <c r="H26443" s="676"/>
      <c r="I26443" s="676"/>
      <c r="J26443" s="770"/>
    </row>
    <row r="26444" spans="8:10" x14ac:dyDescent="0.35">
      <c r="H26444" s="676"/>
      <c r="I26444" s="676"/>
      <c r="J26444" s="770"/>
    </row>
    <row r="26445" spans="8:10" x14ac:dyDescent="0.35">
      <c r="H26445" s="676"/>
      <c r="I26445" s="676"/>
      <c r="J26445" s="770"/>
    </row>
    <row r="26446" spans="8:10" x14ac:dyDescent="0.35">
      <c r="H26446" s="676"/>
      <c r="I26446" s="676"/>
      <c r="J26446" s="770"/>
    </row>
    <row r="26447" spans="8:10" x14ac:dyDescent="0.35">
      <c r="H26447" s="676"/>
      <c r="I26447" s="676"/>
      <c r="J26447" s="770"/>
    </row>
    <row r="26448" spans="8:10" x14ac:dyDescent="0.35">
      <c r="H26448" s="676"/>
      <c r="I26448" s="676"/>
      <c r="J26448" s="770"/>
    </row>
    <row r="26449" spans="8:10" x14ac:dyDescent="0.35">
      <c r="H26449" s="676"/>
      <c r="I26449" s="676"/>
      <c r="J26449" s="770"/>
    </row>
    <row r="26450" spans="8:10" x14ac:dyDescent="0.35">
      <c r="H26450" s="676"/>
      <c r="I26450" s="676"/>
      <c r="J26450" s="770"/>
    </row>
    <row r="26451" spans="8:10" x14ac:dyDescent="0.35">
      <c r="H26451" s="676"/>
      <c r="I26451" s="676"/>
      <c r="J26451" s="770"/>
    </row>
    <row r="26452" spans="8:10" x14ac:dyDescent="0.35">
      <c r="H26452" s="676"/>
      <c r="I26452" s="676"/>
      <c r="J26452" s="770"/>
    </row>
    <row r="26453" spans="8:10" x14ac:dyDescent="0.35">
      <c r="H26453" s="676"/>
      <c r="I26453" s="676"/>
      <c r="J26453" s="770"/>
    </row>
    <row r="26454" spans="8:10" x14ac:dyDescent="0.35">
      <c r="H26454" s="676"/>
      <c r="I26454" s="676"/>
      <c r="J26454" s="770"/>
    </row>
    <row r="26455" spans="8:10" x14ac:dyDescent="0.35">
      <c r="H26455" s="676"/>
      <c r="I26455" s="676"/>
      <c r="J26455" s="770"/>
    </row>
    <row r="26456" spans="8:10" x14ac:dyDescent="0.35">
      <c r="H26456" s="676"/>
      <c r="I26456" s="676"/>
      <c r="J26456" s="770"/>
    </row>
    <row r="26457" spans="8:10" x14ac:dyDescent="0.35">
      <c r="H26457" s="676"/>
      <c r="I26457" s="676"/>
      <c r="J26457" s="770"/>
    </row>
    <row r="26458" spans="8:10" x14ac:dyDescent="0.35">
      <c r="H26458" s="676"/>
      <c r="I26458" s="676"/>
      <c r="J26458" s="770"/>
    </row>
    <row r="26459" spans="8:10" x14ac:dyDescent="0.35">
      <c r="H26459" s="676"/>
      <c r="I26459" s="676"/>
      <c r="J26459" s="770"/>
    </row>
    <row r="26460" spans="8:10" x14ac:dyDescent="0.35">
      <c r="H26460" s="676"/>
      <c r="I26460" s="676"/>
      <c r="J26460" s="770"/>
    </row>
    <row r="26461" spans="8:10" x14ac:dyDescent="0.35">
      <c r="H26461" s="676"/>
      <c r="I26461" s="676"/>
      <c r="J26461" s="770"/>
    </row>
    <row r="26462" spans="8:10" x14ac:dyDescent="0.35">
      <c r="H26462" s="676"/>
      <c r="I26462" s="676"/>
      <c r="J26462" s="770"/>
    </row>
    <row r="26463" spans="8:10" x14ac:dyDescent="0.35">
      <c r="H26463" s="676"/>
      <c r="I26463" s="676"/>
      <c r="J26463" s="770"/>
    </row>
    <row r="26464" spans="8:10" x14ac:dyDescent="0.35">
      <c r="H26464" s="676"/>
      <c r="I26464" s="676"/>
      <c r="J26464" s="770"/>
    </row>
    <row r="26465" spans="8:10" x14ac:dyDescent="0.35">
      <c r="H26465" s="676"/>
      <c r="I26465" s="676"/>
      <c r="J26465" s="770"/>
    </row>
    <row r="26466" spans="8:10" x14ac:dyDescent="0.35">
      <c r="H26466" s="676"/>
      <c r="I26466" s="676"/>
      <c r="J26466" s="770"/>
    </row>
    <row r="26467" spans="8:10" x14ac:dyDescent="0.35">
      <c r="H26467" s="676"/>
      <c r="I26467" s="676"/>
      <c r="J26467" s="770"/>
    </row>
    <row r="26468" spans="8:10" x14ac:dyDescent="0.35">
      <c r="H26468" s="676"/>
      <c r="I26468" s="676"/>
      <c r="J26468" s="770"/>
    </row>
    <row r="26469" spans="8:10" x14ac:dyDescent="0.35">
      <c r="H26469" s="676"/>
      <c r="I26469" s="676"/>
      <c r="J26469" s="770"/>
    </row>
    <row r="26470" spans="8:10" x14ac:dyDescent="0.35">
      <c r="H26470" s="676"/>
      <c r="I26470" s="676"/>
      <c r="J26470" s="770"/>
    </row>
    <row r="26471" spans="8:10" x14ac:dyDescent="0.35">
      <c r="H26471" s="676"/>
      <c r="I26471" s="676"/>
      <c r="J26471" s="770"/>
    </row>
    <row r="26472" spans="8:10" x14ac:dyDescent="0.35">
      <c r="H26472" s="676"/>
      <c r="I26472" s="676"/>
      <c r="J26472" s="770"/>
    </row>
    <row r="26473" spans="8:10" x14ac:dyDescent="0.35">
      <c r="H26473" s="676"/>
      <c r="I26473" s="676"/>
      <c r="J26473" s="770"/>
    </row>
    <row r="26474" spans="8:10" x14ac:dyDescent="0.35">
      <c r="H26474" s="676"/>
      <c r="I26474" s="676"/>
      <c r="J26474" s="770"/>
    </row>
    <row r="26475" spans="8:10" x14ac:dyDescent="0.35">
      <c r="H26475" s="676"/>
      <c r="I26475" s="676"/>
      <c r="J26475" s="770"/>
    </row>
    <row r="26476" spans="8:10" x14ac:dyDescent="0.35">
      <c r="H26476" s="676"/>
      <c r="I26476" s="676"/>
      <c r="J26476" s="770"/>
    </row>
    <row r="26477" spans="8:10" x14ac:dyDescent="0.35">
      <c r="H26477" s="676"/>
      <c r="I26477" s="676"/>
      <c r="J26477" s="770"/>
    </row>
    <row r="26478" spans="8:10" x14ac:dyDescent="0.35">
      <c r="H26478" s="676"/>
      <c r="I26478" s="676"/>
      <c r="J26478" s="770"/>
    </row>
    <row r="26479" spans="8:10" x14ac:dyDescent="0.35">
      <c r="H26479" s="676"/>
      <c r="I26479" s="676"/>
      <c r="J26479" s="770"/>
    </row>
    <row r="26480" spans="8:10" x14ac:dyDescent="0.35">
      <c r="H26480" s="676"/>
      <c r="I26480" s="676"/>
      <c r="J26480" s="770"/>
    </row>
    <row r="26481" spans="8:10" x14ac:dyDescent="0.35">
      <c r="H26481" s="676"/>
      <c r="I26481" s="676"/>
      <c r="J26481" s="770"/>
    </row>
    <row r="26482" spans="8:10" x14ac:dyDescent="0.35">
      <c r="H26482" s="676"/>
      <c r="I26482" s="676"/>
      <c r="J26482" s="770"/>
    </row>
    <row r="26483" spans="8:10" x14ac:dyDescent="0.35">
      <c r="H26483" s="676"/>
      <c r="I26483" s="676"/>
      <c r="J26483" s="770"/>
    </row>
    <row r="26484" spans="8:10" x14ac:dyDescent="0.35">
      <c r="H26484" s="676"/>
      <c r="I26484" s="676"/>
      <c r="J26484" s="770"/>
    </row>
    <row r="26485" spans="8:10" x14ac:dyDescent="0.35">
      <c r="H26485" s="676"/>
      <c r="I26485" s="676"/>
      <c r="J26485" s="770"/>
    </row>
    <row r="26486" spans="8:10" x14ac:dyDescent="0.35">
      <c r="H26486" s="676"/>
      <c r="I26486" s="676"/>
      <c r="J26486" s="770"/>
    </row>
    <row r="26487" spans="8:10" x14ac:dyDescent="0.35">
      <c r="H26487" s="676"/>
      <c r="I26487" s="676"/>
      <c r="J26487" s="770"/>
    </row>
    <row r="26488" spans="8:10" x14ac:dyDescent="0.35">
      <c r="H26488" s="676"/>
      <c r="I26488" s="676"/>
      <c r="J26488" s="770"/>
    </row>
    <row r="26489" spans="8:10" x14ac:dyDescent="0.35">
      <c r="H26489" s="676"/>
      <c r="I26489" s="676"/>
      <c r="J26489" s="770"/>
    </row>
    <row r="26490" spans="8:10" x14ac:dyDescent="0.35">
      <c r="H26490" s="676"/>
      <c r="I26490" s="676"/>
      <c r="J26490" s="770"/>
    </row>
    <row r="26491" spans="8:10" x14ac:dyDescent="0.35">
      <c r="H26491" s="676"/>
      <c r="I26491" s="676"/>
      <c r="J26491" s="770"/>
    </row>
    <row r="26492" spans="8:10" x14ac:dyDescent="0.35">
      <c r="H26492" s="676"/>
      <c r="I26492" s="676"/>
      <c r="J26492" s="770"/>
    </row>
    <row r="26493" spans="8:10" x14ac:dyDescent="0.35">
      <c r="H26493" s="676"/>
      <c r="I26493" s="676"/>
      <c r="J26493" s="770"/>
    </row>
    <row r="26494" spans="8:10" x14ac:dyDescent="0.35">
      <c r="H26494" s="676"/>
      <c r="I26494" s="676"/>
      <c r="J26494" s="770"/>
    </row>
    <row r="26495" spans="8:10" x14ac:dyDescent="0.35">
      <c r="H26495" s="676"/>
      <c r="I26495" s="676"/>
      <c r="J26495" s="770"/>
    </row>
    <row r="26496" spans="8:10" x14ac:dyDescent="0.35">
      <c r="H26496" s="676"/>
      <c r="I26496" s="676"/>
      <c r="J26496" s="770"/>
    </row>
    <row r="26497" spans="8:10" x14ac:dyDescent="0.35">
      <c r="H26497" s="676"/>
      <c r="I26497" s="676"/>
      <c r="J26497" s="770"/>
    </row>
    <row r="26498" spans="8:10" x14ac:dyDescent="0.35">
      <c r="H26498" s="676"/>
      <c r="I26498" s="676"/>
      <c r="J26498" s="770"/>
    </row>
    <row r="26499" spans="8:10" x14ac:dyDescent="0.35">
      <c r="H26499" s="676"/>
      <c r="I26499" s="676"/>
      <c r="J26499" s="770"/>
    </row>
    <row r="26500" spans="8:10" x14ac:dyDescent="0.35">
      <c r="H26500" s="676"/>
      <c r="I26500" s="676"/>
      <c r="J26500" s="770"/>
    </row>
    <row r="26501" spans="8:10" x14ac:dyDescent="0.35">
      <c r="H26501" s="676"/>
      <c r="I26501" s="676"/>
      <c r="J26501" s="770"/>
    </row>
    <row r="26502" spans="8:10" x14ac:dyDescent="0.35">
      <c r="H26502" s="676"/>
      <c r="I26502" s="676"/>
      <c r="J26502" s="770"/>
    </row>
    <row r="26503" spans="8:10" x14ac:dyDescent="0.35">
      <c r="H26503" s="676"/>
      <c r="I26503" s="676"/>
      <c r="J26503" s="770"/>
    </row>
    <row r="26504" spans="8:10" x14ac:dyDescent="0.35">
      <c r="H26504" s="676"/>
      <c r="I26504" s="676"/>
      <c r="J26504" s="770"/>
    </row>
    <row r="26505" spans="8:10" x14ac:dyDescent="0.35">
      <c r="H26505" s="676"/>
      <c r="I26505" s="676"/>
      <c r="J26505" s="770"/>
    </row>
    <row r="26506" spans="8:10" x14ac:dyDescent="0.35">
      <c r="H26506" s="676"/>
      <c r="I26506" s="676"/>
      <c r="J26506" s="770"/>
    </row>
    <row r="26507" spans="8:10" x14ac:dyDescent="0.35">
      <c r="H26507" s="676"/>
      <c r="I26507" s="676"/>
      <c r="J26507" s="770"/>
    </row>
    <row r="26508" spans="8:10" x14ac:dyDescent="0.35">
      <c r="H26508" s="676"/>
      <c r="I26508" s="676"/>
      <c r="J26508" s="770"/>
    </row>
    <row r="26509" spans="8:10" x14ac:dyDescent="0.35">
      <c r="H26509" s="676"/>
      <c r="I26509" s="676"/>
      <c r="J26509" s="770"/>
    </row>
    <row r="26510" spans="8:10" x14ac:dyDescent="0.35">
      <c r="H26510" s="676"/>
      <c r="I26510" s="676"/>
      <c r="J26510" s="770"/>
    </row>
    <row r="26511" spans="8:10" x14ac:dyDescent="0.35">
      <c r="H26511" s="676"/>
      <c r="I26511" s="676"/>
      <c r="J26511" s="770"/>
    </row>
    <row r="26512" spans="8:10" x14ac:dyDescent="0.35">
      <c r="H26512" s="676"/>
      <c r="I26512" s="676"/>
      <c r="J26512" s="770"/>
    </row>
    <row r="26513" spans="8:10" x14ac:dyDescent="0.35">
      <c r="H26513" s="676"/>
      <c r="I26513" s="676"/>
      <c r="J26513" s="770"/>
    </row>
    <row r="26514" spans="8:10" x14ac:dyDescent="0.35">
      <c r="H26514" s="676"/>
      <c r="I26514" s="676"/>
      <c r="J26514" s="770"/>
    </row>
    <row r="26515" spans="8:10" x14ac:dyDescent="0.35">
      <c r="H26515" s="676"/>
      <c r="I26515" s="676"/>
      <c r="J26515" s="770"/>
    </row>
    <row r="26516" spans="8:10" x14ac:dyDescent="0.35">
      <c r="H26516" s="676"/>
      <c r="I26516" s="676"/>
      <c r="J26516" s="770"/>
    </row>
    <row r="26517" spans="8:10" x14ac:dyDescent="0.35">
      <c r="H26517" s="676"/>
      <c r="I26517" s="676"/>
      <c r="J26517" s="770"/>
    </row>
    <row r="26518" spans="8:10" x14ac:dyDescent="0.35">
      <c r="H26518" s="676"/>
      <c r="I26518" s="676"/>
      <c r="J26518" s="770"/>
    </row>
    <row r="26519" spans="8:10" x14ac:dyDescent="0.35">
      <c r="H26519" s="676"/>
      <c r="I26519" s="676"/>
      <c r="J26519" s="770"/>
    </row>
    <row r="26520" spans="8:10" x14ac:dyDescent="0.35">
      <c r="H26520" s="676"/>
      <c r="I26520" s="676"/>
      <c r="J26520" s="770"/>
    </row>
    <row r="26521" spans="8:10" x14ac:dyDescent="0.35">
      <c r="H26521" s="676"/>
      <c r="I26521" s="676"/>
      <c r="J26521" s="770"/>
    </row>
    <row r="26522" spans="8:10" x14ac:dyDescent="0.35">
      <c r="H26522" s="676"/>
      <c r="I26522" s="676"/>
      <c r="J26522" s="770"/>
    </row>
    <row r="26523" spans="8:10" x14ac:dyDescent="0.35">
      <c r="H26523" s="676"/>
      <c r="I26523" s="676"/>
      <c r="J26523" s="770"/>
    </row>
    <row r="26524" spans="8:10" x14ac:dyDescent="0.35">
      <c r="H26524" s="676"/>
      <c r="I26524" s="676"/>
      <c r="J26524" s="770"/>
    </row>
    <row r="26525" spans="8:10" x14ac:dyDescent="0.35">
      <c r="H26525" s="676"/>
      <c r="I26525" s="676"/>
      <c r="J26525" s="770"/>
    </row>
    <row r="26526" spans="8:10" x14ac:dyDescent="0.35">
      <c r="H26526" s="676"/>
      <c r="I26526" s="676"/>
      <c r="J26526" s="770"/>
    </row>
    <row r="26527" spans="8:10" x14ac:dyDescent="0.35">
      <c r="H26527" s="676"/>
      <c r="I26527" s="676"/>
      <c r="J26527" s="770"/>
    </row>
    <row r="26528" spans="8:10" x14ac:dyDescent="0.35">
      <c r="H26528" s="676"/>
      <c r="I26528" s="676"/>
      <c r="J26528" s="770"/>
    </row>
    <row r="26529" spans="8:10" x14ac:dyDescent="0.35">
      <c r="H26529" s="676"/>
      <c r="I26529" s="676"/>
      <c r="J26529" s="770"/>
    </row>
    <row r="26530" spans="8:10" x14ac:dyDescent="0.35">
      <c r="H26530" s="676"/>
      <c r="I26530" s="676"/>
      <c r="J26530" s="770"/>
    </row>
    <row r="26531" spans="8:10" x14ac:dyDescent="0.35">
      <c r="H26531" s="676"/>
      <c r="I26531" s="676"/>
      <c r="J26531" s="770"/>
    </row>
    <row r="26532" spans="8:10" x14ac:dyDescent="0.35">
      <c r="H26532" s="676"/>
      <c r="I26532" s="676"/>
      <c r="J26532" s="770"/>
    </row>
    <row r="26533" spans="8:10" x14ac:dyDescent="0.35">
      <c r="H26533" s="676"/>
      <c r="I26533" s="676"/>
      <c r="J26533" s="770"/>
    </row>
    <row r="26534" spans="8:10" x14ac:dyDescent="0.35">
      <c r="H26534" s="676"/>
      <c r="I26534" s="676"/>
      <c r="J26534" s="770"/>
    </row>
    <row r="26535" spans="8:10" x14ac:dyDescent="0.35">
      <c r="H26535" s="676"/>
      <c r="I26535" s="676"/>
      <c r="J26535" s="770"/>
    </row>
    <row r="26536" spans="8:10" x14ac:dyDescent="0.35">
      <c r="H26536" s="676"/>
      <c r="I26536" s="676"/>
      <c r="J26536" s="770"/>
    </row>
    <row r="26537" spans="8:10" x14ac:dyDescent="0.35">
      <c r="H26537" s="676"/>
      <c r="I26537" s="676"/>
      <c r="J26537" s="770"/>
    </row>
    <row r="26538" spans="8:10" x14ac:dyDescent="0.35">
      <c r="H26538" s="676"/>
      <c r="I26538" s="676"/>
      <c r="J26538" s="770"/>
    </row>
    <row r="26539" spans="8:10" x14ac:dyDescent="0.35">
      <c r="H26539" s="676"/>
      <c r="I26539" s="676"/>
      <c r="J26539" s="770"/>
    </row>
    <row r="26540" spans="8:10" x14ac:dyDescent="0.35">
      <c r="H26540" s="676"/>
      <c r="I26540" s="676"/>
      <c r="J26540" s="770"/>
    </row>
    <row r="26541" spans="8:10" x14ac:dyDescent="0.35">
      <c r="H26541" s="676"/>
      <c r="I26541" s="676"/>
      <c r="J26541" s="770"/>
    </row>
    <row r="26542" spans="8:10" x14ac:dyDescent="0.35">
      <c r="H26542" s="676"/>
      <c r="I26542" s="676"/>
      <c r="J26542" s="770"/>
    </row>
    <row r="26543" spans="8:10" x14ac:dyDescent="0.35">
      <c r="H26543" s="676"/>
      <c r="I26543" s="676"/>
      <c r="J26543" s="770"/>
    </row>
    <row r="26544" spans="8:10" x14ac:dyDescent="0.35">
      <c r="H26544" s="676"/>
      <c r="I26544" s="676"/>
      <c r="J26544" s="770"/>
    </row>
    <row r="26545" spans="8:10" x14ac:dyDescent="0.35">
      <c r="H26545" s="676"/>
      <c r="I26545" s="676"/>
      <c r="J26545" s="770"/>
    </row>
    <row r="26546" spans="8:10" x14ac:dyDescent="0.35">
      <c r="H26546" s="676"/>
      <c r="I26546" s="676"/>
      <c r="J26546" s="770"/>
    </row>
    <row r="26547" spans="8:10" x14ac:dyDescent="0.35">
      <c r="H26547" s="676"/>
      <c r="I26547" s="676"/>
      <c r="J26547" s="770"/>
    </row>
    <row r="26548" spans="8:10" x14ac:dyDescent="0.35">
      <c r="H26548" s="676"/>
      <c r="I26548" s="676"/>
      <c r="J26548" s="770"/>
    </row>
    <row r="26549" spans="8:10" x14ac:dyDescent="0.35">
      <c r="H26549" s="676"/>
      <c r="I26549" s="676"/>
      <c r="J26549" s="770"/>
    </row>
    <row r="26550" spans="8:10" x14ac:dyDescent="0.35">
      <c r="H26550" s="676"/>
      <c r="I26550" s="676"/>
      <c r="J26550" s="770"/>
    </row>
    <row r="26551" spans="8:10" x14ac:dyDescent="0.35">
      <c r="H26551" s="676"/>
      <c r="I26551" s="676"/>
      <c r="J26551" s="770"/>
    </row>
    <row r="26552" spans="8:10" x14ac:dyDescent="0.35">
      <c r="H26552" s="676"/>
      <c r="I26552" s="676"/>
      <c r="J26552" s="770"/>
    </row>
    <row r="26553" spans="8:10" x14ac:dyDescent="0.35">
      <c r="H26553" s="676"/>
      <c r="I26553" s="676"/>
      <c r="J26553" s="770"/>
    </row>
    <row r="26554" spans="8:10" x14ac:dyDescent="0.35">
      <c r="H26554" s="676"/>
      <c r="I26554" s="676"/>
      <c r="J26554" s="770"/>
    </row>
    <row r="26555" spans="8:10" x14ac:dyDescent="0.35">
      <c r="H26555" s="676"/>
      <c r="I26555" s="676"/>
      <c r="J26555" s="770"/>
    </row>
    <row r="26556" spans="8:10" x14ac:dyDescent="0.35">
      <c r="H26556" s="676"/>
      <c r="I26556" s="676"/>
      <c r="J26556" s="770"/>
    </row>
    <row r="26557" spans="8:10" x14ac:dyDescent="0.35">
      <c r="H26557" s="676"/>
      <c r="I26557" s="676"/>
      <c r="J26557" s="770"/>
    </row>
    <row r="26558" spans="8:10" x14ac:dyDescent="0.35">
      <c r="H26558" s="676"/>
      <c r="I26558" s="676"/>
      <c r="J26558" s="770"/>
    </row>
    <row r="26559" spans="8:10" x14ac:dyDescent="0.35">
      <c r="H26559" s="676"/>
      <c r="I26559" s="676"/>
      <c r="J26559" s="770"/>
    </row>
    <row r="26560" spans="8:10" x14ac:dyDescent="0.35">
      <c r="H26560" s="676"/>
      <c r="I26560" s="676"/>
      <c r="J26560" s="770"/>
    </row>
    <row r="26561" spans="8:10" x14ac:dyDescent="0.35">
      <c r="H26561" s="676"/>
      <c r="I26561" s="676"/>
      <c r="J26561" s="770"/>
    </row>
    <row r="26562" spans="8:10" x14ac:dyDescent="0.35">
      <c r="H26562" s="676"/>
      <c r="I26562" s="676"/>
      <c r="J26562" s="770"/>
    </row>
    <row r="26563" spans="8:10" x14ac:dyDescent="0.35">
      <c r="H26563" s="676"/>
      <c r="I26563" s="676"/>
      <c r="J26563" s="770"/>
    </row>
    <row r="26564" spans="8:10" x14ac:dyDescent="0.35">
      <c r="H26564" s="676"/>
      <c r="I26564" s="676"/>
      <c r="J26564" s="770"/>
    </row>
    <row r="26565" spans="8:10" x14ac:dyDescent="0.35">
      <c r="H26565" s="676"/>
      <c r="I26565" s="676"/>
      <c r="J26565" s="770"/>
    </row>
    <row r="26566" spans="8:10" x14ac:dyDescent="0.35">
      <c r="H26566" s="676"/>
      <c r="I26566" s="676"/>
      <c r="J26566" s="770"/>
    </row>
    <row r="26567" spans="8:10" x14ac:dyDescent="0.35">
      <c r="H26567" s="676"/>
      <c r="I26567" s="676"/>
      <c r="J26567" s="770"/>
    </row>
    <row r="26568" spans="8:10" x14ac:dyDescent="0.35">
      <c r="H26568" s="676"/>
      <c r="I26568" s="676"/>
      <c r="J26568" s="770"/>
    </row>
    <row r="26569" spans="8:10" x14ac:dyDescent="0.35">
      <c r="H26569" s="676"/>
      <c r="I26569" s="676"/>
      <c r="J26569" s="770"/>
    </row>
    <row r="26570" spans="8:10" x14ac:dyDescent="0.35">
      <c r="H26570" s="676"/>
      <c r="I26570" s="676"/>
      <c r="J26570" s="770"/>
    </row>
    <row r="26571" spans="8:10" x14ac:dyDescent="0.35">
      <c r="H26571" s="676"/>
      <c r="I26571" s="676"/>
      <c r="J26571" s="770"/>
    </row>
    <row r="26572" spans="8:10" x14ac:dyDescent="0.35">
      <c r="H26572" s="676"/>
      <c r="I26572" s="676"/>
      <c r="J26572" s="770"/>
    </row>
    <row r="26573" spans="8:10" x14ac:dyDescent="0.35">
      <c r="H26573" s="676"/>
      <c r="I26573" s="676"/>
      <c r="J26573" s="770"/>
    </row>
    <row r="26574" spans="8:10" x14ac:dyDescent="0.35">
      <c r="H26574" s="676"/>
      <c r="I26574" s="676"/>
      <c r="J26574" s="770"/>
    </row>
    <row r="26575" spans="8:10" x14ac:dyDescent="0.35">
      <c r="H26575" s="676"/>
      <c r="I26575" s="676"/>
      <c r="J26575" s="770"/>
    </row>
    <row r="26576" spans="8:10" x14ac:dyDescent="0.35">
      <c r="H26576" s="676"/>
      <c r="I26576" s="676"/>
      <c r="J26576" s="770"/>
    </row>
    <row r="26577" spans="8:10" x14ac:dyDescent="0.35">
      <c r="H26577" s="676"/>
      <c r="I26577" s="676"/>
      <c r="J26577" s="770"/>
    </row>
    <row r="26578" spans="8:10" x14ac:dyDescent="0.35">
      <c r="H26578" s="676"/>
      <c r="I26578" s="676"/>
      <c r="J26578" s="770"/>
    </row>
    <row r="26579" spans="8:10" x14ac:dyDescent="0.35">
      <c r="H26579" s="676"/>
      <c r="I26579" s="676"/>
      <c r="J26579" s="770"/>
    </row>
    <row r="26580" spans="8:10" x14ac:dyDescent="0.35">
      <c r="H26580" s="676"/>
      <c r="I26580" s="676"/>
      <c r="J26580" s="770"/>
    </row>
    <row r="26581" spans="8:10" x14ac:dyDescent="0.35">
      <c r="H26581" s="676"/>
      <c r="I26581" s="676"/>
      <c r="J26581" s="770"/>
    </row>
    <row r="26582" spans="8:10" x14ac:dyDescent="0.35">
      <c r="H26582" s="676"/>
      <c r="I26582" s="676"/>
      <c r="J26582" s="770"/>
    </row>
    <row r="26583" spans="8:10" x14ac:dyDescent="0.35">
      <c r="H26583" s="676"/>
      <c r="I26583" s="676"/>
      <c r="J26583" s="770"/>
    </row>
    <row r="26584" spans="8:10" x14ac:dyDescent="0.35">
      <c r="H26584" s="676"/>
      <c r="I26584" s="676"/>
      <c r="J26584" s="770"/>
    </row>
    <row r="26585" spans="8:10" x14ac:dyDescent="0.35">
      <c r="H26585" s="676"/>
      <c r="I26585" s="676"/>
      <c r="J26585" s="770"/>
    </row>
    <row r="26586" spans="8:10" x14ac:dyDescent="0.35">
      <c r="H26586" s="676"/>
      <c r="I26586" s="676"/>
      <c r="J26586" s="770"/>
    </row>
    <row r="26587" spans="8:10" x14ac:dyDescent="0.35">
      <c r="H26587" s="676"/>
      <c r="I26587" s="676"/>
      <c r="J26587" s="770"/>
    </row>
    <row r="26588" spans="8:10" x14ac:dyDescent="0.35">
      <c r="H26588" s="676"/>
      <c r="I26588" s="676"/>
      <c r="J26588" s="770"/>
    </row>
    <row r="26589" spans="8:10" x14ac:dyDescent="0.35">
      <c r="H26589" s="676"/>
      <c r="I26589" s="676"/>
      <c r="J26589" s="770"/>
    </row>
    <row r="26590" spans="8:10" x14ac:dyDescent="0.35">
      <c r="H26590" s="676"/>
      <c r="I26590" s="676"/>
      <c r="J26590" s="770"/>
    </row>
    <row r="26591" spans="8:10" x14ac:dyDescent="0.35">
      <c r="H26591" s="676"/>
      <c r="I26591" s="676"/>
      <c r="J26591" s="770"/>
    </row>
    <row r="26592" spans="8:10" x14ac:dyDescent="0.35">
      <c r="H26592" s="676"/>
      <c r="I26592" s="676"/>
      <c r="J26592" s="770"/>
    </row>
    <row r="26593" spans="8:10" x14ac:dyDescent="0.35">
      <c r="H26593" s="676"/>
      <c r="I26593" s="676"/>
      <c r="J26593" s="770"/>
    </row>
    <row r="26594" spans="8:10" x14ac:dyDescent="0.35">
      <c r="H26594" s="676"/>
      <c r="I26594" s="676"/>
      <c r="J26594" s="770"/>
    </row>
    <row r="26595" spans="8:10" x14ac:dyDescent="0.35">
      <c r="H26595" s="676"/>
      <c r="I26595" s="676"/>
      <c r="J26595" s="770"/>
    </row>
    <row r="26596" spans="8:10" x14ac:dyDescent="0.35">
      <c r="H26596" s="676"/>
      <c r="I26596" s="676"/>
      <c r="J26596" s="770"/>
    </row>
    <row r="26597" spans="8:10" x14ac:dyDescent="0.35">
      <c r="H26597" s="676"/>
      <c r="I26597" s="676"/>
      <c r="J26597" s="770"/>
    </row>
    <row r="26598" spans="8:10" x14ac:dyDescent="0.35">
      <c r="H26598" s="676"/>
      <c r="I26598" s="676"/>
      <c r="J26598" s="770"/>
    </row>
    <row r="26599" spans="8:10" x14ac:dyDescent="0.35">
      <c r="H26599" s="676"/>
      <c r="I26599" s="676"/>
      <c r="J26599" s="770"/>
    </row>
    <row r="26600" spans="8:10" x14ac:dyDescent="0.35">
      <c r="H26600" s="676"/>
      <c r="I26600" s="676"/>
      <c r="J26600" s="770"/>
    </row>
    <row r="26601" spans="8:10" x14ac:dyDescent="0.35">
      <c r="H26601" s="676"/>
      <c r="I26601" s="676"/>
      <c r="J26601" s="770"/>
    </row>
    <row r="26602" spans="8:10" x14ac:dyDescent="0.35">
      <c r="H26602" s="676"/>
      <c r="I26602" s="676"/>
      <c r="J26602" s="770"/>
    </row>
    <row r="26603" spans="8:10" x14ac:dyDescent="0.35">
      <c r="H26603" s="676"/>
      <c r="I26603" s="676"/>
      <c r="J26603" s="770"/>
    </row>
    <row r="26604" spans="8:10" x14ac:dyDescent="0.35">
      <c r="H26604" s="676"/>
      <c r="I26604" s="676"/>
      <c r="J26604" s="770"/>
    </row>
    <row r="26605" spans="8:10" x14ac:dyDescent="0.35">
      <c r="H26605" s="676"/>
      <c r="I26605" s="676"/>
      <c r="J26605" s="770"/>
    </row>
    <row r="26606" spans="8:10" x14ac:dyDescent="0.35">
      <c r="H26606" s="676"/>
      <c r="I26606" s="676"/>
      <c r="J26606" s="770"/>
    </row>
    <row r="26607" spans="8:10" x14ac:dyDescent="0.35">
      <c r="H26607" s="676"/>
      <c r="I26607" s="676"/>
      <c r="J26607" s="770"/>
    </row>
    <row r="26608" spans="8:10" x14ac:dyDescent="0.35">
      <c r="H26608" s="676"/>
      <c r="I26608" s="676"/>
      <c r="J26608" s="770"/>
    </row>
    <row r="26609" spans="8:10" x14ac:dyDescent="0.35">
      <c r="H26609" s="676"/>
      <c r="I26609" s="676"/>
      <c r="J26609" s="770"/>
    </row>
    <row r="26610" spans="8:10" x14ac:dyDescent="0.35">
      <c r="H26610" s="676"/>
      <c r="I26610" s="676"/>
      <c r="J26610" s="770"/>
    </row>
    <row r="26611" spans="8:10" x14ac:dyDescent="0.35">
      <c r="H26611" s="676"/>
      <c r="I26611" s="676"/>
      <c r="J26611" s="770"/>
    </row>
    <row r="26612" spans="8:10" x14ac:dyDescent="0.35">
      <c r="H26612" s="676"/>
      <c r="I26612" s="676"/>
      <c r="J26612" s="770"/>
    </row>
    <row r="26613" spans="8:10" x14ac:dyDescent="0.35">
      <c r="H26613" s="676"/>
      <c r="I26613" s="676"/>
      <c r="J26613" s="770"/>
    </row>
    <row r="26614" spans="8:10" x14ac:dyDescent="0.35">
      <c r="H26614" s="676"/>
      <c r="I26614" s="676"/>
      <c r="J26614" s="770"/>
    </row>
    <row r="26615" spans="8:10" x14ac:dyDescent="0.35">
      <c r="H26615" s="676"/>
      <c r="I26615" s="676"/>
      <c r="J26615" s="770"/>
    </row>
    <row r="26616" spans="8:10" x14ac:dyDescent="0.35">
      <c r="H26616" s="676"/>
      <c r="I26616" s="676"/>
      <c r="J26616" s="770"/>
    </row>
    <row r="26617" spans="8:10" x14ac:dyDescent="0.35">
      <c r="H26617" s="676"/>
      <c r="I26617" s="676"/>
      <c r="J26617" s="770"/>
    </row>
    <row r="26618" spans="8:10" x14ac:dyDescent="0.35">
      <c r="H26618" s="676"/>
      <c r="I26618" s="676"/>
      <c r="J26618" s="770"/>
    </row>
    <row r="26619" spans="8:10" x14ac:dyDescent="0.35">
      <c r="H26619" s="676"/>
      <c r="I26619" s="676"/>
      <c r="J26619" s="770"/>
    </row>
    <row r="26620" spans="8:10" x14ac:dyDescent="0.35">
      <c r="H26620" s="676"/>
      <c r="I26620" s="676"/>
      <c r="J26620" s="770"/>
    </row>
    <row r="26621" spans="8:10" x14ac:dyDescent="0.35">
      <c r="H26621" s="676"/>
      <c r="I26621" s="676"/>
      <c r="J26621" s="770"/>
    </row>
    <row r="26622" spans="8:10" x14ac:dyDescent="0.35">
      <c r="H26622" s="676"/>
      <c r="I26622" s="676"/>
      <c r="J26622" s="770"/>
    </row>
    <row r="26623" spans="8:10" x14ac:dyDescent="0.35">
      <c r="H26623" s="676"/>
      <c r="I26623" s="676"/>
      <c r="J26623" s="770"/>
    </row>
    <row r="26624" spans="8:10" x14ac:dyDescent="0.35">
      <c r="H26624" s="676"/>
      <c r="I26624" s="676"/>
      <c r="J26624" s="770"/>
    </row>
    <row r="26625" spans="8:10" x14ac:dyDescent="0.35">
      <c r="H26625" s="676"/>
      <c r="I26625" s="676"/>
      <c r="J26625" s="770"/>
    </row>
    <row r="26626" spans="8:10" x14ac:dyDescent="0.35">
      <c r="H26626" s="676"/>
      <c r="I26626" s="676"/>
      <c r="J26626" s="770"/>
    </row>
    <row r="26627" spans="8:10" x14ac:dyDescent="0.35">
      <c r="H26627" s="676"/>
      <c r="I26627" s="676"/>
      <c r="J26627" s="770"/>
    </row>
    <row r="26628" spans="8:10" x14ac:dyDescent="0.35">
      <c r="H26628" s="676"/>
      <c r="I26628" s="676"/>
      <c r="J26628" s="770"/>
    </row>
    <row r="26629" spans="8:10" x14ac:dyDescent="0.35">
      <c r="H26629" s="676"/>
      <c r="I26629" s="676"/>
      <c r="J26629" s="770"/>
    </row>
    <row r="26630" spans="8:10" x14ac:dyDescent="0.35">
      <c r="H26630" s="676"/>
      <c r="I26630" s="676"/>
      <c r="J26630" s="770"/>
    </row>
    <row r="26631" spans="8:10" x14ac:dyDescent="0.35">
      <c r="H26631" s="676"/>
      <c r="I26631" s="676"/>
      <c r="J26631" s="770"/>
    </row>
    <row r="26632" spans="8:10" x14ac:dyDescent="0.35">
      <c r="H26632" s="676"/>
      <c r="I26632" s="676"/>
      <c r="J26632" s="770"/>
    </row>
    <row r="26633" spans="8:10" x14ac:dyDescent="0.35">
      <c r="H26633" s="676"/>
      <c r="I26633" s="676"/>
      <c r="J26633" s="770"/>
    </row>
    <row r="26634" spans="8:10" x14ac:dyDescent="0.35">
      <c r="H26634" s="676"/>
      <c r="I26634" s="676"/>
      <c r="J26634" s="770"/>
    </row>
    <row r="26635" spans="8:10" x14ac:dyDescent="0.35">
      <c r="H26635" s="676"/>
      <c r="I26635" s="676"/>
      <c r="J26635" s="770"/>
    </row>
    <row r="26636" spans="8:10" x14ac:dyDescent="0.35">
      <c r="H26636" s="676"/>
      <c r="I26636" s="676"/>
      <c r="J26636" s="770"/>
    </row>
    <row r="26637" spans="8:10" x14ac:dyDescent="0.35">
      <c r="H26637" s="676"/>
      <c r="I26637" s="676"/>
      <c r="J26637" s="770"/>
    </row>
    <row r="26638" spans="8:10" x14ac:dyDescent="0.35">
      <c r="H26638" s="676"/>
      <c r="I26638" s="676"/>
      <c r="J26638" s="770"/>
    </row>
    <row r="26639" spans="8:10" x14ac:dyDescent="0.35">
      <c r="H26639" s="676"/>
      <c r="I26639" s="676"/>
      <c r="J26639" s="770"/>
    </row>
    <row r="26640" spans="8:10" x14ac:dyDescent="0.35">
      <c r="H26640" s="676"/>
      <c r="I26640" s="676"/>
      <c r="J26640" s="770"/>
    </row>
    <row r="26641" spans="1:17" x14ac:dyDescent="0.35">
      <c r="H26641" s="676"/>
      <c r="I26641" s="676"/>
      <c r="J26641" s="770"/>
    </row>
    <row r="26642" spans="1:17" x14ac:dyDescent="0.35">
      <c r="H26642" s="676"/>
      <c r="I26642" s="676"/>
      <c r="J26642" s="770"/>
    </row>
    <row r="26643" spans="1:17" x14ac:dyDescent="0.35">
      <c r="H26643" s="676"/>
      <c r="I26643" s="676"/>
      <c r="J26643" s="770"/>
    </row>
    <row r="26644" spans="1:17" x14ac:dyDescent="0.35">
      <c r="H26644" s="676"/>
      <c r="I26644" s="676"/>
      <c r="J26644" s="770"/>
    </row>
    <row r="26645" spans="1:17" x14ac:dyDescent="0.35">
      <c r="H26645" s="676"/>
      <c r="I26645" s="676"/>
      <c r="J26645" s="770"/>
    </row>
    <row r="26646" spans="1:17" x14ac:dyDescent="0.35">
      <c r="H26646" s="676"/>
      <c r="I26646" s="676"/>
      <c r="J26646" s="770"/>
    </row>
    <row r="26647" spans="1:17" x14ac:dyDescent="0.35">
      <c r="H26647" s="676"/>
      <c r="I26647" s="676"/>
      <c r="J26647" s="770"/>
    </row>
    <row r="26648" spans="1:17" x14ac:dyDescent="0.35">
      <c r="H26648" s="676"/>
      <c r="I26648" s="676"/>
      <c r="J26648" s="770"/>
    </row>
    <row r="26649" spans="1:17" x14ac:dyDescent="0.35">
      <c r="H26649" s="676"/>
      <c r="I26649" s="676"/>
      <c r="J26649" s="770"/>
    </row>
    <row r="26650" spans="1:17" x14ac:dyDescent="0.35">
      <c r="H26650" s="676"/>
      <c r="I26650" s="676"/>
      <c r="J26650" s="770"/>
    </row>
    <row r="26651" spans="1:17" s="127" customFormat="1" x14ac:dyDescent="0.35">
      <c r="A26651" s="33"/>
      <c r="B26651" s="33"/>
      <c r="C26651" s="33"/>
      <c r="D26651" s="33"/>
      <c r="E26651" s="33"/>
      <c r="F26651" s="33"/>
      <c r="G26651" s="33"/>
      <c r="H26651" s="676"/>
      <c r="I26651" s="676"/>
      <c r="J26651" s="770"/>
      <c r="K26651" s="33"/>
      <c r="L26651" s="33"/>
      <c r="M26651" s="33"/>
      <c r="N26651" s="33"/>
      <c r="O26651" s="33"/>
      <c r="P26651" s="33"/>
      <c r="Q26651" s="33"/>
    </row>
    <row r="26652" spans="1:17" x14ac:dyDescent="0.35">
      <c r="H26652" s="676"/>
      <c r="I26652" s="676"/>
      <c r="J26652" s="770"/>
    </row>
    <row r="26653" spans="1:17" x14ac:dyDescent="0.35">
      <c r="H26653" s="676"/>
      <c r="I26653" s="676"/>
      <c r="J26653" s="770"/>
    </row>
    <row r="26654" spans="1:17" x14ac:dyDescent="0.35">
      <c r="H26654" s="676"/>
      <c r="I26654" s="676"/>
      <c r="J26654" s="770"/>
    </row>
    <row r="26655" spans="1:17" x14ac:dyDescent="0.35">
      <c r="H26655" s="676"/>
      <c r="I26655" s="676"/>
      <c r="J26655" s="770"/>
    </row>
    <row r="26656" spans="1:17" x14ac:dyDescent="0.35">
      <c r="H26656" s="676"/>
      <c r="I26656" s="676"/>
      <c r="J26656" s="770"/>
    </row>
    <row r="26657" spans="8:10" x14ac:dyDescent="0.35">
      <c r="H26657" s="676"/>
      <c r="I26657" s="676"/>
      <c r="J26657" s="770"/>
    </row>
    <row r="26658" spans="8:10" x14ac:dyDescent="0.35">
      <c r="H26658" s="676"/>
      <c r="I26658" s="676"/>
      <c r="J26658" s="770"/>
    </row>
    <row r="26659" spans="8:10" x14ac:dyDescent="0.35">
      <c r="H26659" s="676"/>
      <c r="I26659" s="676"/>
      <c r="J26659" s="770"/>
    </row>
    <row r="26660" spans="8:10" x14ac:dyDescent="0.35">
      <c r="H26660" s="676"/>
      <c r="I26660" s="676"/>
      <c r="J26660" s="770"/>
    </row>
    <row r="26661" spans="8:10" x14ac:dyDescent="0.35">
      <c r="H26661" s="676"/>
      <c r="I26661" s="676"/>
      <c r="J26661" s="770"/>
    </row>
    <row r="26662" spans="8:10" x14ac:dyDescent="0.35">
      <c r="H26662" s="676"/>
      <c r="I26662" s="676"/>
      <c r="J26662" s="770"/>
    </row>
    <row r="26663" spans="8:10" x14ac:dyDescent="0.35">
      <c r="H26663" s="676"/>
      <c r="I26663" s="676"/>
      <c r="J26663" s="770"/>
    </row>
    <row r="26664" spans="8:10" x14ac:dyDescent="0.35">
      <c r="H26664" s="676"/>
      <c r="I26664" s="676"/>
      <c r="J26664" s="770"/>
    </row>
    <row r="26665" spans="8:10" x14ac:dyDescent="0.35">
      <c r="H26665" s="676"/>
      <c r="I26665" s="676"/>
      <c r="J26665" s="770"/>
    </row>
    <row r="26666" spans="8:10" x14ac:dyDescent="0.35">
      <c r="H26666" s="676"/>
      <c r="I26666" s="676"/>
      <c r="J26666" s="770"/>
    </row>
    <row r="26667" spans="8:10" x14ac:dyDescent="0.35">
      <c r="H26667" s="676"/>
      <c r="I26667" s="676"/>
      <c r="J26667" s="770"/>
    </row>
    <row r="26668" spans="8:10" x14ac:dyDescent="0.35">
      <c r="H26668" s="676"/>
      <c r="I26668" s="676"/>
      <c r="J26668" s="770"/>
    </row>
    <row r="26669" spans="8:10" x14ac:dyDescent="0.35">
      <c r="H26669" s="676"/>
      <c r="I26669" s="676"/>
      <c r="J26669" s="770"/>
    </row>
    <row r="26670" spans="8:10" x14ac:dyDescent="0.35">
      <c r="H26670" s="676"/>
      <c r="I26670" s="676"/>
      <c r="J26670" s="770"/>
    </row>
    <row r="26671" spans="8:10" x14ac:dyDescent="0.35">
      <c r="H26671" s="676"/>
      <c r="I26671" s="676"/>
      <c r="J26671" s="770"/>
    </row>
    <row r="26672" spans="8:10" x14ac:dyDescent="0.35">
      <c r="H26672" s="676"/>
      <c r="I26672" s="676"/>
      <c r="J26672" s="770"/>
    </row>
    <row r="26673" spans="8:10" x14ac:dyDescent="0.35">
      <c r="H26673" s="676"/>
      <c r="I26673" s="676"/>
      <c r="J26673" s="770"/>
    </row>
    <row r="26674" spans="8:10" x14ac:dyDescent="0.35">
      <c r="H26674" s="676"/>
      <c r="I26674" s="676"/>
      <c r="J26674" s="770"/>
    </row>
    <row r="26675" spans="8:10" x14ac:dyDescent="0.35">
      <c r="H26675" s="676"/>
      <c r="I26675" s="676"/>
      <c r="J26675" s="770"/>
    </row>
    <row r="26676" spans="8:10" x14ac:dyDescent="0.35">
      <c r="H26676" s="676"/>
      <c r="I26676" s="676"/>
      <c r="J26676" s="770"/>
    </row>
    <row r="26677" spans="8:10" x14ac:dyDescent="0.35">
      <c r="H26677" s="676"/>
      <c r="I26677" s="676"/>
      <c r="J26677" s="770"/>
    </row>
    <row r="26678" spans="8:10" x14ac:dyDescent="0.35">
      <c r="H26678" s="676"/>
      <c r="I26678" s="676"/>
      <c r="J26678" s="770"/>
    </row>
    <row r="26679" spans="8:10" x14ac:dyDescent="0.35">
      <c r="H26679" s="676"/>
      <c r="I26679" s="676"/>
      <c r="J26679" s="770"/>
    </row>
    <row r="26680" spans="8:10" x14ac:dyDescent="0.35">
      <c r="H26680" s="676"/>
      <c r="I26680" s="676"/>
      <c r="J26680" s="770"/>
    </row>
    <row r="26681" spans="8:10" x14ac:dyDescent="0.35">
      <c r="H26681" s="676"/>
      <c r="I26681" s="676"/>
      <c r="J26681" s="770"/>
    </row>
    <row r="26682" spans="8:10" x14ac:dyDescent="0.35">
      <c r="H26682" s="676"/>
      <c r="I26682" s="676"/>
      <c r="J26682" s="770"/>
    </row>
    <row r="26683" spans="8:10" x14ac:dyDescent="0.35">
      <c r="H26683" s="676"/>
      <c r="I26683" s="676"/>
      <c r="J26683" s="770"/>
    </row>
    <row r="26684" spans="8:10" x14ac:dyDescent="0.35">
      <c r="H26684" s="676"/>
      <c r="I26684" s="676"/>
      <c r="J26684" s="770"/>
    </row>
    <row r="26685" spans="8:10" x14ac:dyDescent="0.35">
      <c r="H26685" s="676"/>
      <c r="I26685" s="676"/>
      <c r="J26685" s="770"/>
    </row>
    <row r="26686" spans="8:10" x14ac:dyDescent="0.35">
      <c r="H26686" s="676"/>
      <c r="I26686" s="676"/>
      <c r="J26686" s="770"/>
    </row>
    <row r="26687" spans="8:10" x14ac:dyDescent="0.35">
      <c r="H26687" s="676"/>
      <c r="I26687" s="676"/>
      <c r="J26687" s="770"/>
    </row>
    <row r="26688" spans="8:10" x14ac:dyDescent="0.35">
      <c r="H26688" s="676"/>
      <c r="I26688" s="676"/>
      <c r="J26688" s="770"/>
    </row>
    <row r="26689" spans="8:10" x14ac:dyDescent="0.35">
      <c r="H26689" s="676"/>
      <c r="I26689" s="676"/>
      <c r="J26689" s="770"/>
    </row>
    <row r="26690" spans="8:10" x14ac:dyDescent="0.35">
      <c r="H26690" s="676"/>
      <c r="I26690" s="676"/>
      <c r="J26690" s="770"/>
    </row>
    <row r="26691" spans="8:10" x14ac:dyDescent="0.35">
      <c r="H26691" s="676"/>
      <c r="I26691" s="676"/>
      <c r="J26691" s="770"/>
    </row>
    <row r="26692" spans="8:10" x14ac:dyDescent="0.35">
      <c r="H26692" s="676"/>
      <c r="I26692" s="676"/>
      <c r="J26692" s="770"/>
    </row>
    <row r="26693" spans="8:10" x14ac:dyDescent="0.35">
      <c r="H26693" s="676"/>
      <c r="I26693" s="676"/>
      <c r="J26693" s="770"/>
    </row>
    <row r="26694" spans="8:10" x14ac:dyDescent="0.35">
      <c r="H26694" s="676"/>
      <c r="I26694" s="676"/>
      <c r="J26694" s="770"/>
    </row>
    <row r="26695" spans="8:10" x14ac:dyDescent="0.35">
      <c r="H26695" s="676"/>
      <c r="I26695" s="676"/>
      <c r="J26695" s="770"/>
    </row>
    <row r="26696" spans="8:10" x14ac:dyDescent="0.35">
      <c r="H26696" s="676"/>
      <c r="I26696" s="676"/>
      <c r="J26696" s="770"/>
    </row>
    <row r="26697" spans="8:10" x14ac:dyDescent="0.35">
      <c r="H26697" s="676"/>
      <c r="I26697" s="676"/>
      <c r="J26697" s="770"/>
    </row>
    <row r="26698" spans="8:10" x14ac:dyDescent="0.35">
      <c r="H26698" s="676"/>
      <c r="I26698" s="676"/>
      <c r="J26698" s="770"/>
    </row>
    <row r="26699" spans="8:10" x14ac:dyDescent="0.35">
      <c r="H26699" s="676"/>
      <c r="I26699" s="676"/>
      <c r="J26699" s="770"/>
    </row>
    <row r="26700" spans="8:10" x14ac:dyDescent="0.35">
      <c r="H26700" s="676"/>
      <c r="I26700" s="676"/>
      <c r="J26700" s="770"/>
    </row>
    <row r="26701" spans="8:10" x14ac:dyDescent="0.35">
      <c r="H26701" s="676"/>
      <c r="I26701" s="676"/>
      <c r="J26701" s="770"/>
    </row>
    <row r="26702" spans="8:10" x14ac:dyDescent="0.35">
      <c r="H26702" s="676"/>
      <c r="I26702" s="676"/>
      <c r="J26702" s="770"/>
    </row>
    <row r="26703" spans="8:10" x14ac:dyDescent="0.35">
      <c r="H26703" s="676"/>
      <c r="I26703" s="676"/>
      <c r="J26703" s="770"/>
    </row>
    <row r="26704" spans="8:10" x14ac:dyDescent="0.35">
      <c r="H26704" s="676"/>
      <c r="I26704" s="676"/>
      <c r="J26704" s="770"/>
    </row>
    <row r="26705" spans="8:10" x14ac:dyDescent="0.35">
      <c r="H26705" s="676"/>
      <c r="I26705" s="676"/>
      <c r="J26705" s="770"/>
    </row>
    <row r="26706" spans="8:10" x14ac:dyDescent="0.35">
      <c r="H26706" s="676"/>
      <c r="I26706" s="676"/>
      <c r="J26706" s="770"/>
    </row>
    <row r="26707" spans="8:10" x14ac:dyDescent="0.35">
      <c r="H26707" s="676"/>
      <c r="I26707" s="676"/>
      <c r="J26707" s="770"/>
    </row>
    <row r="26708" spans="8:10" x14ac:dyDescent="0.35">
      <c r="H26708" s="676"/>
      <c r="I26708" s="676"/>
      <c r="J26708" s="770"/>
    </row>
    <row r="26709" spans="8:10" x14ac:dyDescent="0.35">
      <c r="H26709" s="676"/>
      <c r="I26709" s="676"/>
      <c r="J26709" s="770"/>
    </row>
    <row r="26710" spans="8:10" x14ac:dyDescent="0.35">
      <c r="H26710" s="676"/>
      <c r="I26710" s="676"/>
      <c r="J26710" s="770"/>
    </row>
    <row r="26711" spans="8:10" x14ac:dyDescent="0.35">
      <c r="H26711" s="676"/>
      <c r="I26711" s="676"/>
      <c r="J26711" s="770"/>
    </row>
    <row r="26712" spans="8:10" x14ac:dyDescent="0.35">
      <c r="H26712" s="676"/>
      <c r="I26712" s="676"/>
      <c r="J26712" s="770"/>
    </row>
    <row r="26713" spans="8:10" x14ac:dyDescent="0.35">
      <c r="H26713" s="676"/>
      <c r="I26713" s="676"/>
      <c r="J26713" s="770"/>
    </row>
    <row r="26714" spans="8:10" x14ac:dyDescent="0.35">
      <c r="H26714" s="676"/>
      <c r="I26714" s="676"/>
      <c r="J26714" s="770"/>
    </row>
    <row r="26715" spans="8:10" x14ac:dyDescent="0.35">
      <c r="H26715" s="676"/>
      <c r="I26715" s="676"/>
      <c r="J26715" s="770"/>
    </row>
    <row r="26716" spans="8:10" x14ac:dyDescent="0.35">
      <c r="H26716" s="676"/>
      <c r="I26716" s="676"/>
      <c r="J26716" s="770"/>
    </row>
    <row r="26717" spans="8:10" x14ac:dyDescent="0.35">
      <c r="H26717" s="676"/>
      <c r="I26717" s="676"/>
      <c r="J26717" s="770"/>
    </row>
    <row r="26718" spans="8:10" x14ac:dyDescent="0.35">
      <c r="H26718" s="676"/>
      <c r="I26718" s="676"/>
      <c r="J26718" s="770"/>
    </row>
    <row r="26719" spans="8:10" x14ac:dyDescent="0.35">
      <c r="H26719" s="676"/>
      <c r="I26719" s="676"/>
      <c r="J26719" s="770"/>
    </row>
    <row r="26720" spans="8:10" x14ac:dyDescent="0.35">
      <c r="H26720" s="676"/>
      <c r="I26720" s="676"/>
      <c r="J26720" s="770"/>
    </row>
    <row r="26721" spans="8:10" x14ac:dyDescent="0.35">
      <c r="H26721" s="676"/>
      <c r="I26721" s="676"/>
      <c r="J26721" s="770"/>
    </row>
    <row r="26722" spans="8:10" x14ac:dyDescent="0.35">
      <c r="H26722" s="676"/>
      <c r="I26722" s="676"/>
      <c r="J26722" s="770"/>
    </row>
    <row r="26723" spans="8:10" x14ac:dyDescent="0.35">
      <c r="H26723" s="676"/>
      <c r="I26723" s="676"/>
      <c r="J26723" s="770"/>
    </row>
    <row r="26724" spans="8:10" x14ac:dyDescent="0.35">
      <c r="H26724" s="676"/>
      <c r="I26724" s="676"/>
      <c r="J26724" s="770"/>
    </row>
    <row r="26725" spans="8:10" x14ac:dyDescent="0.35">
      <c r="H26725" s="676"/>
      <c r="I26725" s="676"/>
      <c r="J26725" s="770"/>
    </row>
    <row r="26726" spans="8:10" x14ac:dyDescent="0.35">
      <c r="H26726" s="676"/>
      <c r="I26726" s="676"/>
      <c r="J26726" s="770"/>
    </row>
    <row r="26727" spans="8:10" x14ac:dyDescent="0.35">
      <c r="H26727" s="676"/>
      <c r="I26727" s="676"/>
      <c r="J26727" s="770"/>
    </row>
    <row r="26728" spans="8:10" x14ac:dyDescent="0.35">
      <c r="H26728" s="676"/>
      <c r="I26728" s="676"/>
      <c r="J26728" s="770"/>
    </row>
    <row r="26729" spans="8:10" x14ac:dyDescent="0.35">
      <c r="H26729" s="676"/>
      <c r="I26729" s="676"/>
      <c r="J26729" s="770"/>
    </row>
    <row r="26730" spans="8:10" x14ac:dyDescent="0.35">
      <c r="H26730" s="676"/>
      <c r="I26730" s="676"/>
      <c r="J26730" s="770"/>
    </row>
    <row r="26731" spans="8:10" x14ac:dyDescent="0.35">
      <c r="H26731" s="676"/>
      <c r="I26731" s="676"/>
      <c r="J26731" s="770"/>
    </row>
    <row r="26732" spans="8:10" x14ac:dyDescent="0.35">
      <c r="H26732" s="676"/>
      <c r="I26732" s="676"/>
      <c r="J26732" s="770"/>
    </row>
    <row r="26733" spans="8:10" x14ac:dyDescent="0.35">
      <c r="H26733" s="676"/>
      <c r="I26733" s="676"/>
      <c r="J26733" s="770"/>
    </row>
    <row r="26734" spans="8:10" x14ac:dyDescent="0.35">
      <c r="H26734" s="676"/>
      <c r="I26734" s="676"/>
      <c r="J26734" s="770"/>
    </row>
    <row r="26735" spans="8:10" x14ac:dyDescent="0.35">
      <c r="H26735" s="676"/>
      <c r="I26735" s="676"/>
      <c r="J26735" s="770"/>
    </row>
    <row r="26736" spans="8:10" x14ac:dyDescent="0.35">
      <c r="H26736" s="676"/>
      <c r="I26736" s="676"/>
      <c r="J26736" s="770"/>
    </row>
    <row r="26737" spans="8:10" x14ac:dyDescent="0.35">
      <c r="H26737" s="676"/>
      <c r="I26737" s="676"/>
      <c r="J26737" s="770"/>
    </row>
    <row r="26738" spans="8:10" x14ac:dyDescent="0.35">
      <c r="H26738" s="676"/>
      <c r="I26738" s="676"/>
      <c r="J26738" s="770"/>
    </row>
    <row r="26739" spans="8:10" x14ac:dyDescent="0.35">
      <c r="H26739" s="676"/>
      <c r="I26739" s="676"/>
      <c r="J26739" s="770"/>
    </row>
    <row r="26740" spans="8:10" x14ac:dyDescent="0.35">
      <c r="H26740" s="676"/>
      <c r="I26740" s="676"/>
      <c r="J26740" s="770"/>
    </row>
    <row r="26741" spans="8:10" x14ac:dyDescent="0.35">
      <c r="H26741" s="676"/>
      <c r="I26741" s="676"/>
      <c r="J26741" s="770"/>
    </row>
    <row r="26742" spans="8:10" x14ac:dyDescent="0.35">
      <c r="H26742" s="676"/>
      <c r="I26742" s="676"/>
      <c r="J26742" s="770"/>
    </row>
    <row r="26743" spans="8:10" x14ac:dyDescent="0.35">
      <c r="H26743" s="676"/>
      <c r="I26743" s="676"/>
      <c r="J26743" s="770"/>
    </row>
    <row r="26744" spans="8:10" x14ac:dyDescent="0.35">
      <c r="H26744" s="676"/>
      <c r="I26744" s="676"/>
      <c r="J26744" s="770"/>
    </row>
    <row r="26745" spans="8:10" x14ac:dyDescent="0.35">
      <c r="H26745" s="676"/>
      <c r="I26745" s="676"/>
      <c r="J26745" s="770"/>
    </row>
    <row r="26746" spans="8:10" x14ac:dyDescent="0.35">
      <c r="H26746" s="676"/>
      <c r="I26746" s="676"/>
      <c r="J26746" s="770"/>
    </row>
    <row r="26747" spans="8:10" x14ac:dyDescent="0.35">
      <c r="H26747" s="676"/>
      <c r="I26747" s="676"/>
      <c r="J26747" s="770"/>
    </row>
    <row r="26748" spans="8:10" x14ac:dyDescent="0.35">
      <c r="H26748" s="676"/>
      <c r="I26748" s="676"/>
      <c r="J26748" s="770"/>
    </row>
    <row r="26749" spans="8:10" x14ac:dyDescent="0.35">
      <c r="H26749" s="676"/>
      <c r="I26749" s="676"/>
      <c r="J26749" s="770"/>
    </row>
    <row r="26750" spans="8:10" x14ac:dyDescent="0.35">
      <c r="H26750" s="676"/>
      <c r="I26750" s="676"/>
      <c r="J26750" s="770"/>
    </row>
    <row r="26751" spans="8:10" x14ac:dyDescent="0.35">
      <c r="H26751" s="676"/>
      <c r="I26751" s="676"/>
      <c r="J26751" s="770"/>
    </row>
    <row r="26752" spans="8:10" x14ac:dyDescent="0.35">
      <c r="H26752" s="676"/>
      <c r="I26752" s="676"/>
      <c r="J26752" s="770"/>
    </row>
    <row r="26753" spans="8:10" x14ac:dyDescent="0.35">
      <c r="H26753" s="676"/>
      <c r="I26753" s="676"/>
      <c r="J26753" s="770"/>
    </row>
    <row r="26754" spans="8:10" x14ac:dyDescent="0.35">
      <c r="H26754" s="676"/>
      <c r="I26754" s="676"/>
      <c r="J26754" s="770"/>
    </row>
    <row r="26755" spans="8:10" x14ac:dyDescent="0.35">
      <c r="H26755" s="676"/>
      <c r="I26755" s="676"/>
      <c r="J26755" s="770"/>
    </row>
    <row r="26756" spans="8:10" x14ac:dyDescent="0.35">
      <c r="H26756" s="676"/>
      <c r="I26756" s="676"/>
      <c r="J26756" s="770"/>
    </row>
    <row r="26757" spans="8:10" x14ac:dyDescent="0.35">
      <c r="H26757" s="676"/>
      <c r="I26757" s="676"/>
      <c r="J26757" s="770"/>
    </row>
    <row r="26758" spans="8:10" x14ac:dyDescent="0.35">
      <c r="H26758" s="676"/>
      <c r="I26758" s="676"/>
      <c r="J26758" s="770"/>
    </row>
    <row r="26759" spans="8:10" x14ac:dyDescent="0.35">
      <c r="H26759" s="676"/>
      <c r="I26759" s="676"/>
      <c r="J26759" s="770"/>
    </row>
    <row r="26760" spans="8:10" x14ac:dyDescent="0.35">
      <c r="H26760" s="676"/>
      <c r="I26760" s="676"/>
      <c r="J26760" s="770"/>
    </row>
    <row r="26761" spans="8:10" x14ac:dyDescent="0.35">
      <c r="H26761" s="676"/>
      <c r="I26761" s="676"/>
      <c r="J26761" s="770"/>
    </row>
    <row r="26762" spans="8:10" x14ac:dyDescent="0.35">
      <c r="H26762" s="676"/>
      <c r="I26762" s="676"/>
      <c r="J26762" s="770"/>
    </row>
    <row r="26763" spans="8:10" x14ac:dyDescent="0.35">
      <c r="H26763" s="676"/>
      <c r="I26763" s="676"/>
      <c r="J26763" s="770"/>
    </row>
    <row r="26764" spans="8:10" x14ac:dyDescent="0.35">
      <c r="H26764" s="676"/>
      <c r="I26764" s="676"/>
      <c r="J26764" s="770"/>
    </row>
    <row r="26765" spans="8:10" x14ac:dyDescent="0.35">
      <c r="H26765" s="676"/>
      <c r="I26765" s="676"/>
      <c r="J26765" s="770"/>
    </row>
    <row r="26766" spans="8:10" x14ac:dyDescent="0.35">
      <c r="H26766" s="676"/>
      <c r="I26766" s="676"/>
      <c r="J26766" s="770"/>
    </row>
    <row r="26767" spans="8:10" x14ac:dyDescent="0.35">
      <c r="H26767" s="676"/>
      <c r="I26767" s="676"/>
      <c r="J26767" s="770"/>
    </row>
    <row r="26768" spans="8:10" x14ac:dyDescent="0.35">
      <c r="H26768" s="676"/>
      <c r="I26768" s="676"/>
      <c r="J26768" s="770"/>
    </row>
    <row r="26769" spans="8:10" x14ac:dyDescent="0.35">
      <c r="H26769" s="676"/>
      <c r="I26769" s="676"/>
      <c r="J26769" s="770"/>
    </row>
    <row r="26770" spans="8:10" x14ac:dyDescent="0.35">
      <c r="H26770" s="676"/>
      <c r="I26770" s="676"/>
      <c r="J26770" s="770"/>
    </row>
    <row r="26771" spans="8:10" x14ac:dyDescent="0.35">
      <c r="H26771" s="676"/>
      <c r="I26771" s="676"/>
      <c r="J26771" s="770"/>
    </row>
    <row r="26772" spans="8:10" x14ac:dyDescent="0.35">
      <c r="H26772" s="676"/>
      <c r="I26772" s="676"/>
      <c r="J26772" s="770"/>
    </row>
    <row r="26773" spans="8:10" x14ac:dyDescent="0.35">
      <c r="H26773" s="676"/>
      <c r="I26773" s="676"/>
      <c r="J26773" s="770"/>
    </row>
    <row r="26774" spans="8:10" x14ac:dyDescent="0.35">
      <c r="H26774" s="676"/>
      <c r="I26774" s="676"/>
      <c r="J26774" s="770"/>
    </row>
    <row r="26775" spans="8:10" x14ac:dyDescent="0.35">
      <c r="H26775" s="676"/>
      <c r="I26775" s="676"/>
      <c r="J26775" s="770"/>
    </row>
    <row r="26776" spans="8:10" x14ac:dyDescent="0.35">
      <c r="H26776" s="676"/>
      <c r="I26776" s="676"/>
      <c r="J26776" s="770"/>
    </row>
    <row r="26777" spans="8:10" x14ac:dyDescent="0.35">
      <c r="H26777" s="676"/>
      <c r="I26777" s="676"/>
      <c r="J26777" s="770"/>
    </row>
    <row r="26778" spans="8:10" x14ac:dyDescent="0.35">
      <c r="H26778" s="676"/>
      <c r="I26778" s="676"/>
      <c r="J26778" s="770"/>
    </row>
    <row r="26779" spans="8:10" x14ac:dyDescent="0.35">
      <c r="H26779" s="676"/>
      <c r="I26779" s="676"/>
      <c r="J26779" s="770"/>
    </row>
    <row r="26780" spans="8:10" x14ac:dyDescent="0.35">
      <c r="H26780" s="676"/>
      <c r="I26780" s="676"/>
      <c r="J26780" s="770"/>
    </row>
    <row r="26781" spans="8:10" x14ac:dyDescent="0.35">
      <c r="H26781" s="676"/>
      <c r="I26781" s="676"/>
      <c r="J26781" s="770"/>
    </row>
    <row r="26782" spans="8:10" x14ac:dyDescent="0.35">
      <c r="H26782" s="676"/>
      <c r="I26782" s="676"/>
      <c r="J26782" s="770"/>
    </row>
    <row r="26783" spans="8:10" x14ac:dyDescent="0.35">
      <c r="H26783" s="676"/>
      <c r="I26783" s="676"/>
      <c r="J26783" s="770"/>
    </row>
    <row r="26784" spans="8:10" x14ac:dyDescent="0.35">
      <c r="H26784" s="676"/>
      <c r="I26784" s="676"/>
      <c r="J26784" s="770"/>
    </row>
    <row r="26785" spans="8:10" x14ac:dyDescent="0.35">
      <c r="H26785" s="676"/>
      <c r="I26785" s="676"/>
      <c r="J26785" s="770"/>
    </row>
    <row r="26786" spans="8:10" x14ac:dyDescent="0.35">
      <c r="H26786" s="676"/>
      <c r="I26786" s="676"/>
      <c r="J26786" s="770"/>
    </row>
    <row r="26787" spans="8:10" x14ac:dyDescent="0.35">
      <c r="H26787" s="676"/>
      <c r="I26787" s="676"/>
      <c r="J26787" s="770"/>
    </row>
    <row r="26788" spans="8:10" x14ac:dyDescent="0.35">
      <c r="H26788" s="676"/>
      <c r="I26788" s="676"/>
      <c r="J26788" s="770"/>
    </row>
    <row r="26789" spans="8:10" x14ac:dyDescent="0.35">
      <c r="H26789" s="676"/>
      <c r="I26789" s="676"/>
      <c r="J26789" s="770"/>
    </row>
    <row r="26790" spans="8:10" x14ac:dyDescent="0.35">
      <c r="H26790" s="676"/>
      <c r="I26790" s="676"/>
      <c r="J26790" s="770"/>
    </row>
    <row r="26791" spans="8:10" x14ac:dyDescent="0.35">
      <c r="H26791" s="676"/>
      <c r="I26791" s="676"/>
      <c r="J26791" s="770"/>
    </row>
    <row r="26792" spans="8:10" x14ac:dyDescent="0.35">
      <c r="H26792" s="676"/>
      <c r="I26792" s="676"/>
      <c r="J26792" s="770"/>
    </row>
    <row r="26793" spans="8:10" x14ac:dyDescent="0.35">
      <c r="H26793" s="676"/>
      <c r="I26793" s="676"/>
      <c r="J26793" s="770"/>
    </row>
    <row r="26794" spans="8:10" x14ac:dyDescent="0.35">
      <c r="H26794" s="676"/>
      <c r="I26794" s="676"/>
      <c r="J26794" s="770"/>
    </row>
    <row r="26795" spans="8:10" x14ac:dyDescent="0.35">
      <c r="H26795" s="676"/>
      <c r="I26795" s="676"/>
      <c r="J26795" s="770"/>
    </row>
    <row r="26796" spans="8:10" x14ac:dyDescent="0.35">
      <c r="H26796" s="676"/>
      <c r="I26796" s="676"/>
      <c r="J26796" s="770"/>
    </row>
    <row r="26797" spans="8:10" x14ac:dyDescent="0.35">
      <c r="H26797" s="676"/>
      <c r="I26797" s="676"/>
      <c r="J26797" s="770"/>
    </row>
    <row r="26798" spans="8:10" x14ac:dyDescent="0.35">
      <c r="H26798" s="676"/>
      <c r="I26798" s="676"/>
      <c r="J26798" s="770"/>
    </row>
    <row r="26799" spans="8:10" x14ac:dyDescent="0.35">
      <c r="H26799" s="676"/>
      <c r="I26799" s="676"/>
      <c r="J26799" s="770"/>
    </row>
    <row r="26800" spans="8:10" x14ac:dyDescent="0.35">
      <c r="H26800" s="676"/>
      <c r="I26800" s="676"/>
      <c r="J26800" s="770"/>
    </row>
    <row r="26801" spans="8:10" x14ac:dyDescent="0.35">
      <c r="H26801" s="676"/>
      <c r="I26801" s="676"/>
      <c r="J26801" s="770"/>
    </row>
    <row r="26802" spans="8:10" x14ac:dyDescent="0.35">
      <c r="H26802" s="676"/>
      <c r="I26802" s="676"/>
      <c r="J26802" s="770"/>
    </row>
    <row r="26803" spans="8:10" x14ac:dyDescent="0.35">
      <c r="H26803" s="676"/>
      <c r="I26803" s="676"/>
      <c r="J26803" s="770"/>
    </row>
    <row r="26804" spans="8:10" x14ac:dyDescent="0.35">
      <c r="H26804" s="676"/>
      <c r="I26804" s="676"/>
      <c r="J26804" s="770"/>
    </row>
    <row r="26805" spans="8:10" x14ac:dyDescent="0.35">
      <c r="H26805" s="676"/>
      <c r="I26805" s="676"/>
      <c r="J26805" s="770"/>
    </row>
    <row r="26806" spans="8:10" x14ac:dyDescent="0.35">
      <c r="H26806" s="676"/>
      <c r="I26806" s="676"/>
      <c r="J26806" s="770"/>
    </row>
    <row r="26807" spans="8:10" x14ac:dyDescent="0.35">
      <c r="H26807" s="676"/>
      <c r="I26807" s="676"/>
      <c r="J26807" s="770"/>
    </row>
    <row r="26808" spans="8:10" x14ac:dyDescent="0.35">
      <c r="H26808" s="676"/>
      <c r="I26808" s="676"/>
      <c r="J26808" s="770"/>
    </row>
    <row r="26809" spans="8:10" x14ac:dyDescent="0.35">
      <c r="H26809" s="676"/>
      <c r="I26809" s="676"/>
      <c r="J26809" s="770"/>
    </row>
    <row r="26810" spans="8:10" x14ac:dyDescent="0.35">
      <c r="H26810" s="676"/>
      <c r="I26810" s="676"/>
      <c r="J26810" s="770"/>
    </row>
    <row r="26811" spans="8:10" x14ac:dyDescent="0.35">
      <c r="H26811" s="676"/>
      <c r="I26811" s="676"/>
      <c r="J26811" s="770"/>
    </row>
    <row r="26812" spans="8:10" x14ac:dyDescent="0.35">
      <c r="H26812" s="676"/>
      <c r="I26812" s="676"/>
      <c r="J26812" s="770"/>
    </row>
    <row r="26813" spans="8:10" x14ac:dyDescent="0.35">
      <c r="H26813" s="676"/>
      <c r="I26813" s="676"/>
      <c r="J26813" s="770"/>
    </row>
    <row r="26814" spans="8:10" x14ac:dyDescent="0.35">
      <c r="H26814" s="676"/>
      <c r="I26814" s="676"/>
      <c r="J26814" s="770"/>
    </row>
    <row r="26815" spans="8:10" x14ac:dyDescent="0.35">
      <c r="H26815" s="676"/>
      <c r="I26815" s="676"/>
      <c r="J26815" s="770"/>
    </row>
    <row r="26816" spans="8:10" x14ac:dyDescent="0.35">
      <c r="H26816" s="676"/>
      <c r="I26816" s="676"/>
      <c r="J26816" s="770"/>
    </row>
    <row r="26817" spans="8:10" x14ac:dyDescent="0.35">
      <c r="H26817" s="676"/>
      <c r="I26817" s="676"/>
      <c r="J26817" s="770"/>
    </row>
    <row r="26818" spans="8:10" x14ac:dyDescent="0.35">
      <c r="H26818" s="676"/>
      <c r="I26818" s="676"/>
      <c r="J26818" s="770"/>
    </row>
    <row r="26819" spans="8:10" x14ac:dyDescent="0.35">
      <c r="H26819" s="676"/>
      <c r="I26819" s="676"/>
      <c r="J26819" s="770"/>
    </row>
    <row r="26820" spans="8:10" x14ac:dyDescent="0.35">
      <c r="H26820" s="676"/>
      <c r="I26820" s="676"/>
      <c r="J26820" s="770"/>
    </row>
    <row r="26821" spans="8:10" x14ac:dyDescent="0.35">
      <c r="H26821" s="676"/>
      <c r="I26821" s="676"/>
      <c r="J26821" s="770"/>
    </row>
    <row r="26822" spans="8:10" x14ac:dyDescent="0.35">
      <c r="H26822" s="676"/>
      <c r="I26822" s="676"/>
      <c r="J26822" s="770"/>
    </row>
    <row r="26823" spans="8:10" x14ac:dyDescent="0.35">
      <c r="H26823" s="676"/>
      <c r="I26823" s="676"/>
      <c r="J26823" s="770"/>
    </row>
    <row r="26824" spans="8:10" x14ac:dyDescent="0.35">
      <c r="H26824" s="676"/>
      <c r="I26824" s="676"/>
      <c r="J26824" s="770"/>
    </row>
    <row r="26825" spans="8:10" x14ac:dyDescent="0.35">
      <c r="H26825" s="676"/>
      <c r="I26825" s="676"/>
      <c r="J26825" s="770"/>
    </row>
    <row r="26826" spans="8:10" x14ac:dyDescent="0.35">
      <c r="H26826" s="676"/>
      <c r="I26826" s="676"/>
      <c r="J26826" s="770"/>
    </row>
    <row r="26827" spans="8:10" x14ac:dyDescent="0.35">
      <c r="H26827" s="676"/>
      <c r="I26827" s="676"/>
      <c r="J26827" s="770"/>
    </row>
    <row r="26828" spans="8:10" x14ac:dyDescent="0.35">
      <c r="H26828" s="676"/>
      <c r="I26828" s="676"/>
      <c r="J26828" s="770"/>
    </row>
    <row r="26829" spans="8:10" x14ac:dyDescent="0.35">
      <c r="H26829" s="676"/>
      <c r="I26829" s="676"/>
      <c r="J26829" s="770"/>
    </row>
    <row r="26830" spans="8:10" x14ac:dyDescent="0.35">
      <c r="H26830" s="676"/>
      <c r="I26830" s="676"/>
      <c r="J26830" s="770"/>
    </row>
    <row r="26831" spans="8:10" x14ac:dyDescent="0.35">
      <c r="H26831" s="676"/>
      <c r="I26831" s="676"/>
      <c r="J26831" s="770"/>
    </row>
    <row r="26832" spans="8:10" x14ac:dyDescent="0.35">
      <c r="H26832" s="676"/>
      <c r="I26832" s="676"/>
      <c r="J26832" s="770"/>
    </row>
    <row r="26833" spans="8:10" x14ac:dyDescent="0.35">
      <c r="H26833" s="676"/>
      <c r="I26833" s="676"/>
      <c r="J26833" s="770"/>
    </row>
    <row r="26834" spans="8:10" x14ac:dyDescent="0.35">
      <c r="H26834" s="676"/>
      <c r="I26834" s="676"/>
      <c r="J26834" s="770"/>
    </row>
    <row r="26835" spans="8:10" x14ac:dyDescent="0.35">
      <c r="H26835" s="676"/>
      <c r="I26835" s="676"/>
      <c r="J26835" s="770"/>
    </row>
    <row r="26836" spans="8:10" x14ac:dyDescent="0.35">
      <c r="H26836" s="676"/>
      <c r="I26836" s="676"/>
      <c r="J26836" s="770"/>
    </row>
    <row r="26837" spans="8:10" x14ac:dyDescent="0.35">
      <c r="H26837" s="676"/>
      <c r="I26837" s="676"/>
      <c r="J26837" s="770"/>
    </row>
    <row r="26838" spans="8:10" x14ac:dyDescent="0.35">
      <c r="H26838" s="676"/>
      <c r="I26838" s="676"/>
      <c r="J26838" s="770"/>
    </row>
    <row r="26839" spans="8:10" x14ac:dyDescent="0.35">
      <c r="H26839" s="676"/>
      <c r="I26839" s="676"/>
      <c r="J26839" s="770"/>
    </row>
    <row r="26840" spans="8:10" x14ac:dyDescent="0.35">
      <c r="H26840" s="676"/>
      <c r="I26840" s="676"/>
      <c r="J26840" s="770"/>
    </row>
    <row r="26841" spans="8:10" x14ac:dyDescent="0.35">
      <c r="H26841" s="676"/>
      <c r="I26841" s="676"/>
      <c r="J26841" s="770"/>
    </row>
    <row r="26842" spans="8:10" x14ac:dyDescent="0.35">
      <c r="H26842" s="676"/>
      <c r="I26842" s="676"/>
      <c r="J26842" s="770"/>
    </row>
    <row r="26843" spans="8:10" x14ac:dyDescent="0.35">
      <c r="H26843" s="676"/>
      <c r="I26843" s="676"/>
      <c r="J26843" s="770"/>
    </row>
    <row r="26844" spans="8:10" x14ac:dyDescent="0.35">
      <c r="H26844" s="676"/>
      <c r="I26844" s="676"/>
      <c r="J26844" s="770"/>
    </row>
    <row r="26845" spans="8:10" x14ac:dyDescent="0.35">
      <c r="H26845" s="676"/>
      <c r="I26845" s="676"/>
      <c r="J26845" s="770"/>
    </row>
    <row r="26846" spans="8:10" x14ac:dyDescent="0.35">
      <c r="H26846" s="676"/>
      <c r="I26846" s="676"/>
      <c r="J26846" s="770"/>
    </row>
    <row r="26847" spans="8:10" x14ac:dyDescent="0.35">
      <c r="H26847" s="676"/>
      <c r="I26847" s="676"/>
      <c r="J26847" s="770"/>
    </row>
    <row r="26848" spans="8:10" x14ac:dyDescent="0.35">
      <c r="H26848" s="676"/>
      <c r="I26848" s="676"/>
      <c r="J26848" s="770"/>
    </row>
    <row r="26849" spans="8:10" x14ac:dyDescent="0.35">
      <c r="H26849" s="676"/>
      <c r="I26849" s="676"/>
      <c r="J26849" s="770"/>
    </row>
    <row r="26850" spans="8:10" x14ac:dyDescent="0.35">
      <c r="H26850" s="676"/>
      <c r="I26850" s="676"/>
      <c r="J26850" s="770"/>
    </row>
    <row r="26851" spans="8:10" x14ac:dyDescent="0.35">
      <c r="H26851" s="676"/>
      <c r="I26851" s="676"/>
      <c r="J26851" s="770"/>
    </row>
    <row r="26852" spans="8:10" x14ac:dyDescent="0.35">
      <c r="H26852" s="676"/>
      <c r="I26852" s="676"/>
      <c r="J26852" s="770"/>
    </row>
    <row r="26853" spans="8:10" x14ac:dyDescent="0.35">
      <c r="H26853" s="676"/>
      <c r="I26853" s="676"/>
      <c r="J26853" s="770"/>
    </row>
    <row r="26854" spans="8:10" x14ac:dyDescent="0.35">
      <c r="H26854" s="676"/>
      <c r="I26854" s="676"/>
      <c r="J26854" s="770"/>
    </row>
    <row r="26855" spans="8:10" x14ac:dyDescent="0.35">
      <c r="H26855" s="676"/>
      <c r="I26855" s="676"/>
      <c r="J26855" s="770"/>
    </row>
    <row r="26856" spans="8:10" x14ac:dyDescent="0.35">
      <c r="H26856" s="676"/>
      <c r="I26856" s="676"/>
      <c r="J26856" s="770"/>
    </row>
    <row r="26857" spans="8:10" x14ac:dyDescent="0.35">
      <c r="H26857" s="676"/>
      <c r="I26857" s="676"/>
      <c r="J26857" s="770"/>
    </row>
    <row r="26858" spans="8:10" x14ac:dyDescent="0.35">
      <c r="H26858" s="676"/>
      <c r="I26858" s="676"/>
      <c r="J26858" s="770"/>
    </row>
    <row r="26859" spans="8:10" x14ac:dyDescent="0.35">
      <c r="H26859" s="676"/>
      <c r="I26859" s="676"/>
      <c r="J26859" s="770"/>
    </row>
    <row r="26860" spans="8:10" x14ac:dyDescent="0.35">
      <c r="H26860" s="676"/>
      <c r="I26860" s="676"/>
      <c r="J26860" s="770"/>
    </row>
    <row r="26861" spans="8:10" x14ac:dyDescent="0.35">
      <c r="H26861" s="676"/>
      <c r="I26861" s="676"/>
      <c r="J26861" s="770"/>
    </row>
    <row r="26862" spans="8:10" x14ac:dyDescent="0.35">
      <c r="H26862" s="676"/>
      <c r="I26862" s="676"/>
      <c r="J26862" s="770"/>
    </row>
    <row r="26863" spans="8:10" x14ac:dyDescent="0.35">
      <c r="H26863" s="676"/>
      <c r="I26863" s="676"/>
      <c r="J26863" s="770"/>
    </row>
    <row r="26864" spans="8:10" x14ac:dyDescent="0.35">
      <c r="H26864" s="676"/>
      <c r="I26864" s="676"/>
      <c r="J26864" s="770"/>
    </row>
    <row r="26865" spans="8:10" x14ac:dyDescent="0.35">
      <c r="H26865" s="676"/>
      <c r="I26865" s="676"/>
      <c r="J26865" s="770"/>
    </row>
    <row r="26866" spans="8:10" x14ac:dyDescent="0.35">
      <c r="H26866" s="676"/>
      <c r="I26866" s="676"/>
      <c r="J26866" s="770"/>
    </row>
    <row r="26867" spans="8:10" x14ac:dyDescent="0.35">
      <c r="H26867" s="676"/>
      <c r="I26867" s="676"/>
      <c r="J26867" s="770"/>
    </row>
    <row r="26868" spans="8:10" x14ac:dyDescent="0.35">
      <c r="H26868" s="676"/>
      <c r="I26868" s="676"/>
      <c r="J26868" s="770"/>
    </row>
    <row r="26869" spans="8:10" x14ac:dyDescent="0.35">
      <c r="H26869" s="676"/>
      <c r="I26869" s="676"/>
      <c r="J26869" s="770"/>
    </row>
    <row r="26870" spans="8:10" x14ac:dyDescent="0.35">
      <c r="H26870" s="676"/>
      <c r="I26870" s="676"/>
      <c r="J26870" s="770"/>
    </row>
    <row r="26871" spans="8:10" x14ac:dyDescent="0.35">
      <c r="H26871" s="676"/>
      <c r="I26871" s="676"/>
      <c r="J26871" s="770"/>
    </row>
    <row r="26872" spans="8:10" x14ac:dyDescent="0.35">
      <c r="H26872" s="676"/>
      <c r="I26872" s="676"/>
      <c r="J26872" s="770"/>
    </row>
    <row r="26873" spans="8:10" x14ac:dyDescent="0.35">
      <c r="H26873" s="676"/>
      <c r="I26873" s="676"/>
      <c r="J26873" s="770"/>
    </row>
    <row r="26874" spans="8:10" x14ac:dyDescent="0.35">
      <c r="H26874" s="676"/>
      <c r="I26874" s="676"/>
      <c r="J26874" s="770"/>
    </row>
    <row r="26875" spans="8:10" x14ac:dyDescent="0.35">
      <c r="H26875" s="676"/>
      <c r="I26875" s="676"/>
      <c r="J26875" s="770"/>
    </row>
    <row r="26876" spans="8:10" x14ac:dyDescent="0.35">
      <c r="H26876" s="676"/>
      <c r="I26876" s="676"/>
      <c r="J26876" s="770"/>
    </row>
    <row r="26877" spans="8:10" x14ac:dyDescent="0.35">
      <c r="H26877" s="676"/>
      <c r="I26877" s="676"/>
      <c r="J26877" s="770"/>
    </row>
    <row r="26878" spans="8:10" x14ac:dyDescent="0.35">
      <c r="H26878" s="676"/>
      <c r="I26878" s="676"/>
      <c r="J26878" s="770"/>
    </row>
    <row r="26879" spans="8:10" x14ac:dyDescent="0.35">
      <c r="H26879" s="676"/>
      <c r="I26879" s="676"/>
      <c r="J26879" s="770"/>
    </row>
    <row r="26880" spans="8:10" x14ac:dyDescent="0.35">
      <c r="H26880" s="676"/>
      <c r="I26880" s="676"/>
      <c r="J26880" s="770"/>
    </row>
    <row r="26881" spans="8:10" x14ac:dyDescent="0.35">
      <c r="H26881" s="676"/>
      <c r="I26881" s="676"/>
      <c r="J26881" s="770"/>
    </row>
    <row r="26882" spans="8:10" x14ac:dyDescent="0.35">
      <c r="H26882" s="676"/>
      <c r="I26882" s="676"/>
      <c r="J26882" s="770"/>
    </row>
    <row r="26883" spans="8:10" x14ac:dyDescent="0.35">
      <c r="H26883" s="676"/>
      <c r="I26883" s="676"/>
      <c r="J26883" s="770"/>
    </row>
    <row r="26884" spans="8:10" x14ac:dyDescent="0.35">
      <c r="H26884" s="676"/>
      <c r="I26884" s="676"/>
      <c r="J26884" s="770"/>
    </row>
    <row r="26885" spans="8:10" x14ac:dyDescent="0.35">
      <c r="H26885" s="676"/>
      <c r="I26885" s="676"/>
      <c r="J26885" s="770"/>
    </row>
    <row r="26886" spans="8:10" x14ac:dyDescent="0.35">
      <c r="H26886" s="676"/>
      <c r="I26886" s="676"/>
      <c r="J26886" s="770"/>
    </row>
    <row r="26887" spans="8:10" x14ac:dyDescent="0.35">
      <c r="H26887" s="676"/>
      <c r="I26887" s="676"/>
      <c r="J26887" s="770"/>
    </row>
    <row r="26888" spans="8:10" x14ac:dyDescent="0.35">
      <c r="H26888" s="676"/>
      <c r="I26888" s="676"/>
      <c r="J26888" s="770"/>
    </row>
    <row r="26889" spans="8:10" x14ac:dyDescent="0.35">
      <c r="H26889" s="676"/>
      <c r="I26889" s="676"/>
      <c r="J26889" s="770"/>
    </row>
    <row r="26890" spans="8:10" x14ac:dyDescent="0.35">
      <c r="H26890" s="676"/>
      <c r="I26890" s="676"/>
      <c r="J26890" s="770"/>
    </row>
    <row r="26891" spans="8:10" x14ac:dyDescent="0.35">
      <c r="H26891" s="676"/>
      <c r="I26891" s="676"/>
      <c r="J26891" s="770"/>
    </row>
    <row r="26892" spans="8:10" x14ac:dyDescent="0.35">
      <c r="H26892" s="676"/>
      <c r="I26892" s="676"/>
      <c r="J26892" s="770"/>
    </row>
    <row r="26893" spans="8:10" x14ac:dyDescent="0.35">
      <c r="H26893" s="676"/>
      <c r="I26893" s="676"/>
      <c r="J26893" s="770"/>
    </row>
    <row r="26894" spans="8:10" x14ac:dyDescent="0.35">
      <c r="H26894" s="676"/>
      <c r="I26894" s="676"/>
      <c r="J26894" s="770"/>
    </row>
    <row r="26895" spans="8:10" x14ac:dyDescent="0.35">
      <c r="H26895" s="676"/>
      <c r="I26895" s="676"/>
      <c r="J26895" s="770"/>
    </row>
    <row r="26896" spans="8:10" x14ac:dyDescent="0.35">
      <c r="H26896" s="676"/>
      <c r="I26896" s="676"/>
      <c r="J26896" s="770"/>
    </row>
    <row r="26897" spans="8:10" x14ac:dyDescent="0.35">
      <c r="H26897" s="676"/>
      <c r="I26897" s="676"/>
      <c r="J26897" s="770"/>
    </row>
    <row r="26898" spans="8:10" x14ac:dyDescent="0.35">
      <c r="H26898" s="676"/>
      <c r="I26898" s="676"/>
      <c r="J26898" s="770"/>
    </row>
    <row r="26899" spans="8:10" x14ac:dyDescent="0.35">
      <c r="H26899" s="676"/>
      <c r="I26899" s="676"/>
      <c r="J26899" s="770"/>
    </row>
    <row r="26900" spans="8:10" x14ac:dyDescent="0.35">
      <c r="H26900" s="676"/>
      <c r="I26900" s="676"/>
      <c r="J26900" s="770"/>
    </row>
    <row r="26901" spans="8:10" x14ac:dyDescent="0.35">
      <c r="H26901" s="676"/>
      <c r="I26901" s="676"/>
      <c r="J26901" s="770"/>
    </row>
    <row r="26902" spans="8:10" x14ac:dyDescent="0.35">
      <c r="H26902" s="676"/>
      <c r="I26902" s="676"/>
      <c r="J26902" s="770"/>
    </row>
    <row r="26903" spans="8:10" x14ac:dyDescent="0.35">
      <c r="H26903" s="676"/>
      <c r="I26903" s="676"/>
      <c r="J26903" s="770"/>
    </row>
    <row r="26904" spans="8:10" x14ac:dyDescent="0.35">
      <c r="H26904" s="676"/>
      <c r="I26904" s="676"/>
      <c r="J26904" s="770"/>
    </row>
    <row r="26905" spans="8:10" x14ac:dyDescent="0.35">
      <c r="H26905" s="676"/>
      <c r="I26905" s="676"/>
      <c r="J26905" s="770"/>
    </row>
    <row r="26906" spans="8:10" x14ac:dyDescent="0.35">
      <c r="H26906" s="676"/>
      <c r="I26906" s="676"/>
      <c r="J26906" s="770"/>
    </row>
    <row r="26907" spans="8:10" x14ac:dyDescent="0.35">
      <c r="H26907" s="676"/>
      <c r="I26907" s="676"/>
      <c r="J26907" s="770"/>
    </row>
    <row r="26908" spans="8:10" x14ac:dyDescent="0.35">
      <c r="H26908" s="676"/>
      <c r="I26908" s="676"/>
      <c r="J26908" s="770"/>
    </row>
    <row r="26909" spans="8:10" x14ac:dyDescent="0.35">
      <c r="H26909" s="676"/>
      <c r="I26909" s="676"/>
      <c r="J26909" s="770"/>
    </row>
    <row r="26910" spans="8:10" x14ac:dyDescent="0.35">
      <c r="H26910" s="676"/>
      <c r="I26910" s="676"/>
      <c r="J26910" s="770"/>
    </row>
    <row r="26911" spans="8:10" x14ac:dyDescent="0.35">
      <c r="H26911" s="676"/>
      <c r="I26911" s="676"/>
      <c r="J26911" s="770"/>
    </row>
    <row r="26912" spans="8:10" x14ac:dyDescent="0.35">
      <c r="H26912" s="676"/>
      <c r="I26912" s="676"/>
      <c r="J26912" s="770"/>
    </row>
    <row r="26913" spans="8:10" x14ac:dyDescent="0.35">
      <c r="H26913" s="676"/>
      <c r="I26913" s="676"/>
      <c r="J26913" s="770"/>
    </row>
    <row r="26914" spans="8:10" x14ac:dyDescent="0.35">
      <c r="H26914" s="676"/>
      <c r="I26914" s="676"/>
      <c r="J26914" s="770"/>
    </row>
    <row r="26915" spans="8:10" x14ac:dyDescent="0.35">
      <c r="H26915" s="676"/>
      <c r="I26915" s="676"/>
      <c r="J26915" s="770"/>
    </row>
    <row r="26916" spans="8:10" x14ac:dyDescent="0.35">
      <c r="H26916" s="676"/>
      <c r="I26916" s="676"/>
      <c r="J26916" s="770"/>
    </row>
    <row r="26917" spans="8:10" x14ac:dyDescent="0.35">
      <c r="H26917" s="676"/>
      <c r="I26917" s="676"/>
      <c r="J26917" s="770"/>
    </row>
    <row r="26918" spans="8:10" x14ac:dyDescent="0.35">
      <c r="H26918" s="676"/>
      <c r="I26918" s="676"/>
      <c r="J26918" s="770"/>
    </row>
    <row r="26919" spans="8:10" x14ac:dyDescent="0.35">
      <c r="H26919" s="676"/>
      <c r="I26919" s="676"/>
      <c r="J26919" s="770"/>
    </row>
    <row r="26920" spans="8:10" x14ac:dyDescent="0.35">
      <c r="H26920" s="676"/>
      <c r="I26920" s="676"/>
      <c r="J26920" s="770"/>
    </row>
    <row r="26921" spans="8:10" x14ac:dyDescent="0.35">
      <c r="H26921" s="676"/>
      <c r="I26921" s="676"/>
      <c r="J26921" s="770"/>
    </row>
    <row r="26922" spans="8:10" x14ac:dyDescent="0.35">
      <c r="H26922" s="676"/>
      <c r="I26922" s="676"/>
      <c r="J26922" s="770"/>
    </row>
    <row r="26923" spans="8:10" x14ac:dyDescent="0.35">
      <c r="H26923" s="676"/>
      <c r="I26923" s="676"/>
      <c r="J26923" s="770"/>
    </row>
    <row r="26924" spans="8:10" x14ac:dyDescent="0.35">
      <c r="H26924" s="676"/>
      <c r="I26924" s="676"/>
      <c r="J26924" s="770"/>
    </row>
    <row r="26925" spans="8:10" x14ac:dyDescent="0.35">
      <c r="H26925" s="676"/>
      <c r="I26925" s="676"/>
      <c r="J26925" s="770"/>
    </row>
    <row r="26926" spans="8:10" x14ac:dyDescent="0.35">
      <c r="H26926" s="676"/>
      <c r="I26926" s="676"/>
      <c r="J26926" s="770"/>
    </row>
    <row r="26927" spans="8:10" x14ac:dyDescent="0.35">
      <c r="H26927" s="676"/>
      <c r="I26927" s="676"/>
      <c r="J26927" s="770"/>
    </row>
    <row r="26928" spans="8:10" x14ac:dyDescent="0.35">
      <c r="H26928" s="676"/>
      <c r="I26928" s="676"/>
      <c r="J26928" s="770"/>
    </row>
    <row r="26929" spans="8:10" x14ac:dyDescent="0.35">
      <c r="H26929" s="676"/>
      <c r="I26929" s="676"/>
      <c r="J26929" s="770"/>
    </row>
    <row r="26930" spans="8:10" x14ac:dyDescent="0.35">
      <c r="H26930" s="676"/>
      <c r="I26930" s="676"/>
      <c r="J26930" s="770"/>
    </row>
    <row r="26931" spans="8:10" x14ac:dyDescent="0.35">
      <c r="H26931" s="676"/>
      <c r="I26931" s="676"/>
      <c r="J26931" s="770"/>
    </row>
    <row r="26932" spans="8:10" x14ac:dyDescent="0.35">
      <c r="H26932" s="676"/>
      <c r="I26932" s="676"/>
      <c r="J26932" s="770"/>
    </row>
    <row r="26933" spans="8:10" x14ac:dyDescent="0.35">
      <c r="H26933" s="676"/>
      <c r="I26933" s="676"/>
      <c r="J26933" s="770"/>
    </row>
    <row r="26934" spans="8:10" x14ac:dyDescent="0.35">
      <c r="H26934" s="676"/>
      <c r="I26934" s="676"/>
      <c r="J26934" s="770"/>
    </row>
    <row r="26935" spans="8:10" x14ac:dyDescent="0.35">
      <c r="H26935" s="676"/>
      <c r="I26935" s="676"/>
      <c r="J26935" s="770"/>
    </row>
    <row r="26936" spans="8:10" x14ac:dyDescent="0.35">
      <c r="H26936" s="676"/>
      <c r="I26936" s="676"/>
      <c r="J26936" s="770"/>
    </row>
    <row r="26937" spans="8:10" x14ac:dyDescent="0.35">
      <c r="H26937" s="676"/>
      <c r="I26937" s="676"/>
      <c r="J26937" s="770"/>
    </row>
    <row r="26938" spans="8:10" x14ac:dyDescent="0.35">
      <c r="H26938" s="676"/>
      <c r="I26938" s="676"/>
      <c r="J26938" s="770"/>
    </row>
    <row r="26939" spans="8:10" x14ac:dyDescent="0.35">
      <c r="H26939" s="676"/>
      <c r="I26939" s="676"/>
      <c r="J26939" s="770"/>
    </row>
    <row r="26940" spans="8:10" x14ac:dyDescent="0.35">
      <c r="H26940" s="676"/>
      <c r="I26940" s="676"/>
      <c r="J26940" s="770"/>
    </row>
    <row r="26941" spans="8:10" x14ac:dyDescent="0.35">
      <c r="H26941" s="676"/>
      <c r="I26941" s="676"/>
      <c r="J26941" s="770"/>
    </row>
    <row r="26942" spans="8:10" x14ac:dyDescent="0.35">
      <c r="H26942" s="676"/>
      <c r="I26942" s="676"/>
      <c r="J26942" s="770"/>
    </row>
    <row r="26943" spans="8:10" x14ac:dyDescent="0.35">
      <c r="H26943" s="676"/>
      <c r="I26943" s="676"/>
      <c r="J26943" s="770"/>
    </row>
    <row r="26944" spans="8:10" x14ac:dyDescent="0.35">
      <c r="H26944" s="676"/>
      <c r="I26944" s="676"/>
      <c r="J26944" s="770"/>
    </row>
    <row r="26945" spans="8:10" x14ac:dyDescent="0.35">
      <c r="H26945" s="676"/>
      <c r="I26945" s="676"/>
      <c r="J26945" s="770"/>
    </row>
    <row r="26946" spans="8:10" x14ac:dyDescent="0.35">
      <c r="H26946" s="676"/>
      <c r="I26946" s="676"/>
      <c r="J26946" s="770"/>
    </row>
    <row r="26947" spans="8:10" x14ac:dyDescent="0.35">
      <c r="H26947" s="676"/>
      <c r="I26947" s="676"/>
      <c r="J26947" s="770"/>
    </row>
    <row r="26948" spans="8:10" x14ac:dyDescent="0.35">
      <c r="H26948" s="676"/>
      <c r="I26948" s="676"/>
      <c r="J26948" s="770"/>
    </row>
    <row r="26949" spans="8:10" x14ac:dyDescent="0.35">
      <c r="H26949" s="676"/>
      <c r="I26949" s="676"/>
      <c r="J26949" s="770"/>
    </row>
    <row r="26950" spans="8:10" x14ac:dyDescent="0.35">
      <c r="H26950" s="676"/>
      <c r="I26950" s="676"/>
      <c r="J26950" s="770"/>
    </row>
    <row r="26951" spans="8:10" x14ac:dyDescent="0.35">
      <c r="H26951" s="676"/>
      <c r="I26951" s="676"/>
      <c r="J26951" s="770"/>
    </row>
    <row r="26952" spans="8:10" x14ac:dyDescent="0.35">
      <c r="H26952" s="676"/>
      <c r="I26952" s="676"/>
      <c r="J26952" s="770"/>
    </row>
    <row r="26953" spans="8:10" x14ac:dyDescent="0.35">
      <c r="H26953" s="676"/>
      <c r="I26953" s="676"/>
      <c r="J26953" s="770"/>
    </row>
    <row r="26954" spans="8:10" x14ac:dyDescent="0.35">
      <c r="H26954" s="676"/>
      <c r="I26954" s="676"/>
      <c r="J26954" s="770"/>
    </row>
    <row r="26955" spans="8:10" x14ac:dyDescent="0.35">
      <c r="H26955" s="676"/>
      <c r="I26955" s="676"/>
      <c r="J26955" s="770"/>
    </row>
    <row r="26956" spans="8:10" x14ac:dyDescent="0.35">
      <c r="H26956" s="676"/>
      <c r="I26956" s="676"/>
      <c r="J26956" s="770"/>
    </row>
    <row r="26957" spans="8:10" x14ac:dyDescent="0.35">
      <c r="H26957" s="676"/>
      <c r="I26957" s="676"/>
      <c r="J26957" s="770"/>
    </row>
    <row r="26958" spans="8:10" x14ac:dyDescent="0.35">
      <c r="H26958" s="676"/>
      <c r="I26958" s="676"/>
      <c r="J26958" s="770"/>
    </row>
    <row r="26959" spans="8:10" x14ac:dyDescent="0.35">
      <c r="H26959" s="676"/>
      <c r="I26959" s="676"/>
      <c r="J26959" s="770"/>
    </row>
    <row r="26960" spans="8:10" x14ac:dyDescent="0.35">
      <c r="H26960" s="676"/>
      <c r="I26960" s="676"/>
      <c r="J26960" s="770"/>
    </row>
    <row r="26961" spans="8:10" x14ac:dyDescent="0.35">
      <c r="H26961" s="676"/>
      <c r="I26961" s="676"/>
      <c r="J26961" s="770"/>
    </row>
    <row r="26962" spans="8:10" x14ac:dyDescent="0.35">
      <c r="H26962" s="676"/>
      <c r="I26962" s="676"/>
      <c r="J26962" s="770"/>
    </row>
    <row r="26963" spans="8:10" x14ac:dyDescent="0.35">
      <c r="H26963" s="676"/>
      <c r="I26963" s="676"/>
      <c r="J26963" s="770"/>
    </row>
    <row r="26964" spans="8:10" x14ac:dyDescent="0.35">
      <c r="H26964" s="676"/>
      <c r="I26964" s="676"/>
      <c r="J26964" s="770"/>
    </row>
    <row r="26965" spans="8:10" x14ac:dyDescent="0.35">
      <c r="H26965" s="676"/>
      <c r="I26965" s="676"/>
      <c r="J26965" s="770"/>
    </row>
    <row r="26966" spans="8:10" x14ac:dyDescent="0.35">
      <c r="H26966" s="676"/>
      <c r="I26966" s="676"/>
      <c r="J26966" s="770"/>
    </row>
    <row r="26967" spans="8:10" x14ac:dyDescent="0.35">
      <c r="H26967" s="676"/>
      <c r="I26967" s="676"/>
      <c r="J26967" s="770"/>
    </row>
    <row r="26968" spans="8:10" x14ac:dyDescent="0.35">
      <c r="H26968" s="676"/>
      <c r="I26968" s="676"/>
      <c r="J26968" s="770"/>
    </row>
    <row r="26969" spans="8:10" x14ac:dyDescent="0.35">
      <c r="H26969" s="676"/>
      <c r="I26969" s="676"/>
      <c r="J26969" s="770"/>
    </row>
    <row r="26970" spans="8:10" x14ac:dyDescent="0.35">
      <c r="H26970" s="676"/>
      <c r="I26970" s="676"/>
      <c r="J26970" s="770"/>
    </row>
    <row r="26971" spans="8:10" x14ac:dyDescent="0.35">
      <c r="H26971" s="676"/>
      <c r="I26971" s="676"/>
      <c r="J26971" s="770"/>
    </row>
    <row r="26972" spans="8:10" x14ac:dyDescent="0.35">
      <c r="H26972" s="676"/>
      <c r="I26972" s="676"/>
      <c r="J26972" s="770"/>
    </row>
    <row r="26973" spans="8:10" x14ac:dyDescent="0.35">
      <c r="H26973" s="676"/>
      <c r="I26973" s="676"/>
      <c r="J26973" s="770"/>
    </row>
    <row r="26974" spans="8:10" x14ac:dyDescent="0.35">
      <c r="H26974" s="676"/>
      <c r="I26974" s="676"/>
      <c r="J26974" s="770"/>
    </row>
    <row r="26975" spans="8:10" x14ac:dyDescent="0.35">
      <c r="H26975" s="676"/>
      <c r="I26975" s="676"/>
      <c r="J26975" s="770"/>
    </row>
    <row r="26976" spans="8:10" x14ac:dyDescent="0.35">
      <c r="H26976" s="676"/>
      <c r="I26976" s="676"/>
      <c r="J26976" s="770"/>
    </row>
    <row r="26977" spans="8:10" x14ac:dyDescent="0.35">
      <c r="H26977" s="676"/>
      <c r="I26977" s="676"/>
      <c r="J26977" s="770"/>
    </row>
    <row r="26978" spans="8:10" x14ac:dyDescent="0.35">
      <c r="H26978" s="676"/>
      <c r="I26978" s="676"/>
      <c r="J26978" s="770"/>
    </row>
    <row r="26979" spans="8:10" x14ac:dyDescent="0.35">
      <c r="H26979" s="676"/>
      <c r="I26979" s="676"/>
      <c r="J26979" s="770"/>
    </row>
    <row r="26980" spans="8:10" x14ac:dyDescent="0.35">
      <c r="H26980" s="676"/>
      <c r="I26980" s="676"/>
      <c r="J26980" s="770"/>
    </row>
    <row r="26981" spans="8:10" x14ac:dyDescent="0.35">
      <c r="H26981" s="676"/>
      <c r="I26981" s="676"/>
      <c r="J26981" s="770"/>
    </row>
    <row r="26982" spans="8:10" x14ac:dyDescent="0.35">
      <c r="H26982" s="676"/>
      <c r="I26982" s="676"/>
      <c r="J26982" s="770"/>
    </row>
    <row r="26983" spans="8:10" x14ac:dyDescent="0.35">
      <c r="H26983" s="676"/>
      <c r="I26983" s="676"/>
      <c r="J26983" s="770"/>
    </row>
    <row r="26984" spans="8:10" x14ac:dyDescent="0.35">
      <c r="H26984" s="676"/>
      <c r="I26984" s="676"/>
      <c r="J26984" s="770"/>
    </row>
    <row r="26985" spans="8:10" x14ac:dyDescent="0.35">
      <c r="H26985" s="676"/>
      <c r="I26985" s="676"/>
      <c r="J26985" s="770"/>
    </row>
    <row r="26986" spans="8:10" x14ac:dyDescent="0.35">
      <c r="H26986" s="676"/>
      <c r="I26986" s="676"/>
      <c r="J26986" s="770"/>
    </row>
    <row r="26987" spans="8:10" x14ac:dyDescent="0.35">
      <c r="H26987" s="676"/>
      <c r="I26987" s="676"/>
      <c r="J26987" s="770"/>
    </row>
    <row r="26988" spans="8:10" x14ac:dyDescent="0.35">
      <c r="H26988" s="676"/>
      <c r="I26988" s="676"/>
      <c r="J26988" s="770"/>
    </row>
    <row r="26989" spans="8:10" x14ac:dyDescent="0.35">
      <c r="H26989" s="676"/>
      <c r="I26989" s="676"/>
      <c r="J26989" s="770"/>
    </row>
    <row r="26990" spans="8:10" x14ac:dyDescent="0.35">
      <c r="H26990" s="676"/>
      <c r="I26990" s="676"/>
      <c r="J26990" s="770"/>
    </row>
    <row r="26991" spans="8:10" x14ac:dyDescent="0.35">
      <c r="H26991" s="676"/>
      <c r="I26991" s="676"/>
      <c r="J26991" s="770"/>
    </row>
    <row r="26992" spans="8:10" x14ac:dyDescent="0.35">
      <c r="H26992" s="676"/>
      <c r="I26992" s="676"/>
      <c r="J26992" s="770"/>
    </row>
    <row r="26993" spans="8:10" x14ac:dyDescent="0.35">
      <c r="H26993" s="676"/>
      <c r="I26993" s="676"/>
      <c r="J26993" s="770"/>
    </row>
    <row r="26994" spans="8:10" x14ac:dyDescent="0.35">
      <c r="H26994" s="676"/>
      <c r="I26994" s="676"/>
      <c r="J26994" s="770"/>
    </row>
    <row r="26995" spans="8:10" x14ac:dyDescent="0.35">
      <c r="H26995" s="676"/>
      <c r="I26995" s="676"/>
      <c r="J26995" s="770"/>
    </row>
    <row r="26996" spans="8:10" x14ac:dyDescent="0.35">
      <c r="H26996" s="676"/>
      <c r="I26996" s="676"/>
      <c r="J26996" s="770"/>
    </row>
    <row r="26997" spans="8:10" x14ac:dyDescent="0.35">
      <c r="H26997" s="676"/>
      <c r="I26997" s="676"/>
      <c r="J26997" s="770"/>
    </row>
    <row r="26998" spans="8:10" x14ac:dyDescent="0.35">
      <c r="H26998" s="676"/>
      <c r="I26998" s="676"/>
      <c r="J26998" s="770"/>
    </row>
    <row r="26999" spans="8:10" x14ac:dyDescent="0.35">
      <c r="H26999" s="676"/>
      <c r="I26999" s="676"/>
      <c r="J26999" s="770"/>
    </row>
    <row r="27000" spans="8:10" x14ac:dyDescent="0.35">
      <c r="H27000" s="676"/>
      <c r="I27000" s="676"/>
      <c r="J27000" s="770"/>
    </row>
    <row r="27001" spans="8:10" x14ac:dyDescent="0.35">
      <c r="H27001" s="676"/>
      <c r="I27001" s="676"/>
      <c r="J27001" s="770"/>
    </row>
    <row r="27002" spans="8:10" x14ac:dyDescent="0.35">
      <c r="H27002" s="676"/>
      <c r="I27002" s="676"/>
      <c r="J27002" s="770"/>
    </row>
    <row r="27003" spans="8:10" x14ac:dyDescent="0.35">
      <c r="H27003" s="676"/>
      <c r="I27003" s="676"/>
      <c r="J27003" s="770"/>
    </row>
    <row r="27004" spans="8:10" x14ac:dyDescent="0.35">
      <c r="H27004" s="676"/>
      <c r="I27004" s="676"/>
      <c r="J27004" s="770"/>
    </row>
    <row r="27005" spans="8:10" x14ac:dyDescent="0.35">
      <c r="H27005" s="676"/>
      <c r="I27005" s="676"/>
      <c r="J27005" s="770"/>
    </row>
    <row r="27006" spans="8:10" x14ac:dyDescent="0.35">
      <c r="H27006" s="676"/>
      <c r="I27006" s="676"/>
      <c r="J27006" s="770"/>
    </row>
    <row r="27007" spans="8:10" x14ac:dyDescent="0.35">
      <c r="H27007" s="676"/>
      <c r="I27007" s="676"/>
      <c r="J27007" s="770"/>
    </row>
    <row r="27008" spans="8:10" x14ac:dyDescent="0.35">
      <c r="H27008" s="676"/>
      <c r="I27008" s="676"/>
      <c r="J27008" s="770"/>
    </row>
    <row r="27009" spans="8:10" x14ac:dyDescent="0.35">
      <c r="H27009" s="676"/>
      <c r="I27009" s="676"/>
      <c r="J27009" s="770"/>
    </row>
    <row r="27010" spans="8:10" x14ac:dyDescent="0.35">
      <c r="H27010" s="676"/>
      <c r="I27010" s="676"/>
      <c r="J27010" s="770"/>
    </row>
    <row r="27011" spans="8:10" x14ac:dyDescent="0.35">
      <c r="H27011" s="676"/>
      <c r="I27011" s="676"/>
      <c r="J27011" s="770"/>
    </row>
    <row r="27012" spans="8:10" x14ac:dyDescent="0.35">
      <c r="H27012" s="676"/>
      <c r="I27012" s="676"/>
      <c r="J27012" s="770"/>
    </row>
    <row r="27013" spans="8:10" x14ac:dyDescent="0.35">
      <c r="H27013" s="676"/>
      <c r="I27013" s="676"/>
      <c r="J27013" s="770"/>
    </row>
    <row r="27014" spans="8:10" x14ac:dyDescent="0.35">
      <c r="H27014" s="676"/>
      <c r="I27014" s="676"/>
      <c r="J27014" s="770"/>
    </row>
    <row r="27015" spans="8:10" x14ac:dyDescent="0.35">
      <c r="H27015" s="676"/>
      <c r="I27015" s="676"/>
      <c r="J27015" s="770"/>
    </row>
    <row r="27016" spans="8:10" x14ac:dyDescent="0.35">
      <c r="H27016" s="676"/>
      <c r="I27016" s="676"/>
      <c r="J27016" s="770"/>
    </row>
    <row r="27017" spans="8:10" x14ac:dyDescent="0.35">
      <c r="H27017" s="676"/>
      <c r="I27017" s="676"/>
      <c r="J27017" s="770"/>
    </row>
    <row r="27018" spans="8:10" x14ac:dyDescent="0.35">
      <c r="H27018" s="676"/>
      <c r="I27018" s="676"/>
      <c r="J27018" s="770"/>
    </row>
    <row r="27019" spans="8:10" x14ac:dyDescent="0.35">
      <c r="H27019" s="676"/>
      <c r="I27019" s="676"/>
      <c r="J27019" s="770"/>
    </row>
    <row r="27020" spans="8:10" x14ac:dyDescent="0.35">
      <c r="H27020" s="676"/>
      <c r="I27020" s="676"/>
      <c r="J27020" s="770"/>
    </row>
    <row r="27021" spans="8:10" x14ac:dyDescent="0.35">
      <c r="H27021" s="676"/>
      <c r="I27021" s="676"/>
      <c r="J27021" s="770"/>
    </row>
    <row r="27022" spans="8:10" x14ac:dyDescent="0.35">
      <c r="H27022" s="676"/>
      <c r="I27022" s="676"/>
      <c r="J27022" s="770"/>
    </row>
    <row r="27023" spans="8:10" x14ac:dyDescent="0.35">
      <c r="H27023" s="676"/>
      <c r="I27023" s="676"/>
      <c r="J27023" s="770"/>
    </row>
    <row r="27024" spans="8:10" x14ac:dyDescent="0.35">
      <c r="H27024" s="676"/>
      <c r="I27024" s="676"/>
      <c r="J27024" s="770"/>
    </row>
    <row r="27025" spans="8:10" x14ac:dyDescent="0.35">
      <c r="H27025" s="676"/>
      <c r="I27025" s="676"/>
      <c r="J27025" s="770"/>
    </row>
    <row r="27026" spans="8:10" x14ac:dyDescent="0.35">
      <c r="H27026" s="676"/>
      <c r="I27026" s="676"/>
      <c r="J27026" s="770"/>
    </row>
    <row r="27027" spans="8:10" x14ac:dyDescent="0.35">
      <c r="H27027" s="676"/>
      <c r="I27027" s="676"/>
      <c r="J27027" s="770"/>
    </row>
    <row r="27028" spans="8:10" x14ac:dyDescent="0.35">
      <c r="H27028" s="676"/>
      <c r="I27028" s="676"/>
      <c r="J27028" s="770"/>
    </row>
    <row r="27029" spans="8:10" x14ac:dyDescent="0.35">
      <c r="H27029" s="676"/>
      <c r="I27029" s="676"/>
      <c r="J27029" s="770"/>
    </row>
    <row r="27030" spans="8:10" x14ac:dyDescent="0.35">
      <c r="H27030" s="676"/>
      <c r="I27030" s="676"/>
      <c r="J27030" s="770"/>
    </row>
    <row r="27031" spans="8:10" x14ac:dyDescent="0.35">
      <c r="H27031" s="676"/>
      <c r="I27031" s="676"/>
      <c r="J27031" s="770"/>
    </row>
    <row r="27032" spans="8:10" x14ac:dyDescent="0.35">
      <c r="H27032" s="676"/>
      <c r="I27032" s="676"/>
      <c r="J27032" s="770"/>
    </row>
    <row r="27033" spans="8:10" x14ac:dyDescent="0.35">
      <c r="H27033" s="676"/>
      <c r="I27033" s="676"/>
      <c r="J27033" s="770"/>
    </row>
    <row r="27034" spans="8:10" x14ac:dyDescent="0.35">
      <c r="H27034" s="676"/>
      <c r="I27034" s="676"/>
      <c r="J27034" s="770"/>
    </row>
    <row r="27035" spans="8:10" x14ac:dyDescent="0.35">
      <c r="H27035" s="676"/>
      <c r="I27035" s="676"/>
      <c r="J27035" s="770"/>
    </row>
    <row r="27036" spans="8:10" x14ac:dyDescent="0.35">
      <c r="H27036" s="676"/>
      <c r="I27036" s="676"/>
      <c r="J27036" s="770"/>
    </row>
    <row r="27037" spans="8:10" x14ac:dyDescent="0.35">
      <c r="H27037" s="676"/>
      <c r="I27037" s="676"/>
      <c r="J27037" s="770"/>
    </row>
    <row r="27038" spans="8:10" x14ac:dyDescent="0.35">
      <c r="H27038" s="676"/>
      <c r="I27038" s="676"/>
      <c r="J27038" s="770"/>
    </row>
    <row r="27039" spans="8:10" x14ac:dyDescent="0.35">
      <c r="H27039" s="676"/>
      <c r="I27039" s="676"/>
      <c r="J27039" s="770"/>
    </row>
    <row r="27040" spans="8:10" x14ac:dyDescent="0.35">
      <c r="H27040" s="676"/>
      <c r="I27040" s="676"/>
      <c r="J27040" s="770"/>
    </row>
    <row r="27041" spans="8:10" x14ac:dyDescent="0.35">
      <c r="H27041" s="676"/>
      <c r="I27041" s="676"/>
      <c r="J27041" s="770"/>
    </row>
    <row r="27042" spans="8:10" x14ac:dyDescent="0.35">
      <c r="H27042" s="676"/>
      <c r="I27042" s="676"/>
      <c r="J27042" s="770"/>
    </row>
    <row r="27043" spans="8:10" x14ac:dyDescent="0.35">
      <c r="H27043" s="676"/>
      <c r="I27043" s="676"/>
      <c r="J27043" s="770"/>
    </row>
    <row r="27044" spans="8:10" x14ac:dyDescent="0.35">
      <c r="H27044" s="676"/>
      <c r="I27044" s="676"/>
      <c r="J27044" s="770"/>
    </row>
    <row r="27045" spans="8:10" x14ac:dyDescent="0.35">
      <c r="H27045" s="676"/>
      <c r="I27045" s="676"/>
      <c r="J27045" s="770"/>
    </row>
    <row r="27046" spans="8:10" x14ac:dyDescent="0.35">
      <c r="H27046" s="676"/>
      <c r="I27046" s="676"/>
      <c r="J27046" s="770"/>
    </row>
    <row r="27047" spans="8:10" x14ac:dyDescent="0.35">
      <c r="H27047" s="676"/>
      <c r="I27047" s="676"/>
      <c r="J27047" s="770"/>
    </row>
    <row r="27048" spans="8:10" x14ac:dyDescent="0.35">
      <c r="H27048" s="676"/>
      <c r="I27048" s="676"/>
      <c r="J27048" s="770"/>
    </row>
    <row r="27049" spans="8:10" x14ac:dyDescent="0.35">
      <c r="H27049" s="676"/>
      <c r="I27049" s="676"/>
      <c r="J27049" s="770"/>
    </row>
    <row r="27050" spans="8:10" x14ac:dyDescent="0.35">
      <c r="H27050" s="676"/>
      <c r="I27050" s="676"/>
      <c r="J27050" s="770"/>
    </row>
    <row r="27051" spans="8:10" x14ac:dyDescent="0.35">
      <c r="H27051" s="676"/>
      <c r="I27051" s="676"/>
      <c r="J27051" s="770"/>
    </row>
    <row r="27052" spans="8:10" x14ac:dyDescent="0.35">
      <c r="H27052" s="676"/>
      <c r="I27052" s="676"/>
      <c r="J27052" s="770"/>
    </row>
    <row r="27053" spans="8:10" x14ac:dyDescent="0.35">
      <c r="H27053" s="676"/>
      <c r="I27053" s="676"/>
      <c r="J27053" s="770"/>
    </row>
    <row r="27054" spans="8:10" x14ac:dyDescent="0.35">
      <c r="H27054" s="676"/>
      <c r="I27054" s="676"/>
      <c r="J27054" s="770"/>
    </row>
    <row r="27055" spans="8:10" x14ac:dyDescent="0.35">
      <c r="H27055" s="676"/>
      <c r="I27055" s="676"/>
      <c r="J27055" s="770"/>
    </row>
    <row r="27056" spans="8:10" x14ac:dyDescent="0.35">
      <c r="H27056" s="676"/>
      <c r="I27056" s="676"/>
      <c r="J27056" s="770"/>
    </row>
    <row r="27057" spans="8:10" x14ac:dyDescent="0.35">
      <c r="H27057" s="676"/>
      <c r="I27057" s="676"/>
      <c r="J27057" s="770"/>
    </row>
    <row r="27058" spans="8:10" x14ac:dyDescent="0.35">
      <c r="H27058" s="676"/>
      <c r="I27058" s="676"/>
      <c r="J27058" s="770"/>
    </row>
    <row r="27059" spans="8:10" x14ac:dyDescent="0.35">
      <c r="H27059" s="676"/>
      <c r="I27059" s="676"/>
      <c r="J27059" s="770"/>
    </row>
    <row r="27060" spans="8:10" x14ac:dyDescent="0.35">
      <c r="H27060" s="676"/>
      <c r="I27060" s="676"/>
      <c r="J27060" s="770"/>
    </row>
    <row r="27061" spans="8:10" x14ac:dyDescent="0.35">
      <c r="H27061" s="676"/>
      <c r="I27061" s="676"/>
      <c r="J27061" s="770"/>
    </row>
    <row r="27062" spans="8:10" x14ac:dyDescent="0.35">
      <c r="H27062" s="676"/>
      <c r="I27062" s="676"/>
      <c r="J27062" s="770"/>
    </row>
    <row r="27063" spans="8:10" x14ac:dyDescent="0.35">
      <c r="H27063" s="676"/>
      <c r="I27063" s="676"/>
      <c r="J27063" s="770"/>
    </row>
    <row r="27064" spans="8:10" x14ac:dyDescent="0.35">
      <c r="H27064" s="676"/>
      <c r="I27064" s="676"/>
      <c r="J27064" s="770"/>
    </row>
    <row r="27065" spans="8:10" x14ac:dyDescent="0.35">
      <c r="H27065" s="676"/>
      <c r="I27065" s="676"/>
      <c r="J27065" s="770"/>
    </row>
    <row r="27066" spans="8:10" x14ac:dyDescent="0.35">
      <c r="H27066" s="676"/>
      <c r="I27066" s="676"/>
      <c r="J27066" s="770"/>
    </row>
    <row r="27067" spans="8:10" x14ac:dyDescent="0.35">
      <c r="H27067" s="676"/>
      <c r="I27067" s="676"/>
      <c r="J27067" s="770"/>
    </row>
    <row r="27068" spans="8:10" x14ac:dyDescent="0.35">
      <c r="H27068" s="676"/>
      <c r="I27068" s="676"/>
      <c r="J27068" s="770"/>
    </row>
    <row r="27069" spans="8:10" x14ac:dyDescent="0.35">
      <c r="H27069" s="676"/>
      <c r="I27069" s="676"/>
      <c r="J27069" s="770"/>
    </row>
    <row r="27070" spans="8:10" x14ac:dyDescent="0.35">
      <c r="H27070" s="676"/>
      <c r="I27070" s="676"/>
      <c r="J27070" s="770"/>
    </row>
    <row r="27071" spans="8:10" x14ac:dyDescent="0.35">
      <c r="H27071" s="676"/>
      <c r="I27071" s="676"/>
      <c r="J27071" s="770"/>
    </row>
    <row r="27072" spans="8:10" x14ac:dyDescent="0.35">
      <c r="H27072" s="676"/>
      <c r="I27072" s="676"/>
      <c r="J27072" s="770"/>
    </row>
    <row r="27073" spans="8:10" x14ac:dyDescent="0.35">
      <c r="H27073" s="676"/>
      <c r="I27073" s="676"/>
      <c r="J27073" s="770"/>
    </row>
    <row r="27074" spans="8:10" x14ac:dyDescent="0.35">
      <c r="H27074" s="676"/>
      <c r="I27074" s="676"/>
      <c r="J27074" s="770"/>
    </row>
    <row r="27075" spans="8:10" x14ac:dyDescent="0.35">
      <c r="H27075" s="676"/>
      <c r="I27075" s="676"/>
      <c r="J27075" s="770"/>
    </row>
    <row r="27076" spans="8:10" x14ac:dyDescent="0.35">
      <c r="H27076" s="676"/>
      <c r="I27076" s="676"/>
      <c r="J27076" s="770"/>
    </row>
    <row r="27077" spans="8:10" x14ac:dyDescent="0.35">
      <c r="H27077" s="676"/>
      <c r="I27077" s="676"/>
      <c r="J27077" s="770"/>
    </row>
    <row r="27078" spans="8:10" x14ac:dyDescent="0.35">
      <c r="H27078" s="676"/>
      <c r="I27078" s="676"/>
      <c r="J27078" s="770"/>
    </row>
    <row r="27079" spans="8:10" x14ac:dyDescent="0.35">
      <c r="H27079" s="676"/>
      <c r="I27079" s="676"/>
      <c r="J27079" s="770"/>
    </row>
    <row r="27080" spans="8:10" x14ac:dyDescent="0.35">
      <c r="H27080" s="676"/>
      <c r="I27080" s="676"/>
      <c r="J27080" s="770"/>
    </row>
    <row r="27081" spans="8:10" x14ac:dyDescent="0.35">
      <c r="H27081" s="676"/>
      <c r="I27081" s="676"/>
      <c r="J27081" s="770"/>
    </row>
    <row r="27082" spans="8:10" x14ac:dyDescent="0.35">
      <c r="H27082" s="676"/>
      <c r="I27082" s="676"/>
      <c r="J27082" s="770"/>
    </row>
    <row r="27083" spans="8:10" x14ac:dyDescent="0.35">
      <c r="H27083" s="676"/>
      <c r="I27083" s="676"/>
      <c r="J27083" s="770"/>
    </row>
    <row r="27084" spans="8:10" x14ac:dyDescent="0.35">
      <c r="H27084" s="676"/>
      <c r="I27084" s="676"/>
      <c r="J27084" s="770"/>
    </row>
    <row r="27085" spans="8:10" x14ac:dyDescent="0.35">
      <c r="H27085" s="676"/>
      <c r="I27085" s="676"/>
      <c r="J27085" s="770"/>
    </row>
    <row r="27086" spans="8:10" x14ac:dyDescent="0.35">
      <c r="H27086" s="676"/>
      <c r="I27086" s="676"/>
      <c r="J27086" s="770"/>
    </row>
    <row r="27087" spans="8:10" x14ac:dyDescent="0.35">
      <c r="H27087" s="676"/>
      <c r="I27087" s="676"/>
      <c r="J27087" s="770"/>
    </row>
    <row r="27088" spans="8:10" x14ac:dyDescent="0.35">
      <c r="H27088" s="676"/>
      <c r="I27088" s="676"/>
      <c r="J27088" s="770"/>
    </row>
    <row r="27089" spans="8:10" x14ac:dyDescent="0.35">
      <c r="H27089" s="676"/>
      <c r="I27089" s="676"/>
      <c r="J27089" s="770"/>
    </row>
    <row r="27090" spans="8:10" x14ac:dyDescent="0.35">
      <c r="H27090" s="676"/>
      <c r="I27090" s="676"/>
      <c r="J27090" s="770"/>
    </row>
    <row r="27091" spans="8:10" x14ac:dyDescent="0.35">
      <c r="H27091" s="676"/>
      <c r="I27091" s="676"/>
      <c r="J27091" s="770"/>
    </row>
    <row r="27092" spans="8:10" x14ac:dyDescent="0.35">
      <c r="H27092" s="676"/>
      <c r="I27092" s="676"/>
      <c r="J27092" s="770"/>
    </row>
    <row r="27093" spans="8:10" x14ac:dyDescent="0.35">
      <c r="H27093" s="676"/>
      <c r="I27093" s="676"/>
      <c r="J27093" s="770"/>
    </row>
    <row r="27094" spans="8:10" x14ac:dyDescent="0.35">
      <c r="H27094" s="676"/>
      <c r="I27094" s="676"/>
      <c r="J27094" s="770"/>
    </row>
    <row r="27095" spans="8:10" x14ac:dyDescent="0.35">
      <c r="H27095" s="676"/>
      <c r="I27095" s="676"/>
      <c r="J27095" s="770"/>
    </row>
    <row r="27096" spans="8:10" x14ac:dyDescent="0.35">
      <c r="H27096" s="676"/>
      <c r="I27096" s="676"/>
      <c r="J27096" s="770"/>
    </row>
    <row r="27097" spans="8:10" x14ac:dyDescent="0.35">
      <c r="H27097" s="676"/>
      <c r="I27097" s="676"/>
      <c r="J27097" s="770"/>
    </row>
    <row r="27098" spans="8:10" x14ac:dyDescent="0.35">
      <c r="H27098" s="676"/>
      <c r="I27098" s="676"/>
      <c r="J27098" s="770"/>
    </row>
    <row r="27099" spans="8:10" x14ac:dyDescent="0.35">
      <c r="H27099" s="676"/>
      <c r="I27099" s="676"/>
      <c r="J27099" s="770"/>
    </row>
    <row r="27100" spans="8:10" x14ac:dyDescent="0.35">
      <c r="H27100" s="676"/>
      <c r="I27100" s="676"/>
      <c r="J27100" s="770"/>
    </row>
    <row r="27101" spans="8:10" x14ac:dyDescent="0.35">
      <c r="H27101" s="676"/>
      <c r="I27101" s="676"/>
      <c r="J27101" s="770"/>
    </row>
    <row r="27102" spans="8:10" x14ac:dyDescent="0.35">
      <c r="H27102" s="676"/>
      <c r="I27102" s="676"/>
      <c r="J27102" s="770"/>
    </row>
    <row r="27103" spans="8:10" x14ac:dyDescent="0.35">
      <c r="H27103" s="676"/>
      <c r="I27103" s="676"/>
      <c r="J27103" s="770"/>
    </row>
    <row r="27104" spans="8:10" x14ac:dyDescent="0.35">
      <c r="H27104" s="676"/>
      <c r="I27104" s="676"/>
      <c r="J27104" s="770"/>
    </row>
    <row r="27105" spans="8:10" x14ac:dyDescent="0.35">
      <c r="H27105" s="676"/>
      <c r="I27105" s="676"/>
      <c r="J27105" s="770"/>
    </row>
    <row r="27106" spans="8:10" x14ac:dyDescent="0.35">
      <c r="H27106" s="676"/>
      <c r="I27106" s="676"/>
      <c r="J27106" s="770"/>
    </row>
    <row r="27107" spans="8:10" x14ac:dyDescent="0.35">
      <c r="H27107" s="676"/>
      <c r="I27107" s="676"/>
      <c r="J27107" s="770"/>
    </row>
    <row r="27108" spans="8:10" x14ac:dyDescent="0.35">
      <c r="H27108" s="676"/>
      <c r="I27108" s="676"/>
      <c r="J27108" s="770"/>
    </row>
    <row r="27109" spans="8:10" x14ac:dyDescent="0.35">
      <c r="H27109" s="676"/>
      <c r="I27109" s="676"/>
      <c r="J27109" s="770"/>
    </row>
    <row r="27110" spans="8:10" x14ac:dyDescent="0.35">
      <c r="H27110" s="676"/>
      <c r="I27110" s="676"/>
      <c r="J27110" s="770"/>
    </row>
    <row r="27111" spans="8:10" x14ac:dyDescent="0.35">
      <c r="H27111" s="676"/>
      <c r="I27111" s="676"/>
      <c r="J27111" s="770"/>
    </row>
    <row r="27112" spans="8:10" x14ac:dyDescent="0.35">
      <c r="H27112" s="676"/>
      <c r="I27112" s="676"/>
      <c r="J27112" s="770"/>
    </row>
    <row r="27113" spans="8:10" x14ac:dyDescent="0.35">
      <c r="H27113" s="676"/>
      <c r="I27113" s="676"/>
      <c r="J27113" s="770"/>
    </row>
    <row r="27114" spans="8:10" x14ac:dyDescent="0.35">
      <c r="H27114" s="676"/>
      <c r="I27114" s="676"/>
      <c r="J27114" s="770"/>
    </row>
    <row r="27115" spans="8:10" x14ac:dyDescent="0.35">
      <c r="H27115" s="676"/>
      <c r="I27115" s="676"/>
      <c r="J27115" s="770"/>
    </row>
    <row r="27116" spans="8:10" x14ac:dyDescent="0.35">
      <c r="H27116" s="676"/>
      <c r="I27116" s="676"/>
      <c r="J27116" s="770"/>
    </row>
    <row r="27117" spans="8:10" x14ac:dyDescent="0.35">
      <c r="H27117" s="676"/>
      <c r="I27117" s="676"/>
      <c r="J27117" s="770"/>
    </row>
    <row r="27118" spans="8:10" x14ac:dyDescent="0.35">
      <c r="H27118" s="676"/>
      <c r="I27118" s="676"/>
      <c r="J27118" s="770"/>
    </row>
    <row r="27119" spans="8:10" x14ac:dyDescent="0.35">
      <c r="H27119" s="676"/>
      <c r="I27119" s="676"/>
      <c r="J27119" s="770"/>
    </row>
    <row r="27120" spans="8:10" x14ac:dyDescent="0.35">
      <c r="H27120" s="676"/>
      <c r="I27120" s="676"/>
      <c r="J27120" s="770"/>
    </row>
    <row r="27121" spans="8:10" x14ac:dyDescent="0.35">
      <c r="H27121" s="676"/>
      <c r="I27121" s="676"/>
      <c r="J27121" s="770"/>
    </row>
    <row r="27122" spans="8:10" x14ac:dyDescent="0.35">
      <c r="H27122" s="676"/>
      <c r="I27122" s="676"/>
      <c r="J27122" s="770"/>
    </row>
    <row r="27123" spans="8:10" x14ac:dyDescent="0.35">
      <c r="H27123" s="676"/>
      <c r="I27123" s="676"/>
      <c r="J27123" s="770"/>
    </row>
    <row r="27124" spans="8:10" x14ac:dyDescent="0.35">
      <c r="H27124" s="676"/>
      <c r="I27124" s="676"/>
      <c r="J27124" s="770"/>
    </row>
    <row r="27125" spans="8:10" x14ac:dyDescent="0.35">
      <c r="H27125" s="676"/>
      <c r="I27125" s="676"/>
      <c r="J27125" s="770"/>
    </row>
    <row r="27126" spans="8:10" x14ac:dyDescent="0.35">
      <c r="H27126" s="676"/>
      <c r="I27126" s="676"/>
      <c r="J27126" s="770"/>
    </row>
    <row r="27127" spans="8:10" x14ac:dyDescent="0.35">
      <c r="H27127" s="676"/>
      <c r="I27127" s="676"/>
      <c r="J27127" s="770"/>
    </row>
    <row r="27128" spans="8:10" x14ac:dyDescent="0.35">
      <c r="H27128" s="676"/>
      <c r="I27128" s="676"/>
      <c r="J27128" s="770"/>
    </row>
    <row r="27129" spans="8:10" x14ac:dyDescent="0.35">
      <c r="H27129" s="676"/>
      <c r="I27129" s="676"/>
      <c r="J27129" s="770"/>
    </row>
    <row r="27130" spans="8:10" x14ac:dyDescent="0.35">
      <c r="H27130" s="676"/>
      <c r="I27130" s="676"/>
      <c r="J27130" s="770"/>
    </row>
    <row r="27131" spans="8:10" x14ac:dyDescent="0.35">
      <c r="H27131" s="676"/>
      <c r="I27131" s="676"/>
      <c r="J27131" s="770"/>
    </row>
    <row r="27132" spans="8:10" x14ac:dyDescent="0.35">
      <c r="H27132" s="676"/>
      <c r="I27132" s="676"/>
      <c r="J27132" s="770"/>
    </row>
    <row r="27133" spans="8:10" x14ac:dyDescent="0.35">
      <c r="H27133" s="676"/>
      <c r="I27133" s="676"/>
      <c r="J27133" s="770"/>
    </row>
    <row r="27134" spans="8:10" x14ac:dyDescent="0.35">
      <c r="H27134" s="676"/>
      <c r="I27134" s="676"/>
      <c r="J27134" s="770"/>
    </row>
    <row r="27135" spans="8:10" x14ac:dyDescent="0.35">
      <c r="H27135" s="676"/>
      <c r="I27135" s="676"/>
      <c r="J27135" s="770"/>
    </row>
    <row r="27136" spans="8:10" x14ac:dyDescent="0.35">
      <c r="H27136" s="676"/>
      <c r="I27136" s="676"/>
      <c r="J27136" s="770"/>
    </row>
    <row r="27137" spans="8:10" x14ac:dyDescent="0.35">
      <c r="H27137" s="676"/>
      <c r="I27137" s="676"/>
      <c r="J27137" s="770"/>
    </row>
    <row r="27138" spans="8:10" x14ac:dyDescent="0.35">
      <c r="H27138" s="676"/>
      <c r="I27138" s="676"/>
      <c r="J27138" s="770"/>
    </row>
    <row r="27139" spans="8:10" x14ac:dyDescent="0.35">
      <c r="H27139" s="676"/>
      <c r="I27139" s="676"/>
      <c r="J27139" s="770"/>
    </row>
    <row r="27140" spans="8:10" x14ac:dyDescent="0.35">
      <c r="H27140" s="676"/>
      <c r="I27140" s="676"/>
      <c r="J27140" s="770"/>
    </row>
    <row r="27141" spans="8:10" x14ac:dyDescent="0.35">
      <c r="H27141" s="676"/>
      <c r="I27141" s="676"/>
      <c r="J27141" s="770"/>
    </row>
    <row r="27142" spans="8:10" x14ac:dyDescent="0.35">
      <c r="H27142" s="676"/>
      <c r="I27142" s="676"/>
      <c r="J27142" s="770"/>
    </row>
    <row r="27143" spans="8:10" x14ac:dyDescent="0.35">
      <c r="H27143" s="676"/>
      <c r="I27143" s="676"/>
      <c r="J27143" s="770"/>
    </row>
    <row r="27144" spans="8:10" x14ac:dyDescent="0.35">
      <c r="H27144" s="676"/>
      <c r="I27144" s="676"/>
      <c r="J27144" s="770"/>
    </row>
    <row r="27145" spans="8:10" x14ac:dyDescent="0.35">
      <c r="H27145" s="676"/>
      <c r="I27145" s="676"/>
      <c r="J27145" s="770"/>
    </row>
    <row r="27146" spans="8:10" x14ac:dyDescent="0.35">
      <c r="H27146" s="676"/>
      <c r="I27146" s="676"/>
      <c r="J27146" s="770"/>
    </row>
    <row r="27147" spans="8:10" x14ac:dyDescent="0.35">
      <c r="H27147" s="676"/>
      <c r="I27147" s="676"/>
      <c r="J27147" s="770"/>
    </row>
    <row r="27148" spans="8:10" x14ac:dyDescent="0.35">
      <c r="H27148" s="676"/>
      <c r="I27148" s="676"/>
      <c r="J27148" s="770"/>
    </row>
    <row r="27149" spans="8:10" x14ac:dyDescent="0.35">
      <c r="H27149" s="676"/>
      <c r="I27149" s="676"/>
      <c r="J27149" s="770"/>
    </row>
    <row r="27150" spans="8:10" x14ac:dyDescent="0.35">
      <c r="H27150" s="676"/>
      <c r="I27150" s="676"/>
      <c r="J27150" s="770"/>
    </row>
    <row r="27151" spans="8:10" x14ac:dyDescent="0.35">
      <c r="H27151" s="676"/>
      <c r="I27151" s="676"/>
      <c r="J27151" s="770"/>
    </row>
    <row r="27152" spans="8:10" x14ac:dyDescent="0.35">
      <c r="H27152" s="676"/>
      <c r="I27152" s="676"/>
      <c r="J27152" s="770"/>
    </row>
    <row r="27153" spans="8:10" x14ac:dyDescent="0.35">
      <c r="H27153" s="676"/>
      <c r="I27153" s="676"/>
      <c r="J27153" s="770"/>
    </row>
    <row r="27154" spans="8:10" x14ac:dyDescent="0.35">
      <c r="H27154" s="676"/>
      <c r="I27154" s="676"/>
      <c r="J27154" s="770"/>
    </row>
    <row r="27155" spans="8:10" x14ac:dyDescent="0.35">
      <c r="H27155" s="676"/>
      <c r="I27155" s="676"/>
      <c r="J27155" s="770"/>
    </row>
    <row r="27156" spans="8:10" x14ac:dyDescent="0.35">
      <c r="H27156" s="676"/>
      <c r="I27156" s="676"/>
      <c r="J27156" s="770"/>
    </row>
    <row r="27157" spans="8:10" x14ac:dyDescent="0.35">
      <c r="H27157" s="676"/>
      <c r="I27157" s="676"/>
      <c r="J27157" s="770"/>
    </row>
    <row r="27158" spans="8:10" x14ac:dyDescent="0.35">
      <c r="H27158" s="676"/>
      <c r="I27158" s="676"/>
      <c r="J27158" s="770"/>
    </row>
    <row r="27159" spans="8:10" x14ac:dyDescent="0.35">
      <c r="H27159" s="676"/>
      <c r="I27159" s="676"/>
      <c r="J27159" s="770"/>
    </row>
    <row r="27160" spans="8:10" x14ac:dyDescent="0.35">
      <c r="H27160" s="676"/>
      <c r="I27160" s="676"/>
      <c r="J27160" s="770"/>
    </row>
    <row r="27161" spans="8:10" x14ac:dyDescent="0.35">
      <c r="H27161" s="676"/>
      <c r="I27161" s="676"/>
      <c r="J27161" s="770"/>
    </row>
    <row r="27162" spans="8:10" x14ac:dyDescent="0.35">
      <c r="H27162" s="676"/>
      <c r="I27162" s="676"/>
      <c r="J27162" s="770"/>
    </row>
    <row r="27163" spans="8:10" x14ac:dyDescent="0.35">
      <c r="H27163" s="676"/>
      <c r="I27163" s="676"/>
      <c r="J27163" s="770"/>
    </row>
    <row r="27164" spans="8:10" x14ac:dyDescent="0.35">
      <c r="H27164" s="676"/>
      <c r="I27164" s="676"/>
      <c r="J27164" s="770"/>
    </row>
    <row r="27165" spans="8:10" x14ac:dyDescent="0.35">
      <c r="H27165" s="676"/>
      <c r="I27165" s="676"/>
      <c r="J27165" s="770"/>
    </row>
    <row r="27166" spans="8:10" x14ac:dyDescent="0.35">
      <c r="H27166" s="676"/>
      <c r="I27166" s="676"/>
      <c r="J27166" s="770"/>
    </row>
    <row r="27167" spans="8:10" x14ac:dyDescent="0.35">
      <c r="H27167" s="676"/>
      <c r="I27167" s="676"/>
      <c r="J27167" s="770"/>
    </row>
    <row r="27168" spans="8:10" x14ac:dyDescent="0.35">
      <c r="H27168" s="676"/>
      <c r="I27168" s="676"/>
      <c r="J27168" s="770"/>
    </row>
    <row r="27169" spans="8:10" x14ac:dyDescent="0.35">
      <c r="H27169" s="676"/>
      <c r="I27169" s="676"/>
      <c r="J27169" s="770"/>
    </row>
    <row r="27170" spans="8:10" x14ac:dyDescent="0.35">
      <c r="H27170" s="676"/>
      <c r="I27170" s="676"/>
      <c r="J27170" s="770"/>
    </row>
    <row r="27171" spans="8:10" x14ac:dyDescent="0.35">
      <c r="H27171" s="676"/>
      <c r="I27171" s="676"/>
      <c r="J27171" s="770"/>
    </row>
    <row r="27172" spans="8:10" x14ac:dyDescent="0.35">
      <c r="H27172" s="676"/>
      <c r="I27172" s="676"/>
      <c r="J27172" s="770"/>
    </row>
    <row r="27173" spans="8:10" x14ac:dyDescent="0.35">
      <c r="H27173" s="676"/>
      <c r="I27173" s="676"/>
      <c r="J27173" s="770"/>
    </row>
    <row r="27174" spans="8:10" x14ac:dyDescent="0.35">
      <c r="H27174" s="676"/>
      <c r="I27174" s="676"/>
      <c r="J27174" s="770"/>
    </row>
    <row r="27175" spans="8:10" x14ac:dyDescent="0.35">
      <c r="H27175" s="676"/>
      <c r="I27175" s="676"/>
      <c r="J27175" s="770"/>
    </row>
    <row r="27176" spans="8:10" x14ac:dyDescent="0.35">
      <c r="H27176" s="676"/>
      <c r="I27176" s="676"/>
      <c r="J27176" s="770"/>
    </row>
    <row r="27177" spans="8:10" x14ac:dyDescent="0.35">
      <c r="H27177" s="676"/>
      <c r="I27177" s="676"/>
      <c r="J27177" s="770"/>
    </row>
    <row r="27178" spans="8:10" x14ac:dyDescent="0.35">
      <c r="H27178" s="676"/>
      <c r="I27178" s="676"/>
      <c r="J27178" s="770"/>
    </row>
    <row r="27179" spans="8:10" x14ac:dyDescent="0.35">
      <c r="H27179" s="676"/>
      <c r="I27179" s="676"/>
      <c r="J27179" s="770"/>
    </row>
    <row r="27180" spans="8:10" x14ac:dyDescent="0.35">
      <c r="H27180" s="676"/>
      <c r="I27180" s="676"/>
      <c r="J27180" s="770"/>
    </row>
    <row r="27181" spans="8:10" x14ac:dyDescent="0.35">
      <c r="H27181" s="676"/>
      <c r="I27181" s="676"/>
      <c r="J27181" s="770"/>
    </row>
    <row r="27182" spans="8:10" x14ac:dyDescent="0.35">
      <c r="H27182" s="676"/>
      <c r="I27182" s="676"/>
      <c r="J27182" s="770"/>
    </row>
    <row r="27183" spans="8:10" x14ac:dyDescent="0.35">
      <c r="H27183" s="676"/>
      <c r="I27183" s="676"/>
      <c r="J27183" s="770"/>
    </row>
    <row r="27184" spans="8:10" x14ac:dyDescent="0.35">
      <c r="H27184" s="676"/>
      <c r="I27184" s="676"/>
      <c r="J27184" s="770"/>
    </row>
    <row r="27185" spans="8:10" x14ac:dyDescent="0.35">
      <c r="H27185" s="676"/>
      <c r="I27185" s="676"/>
      <c r="J27185" s="770"/>
    </row>
    <row r="27186" spans="8:10" x14ac:dyDescent="0.35">
      <c r="H27186" s="676"/>
      <c r="I27186" s="676"/>
      <c r="J27186" s="770"/>
    </row>
    <row r="27187" spans="8:10" x14ac:dyDescent="0.35">
      <c r="H27187" s="676"/>
      <c r="I27187" s="676"/>
      <c r="J27187" s="770"/>
    </row>
    <row r="27188" spans="8:10" x14ac:dyDescent="0.35">
      <c r="H27188" s="676"/>
      <c r="I27188" s="676"/>
      <c r="J27188" s="770"/>
    </row>
    <row r="27189" spans="8:10" x14ac:dyDescent="0.35">
      <c r="H27189" s="676"/>
      <c r="I27189" s="676"/>
      <c r="J27189" s="770"/>
    </row>
    <row r="27190" spans="8:10" x14ac:dyDescent="0.35">
      <c r="H27190" s="676"/>
      <c r="I27190" s="676"/>
      <c r="J27190" s="770"/>
    </row>
    <row r="27191" spans="8:10" x14ac:dyDescent="0.35">
      <c r="H27191" s="676"/>
      <c r="I27191" s="676"/>
      <c r="J27191" s="770"/>
    </row>
    <row r="27192" spans="8:10" x14ac:dyDescent="0.35">
      <c r="H27192" s="676"/>
      <c r="I27192" s="676"/>
      <c r="J27192" s="770"/>
    </row>
    <row r="27193" spans="8:10" x14ac:dyDescent="0.35">
      <c r="H27193" s="676"/>
      <c r="I27193" s="676"/>
      <c r="J27193" s="770"/>
    </row>
    <row r="27194" spans="8:10" x14ac:dyDescent="0.35">
      <c r="H27194" s="676"/>
      <c r="I27194" s="676"/>
      <c r="J27194" s="770"/>
    </row>
    <row r="27195" spans="8:10" x14ac:dyDescent="0.35">
      <c r="H27195" s="676"/>
      <c r="I27195" s="676"/>
      <c r="J27195" s="770"/>
    </row>
    <row r="27196" spans="8:10" x14ac:dyDescent="0.35">
      <c r="H27196" s="676"/>
      <c r="I27196" s="676"/>
      <c r="J27196" s="770"/>
    </row>
    <row r="27197" spans="8:10" x14ac:dyDescent="0.35">
      <c r="H27197" s="676"/>
      <c r="I27197" s="676"/>
      <c r="J27197" s="770"/>
    </row>
    <row r="27198" spans="8:10" x14ac:dyDescent="0.35">
      <c r="H27198" s="676"/>
      <c r="I27198" s="676"/>
      <c r="J27198" s="770"/>
    </row>
    <row r="27199" spans="8:10" x14ac:dyDescent="0.35">
      <c r="H27199" s="676"/>
      <c r="I27199" s="676"/>
      <c r="J27199" s="770"/>
    </row>
    <row r="27200" spans="8:10" x14ac:dyDescent="0.35">
      <c r="H27200" s="676"/>
      <c r="I27200" s="676"/>
      <c r="J27200" s="770"/>
    </row>
    <row r="27201" spans="8:10" x14ac:dyDescent="0.35">
      <c r="H27201" s="676"/>
      <c r="I27201" s="676"/>
      <c r="J27201" s="770"/>
    </row>
    <row r="27202" spans="8:10" x14ac:dyDescent="0.35">
      <c r="H27202" s="676"/>
      <c r="I27202" s="676"/>
      <c r="J27202" s="770"/>
    </row>
    <row r="27203" spans="8:10" x14ac:dyDescent="0.35">
      <c r="H27203" s="676"/>
      <c r="I27203" s="676"/>
      <c r="J27203" s="770"/>
    </row>
    <row r="27204" spans="8:10" x14ac:dyDescent="0.35">
      <c r="H27204" s="676"/>
      <c r="I27204" s="676"/>
      <c r="J27204" s="770"/>
    </row>
    <row r="27205" spans="8:10" x14ac:dyDescent="0.35">
      <c r="H27205" s="676"/>
      <c r="I27205" s="676"/>
      <c r="J27205" s="770"/>
    </row>
    <row r="27206" spans="8:10" x14ac:dyDescent="0.35">
      <c r="H27206" s="676"/>
      <c r="I27206" s="676"/>
      <c r="J27206" s="770"/>
    </row>
    <row r="27207" spans="8:10" x14ac:dyDescent="0.35">
      <c r="H27207" s="676"/>
      <c r="I27207" s="676"/>
      <c r="J27207" s="770"/>
    </row>
    <row r="27208" spans="8:10" x14ac:dyDescent="0.35">
      <c r="H27208" s="676"/>
      <c r="I27208" s="676"/>
      <c r="J27208" s="770"/>
    </row>
    <row r="27209" spans="8:10" x14ac:dyDescent="0.35">
      <c r="H27209" s="676"/>
      <c r="I27209" s="676"/>
      <c r="J27209" s="770"/>
    </row>
    <row r="27210" spans="8:10" x14ac:dyDescent="0.35">
      <c r="H27210" s="676"/>
      <c r="I27210" s="676"/>
      <c r="J27210" s="770"/>
    </row>
    <row r="27211" spans="8:10" x14ac:dyDescent="0.35">
      <c r="H27211" s="676"/>
      <c r="I27211" s="676"/>
      <c r="J27211" s="770"/>
    </row>
    <row r="27212" spans="8:10" x14ac:dyDescent="0.35">
      <c r="H27212" s="676"/>
      <c r="I27212" s="676"/>
      <c r="J27212" s="770"/>
    </row>
    <row r="27213" spans="8:10" x14ac:dyDescent="0.35">
      <c r="H27213" s="676"/>
      <c r="I27213" s="676"/>
      <c r="J27213" s="770"/>
    </row>
    <row r="27214" spans="8:10" x14ac:dyDescent="0.35">
      <c r="H27214" s="676"/>
      <c r="I27214" s="676"/>
      <c r="J27214" s="770"/>
    </row>
    <row r="27215" spans="8:10" x14ac:dyDescent="0.35">
      <c r="H27215" s="676"/>
      <c r="I27215" s="676"/>
      <c r="J27215" s="770"/>
    </row>
    <row r="27216" spans="8:10" x14ac:dyDescent="0.35">
      <c r="H27216" s="676"/>
      <c r="I27216" s="676"/>
      <c r="J27216" s="770"/>
    </row>
    <row r="27217" spans="8:10" x14ac:dyDescent="0.35">
      <c r="H27217" s="676"/>
      <c r="I27217" s="676"/>
      <c r="J27217" s="770"/>
    </row>
    <row r="27218" spans="8:10" x14ac:dyDescent="0.35">
      <c r="H27218" s="676"/>
      <c r="I27218" s="676"/>
      <c r="J27218" s="770"/>
    </row>
    <row r="27219" spans="8:10" x14ac:dyDescent="0.35">
      <c r="H27219" s="676"/>
      <c r="I27219" s="676"/>
      <c r="J27219" s="770"/>
    </row>
    <row r="27220" spans="8:10" x14ac:dyDescent="0.35">
      <c r="H27220" s="676"/>
      <c r="I27220" s="676"/>
      <c r="J27220" s="770"/>
    </row>
    <row r="27221" spans="8:10" x14ac:dyDescent="0.35">
      <c r="H27221" s="676"/>
      <c r="I27221" s="676"/>
      <c r="J27221" s="770"/>
    </row>
    <row r="27222" spans="8:10" x14ac:dyDescent="0.35">
      <c r="H27222" s="676"/>
      <c r="I27222" s="676"/>
      <c r="J27222" s="770"/>
    </row>
    <row r="27223" spans="8:10" x14ac:dyDescent="0.35">
      <c r="H27223" s="676"/>
      <c r="I27223" s="676"/>
      <c r="J27223" s="770"/>
    </row>
    <row r="27224" spans="8:10" x14ac:dyDescent="0.35">
      <c r="H27224" s="676"/>
      <c r="I27224" s="676"/>
      <c r="J27224" s="770"/>
    </row>
    <row r="27225" spans="8:10" x14ac:dyDescent="0.35">
      <c r="H27225" s="676"/>
      <c r="I27225" s="676"/>
      <c r="J27225" s="770"/>
    </row>
    <row r="27226" spans="8:10" x14ac:dyDescent="0.35">
      <c r="H27226" s="676"/>
      <c r="I27226" s="676"/>
      <c r="J27226" s="770"/>
    </row>
    <row r="27227" spans="8:10" x14ac:dyDescent="0.35">
      <c r="H27227" s="676"/>
      <c r="I27227" s="676"/>
      <c r="J27227" s="770"/>
    </row>
    <row r="27228" spans="8:10" x14ac:dyDescent="0.35">
      <c r="H27228" s="676"/>
      <c r="I27228" s="676"/>
      <c r="J27228" s="770"/>
    </row>
    <row r="27229" spans="8:10" x14ac:dyDescent="0.35">
      <c r="H27229" s="676"/>
      <c r="I27229" s="676"/>
      <c r="J27229" s="770"/>
    </row>
    <row r="27230" spans="8:10" x14ac:dyDescent="0.35">
      <c r="H27230" s="676"/>
      <c r="I27230" s="676"/>
      <c r="J27230" s="770"/>
    </row>
    <row r="27231" spans="8:10" x14ac:dyDescent="0.35">
      <c r="H27231" s="676"/>
      <c r="I27231" s="676"/>
      <c r="J27231" s="770"/>
    </row>
    <row r="27232" spans="8:10" x14ac:dyDescent="0.35">
      <c r="H27232" s="676"/>
      <c r="I27232" s="676"/>
      <c r="J27232" s="770"/>
    </row>
    <row r="27233" spans="8:10" x14ac:dyDescent="0.35">
      <c r="H27233" s="676"/>
      <c r="I27233" s="676"/>
      <c r="J27233" s="770"/>
    </row>
    <row r="27234" spans="8:10" x14ac:dyDescent="0.35">
      <c r="H27234" s="676"/>
      <c r="I27234" s="676"/>
      <c r="J27234" s="770"/>
    </row>
    <row r="27235" spans="8:10" x14ac:dyDescent="0.35">
      <c r="H27235" s="676"/>
      <c r="I27235" s="676"/>
      <c r="J27235" s="770"/>
    </row>
    <row r="27236" spans="8:10" x14ac:dyDescent="0.35">
      <c r="H27236" s="676"/>
      <c r="I27236" s="676"/>
      <c r="J27236" s="770"/>
    </row>
    <row r="27237" spans="8:10" x14ac:dyDescent="0.35">
      <c r="H27237" s="676"/>
      <c r="I27237" s="676"/>
      <c r="J27237" s="770"/>
    </row>
    <row r="27238" spans="8:10" x14ac:dyDescent="0.35">
      <c r="H27238" s="676"/>
      <c r="I27238" s="676"/>
      <c r="J27238" s="770"/>
    </row>
    <row r="27239" spans="8:10" x14ac:dyDescent="0.35">
      <c r="H27239" s="676"/>
      <c r="I27239" s="676"/>
      <c r="J27239" s="770"/>
    </row>
    <row r="27240" spans="8:10" x14ac:dyDescent="0.35">
      <c r="H27240" s="676"/>
      <c r="I27240" s="676"/>
      <c r="J27240" s="770"/>
    </row>
    <row r="27241" spans="8:10" x14ac:dyDescent="0.35">
      <c r="H27241" s="676"/>
      <c r="I27241" s="676"/>
      <c r="J27241" s="770"/>
    </row>
    <row r="27242" spans="8:10" x14ac:dyDescent="0.35">
      <c r="H27242" s="676"/>
      <c r="I27242" s="676"/>
      <c r="J27242" s="770"/>
    </row>
    <row r="27243" spans="8:10" x14ac:dyDescent="0.35">
      <c r="H27243" s="676"/>
      <c r="I27243" s="676"/>
      <c r="J27243" s="770"/>
    </row>
    <row r="27244" spans="8:10" x14ac:dyDescent="0.35">
      <c r="H27244" s="676"/>
      <c r="I27244" s="676"/>
      <c r="J27244" s="770"/>
    </row>
    <row r="27245" spans="8:10" x14ac:dyDescent="0.35">
      <c r="H27245" s="676"/>
      <c r="I27245" s="676"/>
      <c r="J27245" s="770"/>
    </row>
    <row r="27246" spans="8:10" x14ac:dyDescent="0.35">
      <c r="H27246" s="676"/>
      <c r="I27246" s="676"/>
      <c r="J27246" s="770"/>
    </row>
    <row r="27247" spans="8:10" x14ac:dyDescent="0.35">
      <c r="H27247" s="676"/>
      <c r="I27247" s="676"/>
      <c r="J27247" s="770"/>
    </row>
    <row r="27248" spans="8:10" x14ac:dyDescent="0.35">
      <c r="H27248" s="676"/>
      <c r="I27248" s="676"/>
      <c r="J27248" s="770"/>
    </row>
    <row r="27249" spans="8:10" x14ac:dyDescent="0.35">
      <c r="H27249" s="676"/>
      <c r="I27249" s="676"/>
      <c r="J27249" s="770"/>
    </row>
    <row r="27250" spans="8:10" x14ac:dyDescent="0.35">
      <c r="H27250" s="676"/>
      <c r="I27250" s="676"/>
      <c r="J27250" s="770"/>
    </row>
    <row r="27251" spans="8:10" x14ac:dyDescent="0.35">
      <c r="H27251" s="676"/>
      <c r="I27251" s="676"/>
      <c r="J27251" s="770"/>
    </row>
    <row r="27252" spans="8:10" x14ac:dyDescent="0.35">
      <c r="H27252" s="676"/>
      <c r="I27252" s="676"/>
      <c r="J27252" s="770"/>
    </row>
    <row r="27253" spans="8:10" x14ac:dyDescent="0.35">
      <c r="H27253" s="676"/>
      <c r="I27253" s="676"/>
      <c r="J27253" s="770"/>
    </row>
    <row r="27254" spans="8:10" x14ac:dyDescent="0.35">
      <c r="H27254" s="676"/>
      <c r="I27254" s="676"/>
      <c r="J27254" s="770"/>
    </row>
    <row r="27255" spans="8:10" x14ac:dyDescent="0.35">
      <c r="H27255" s="676"/>
      <c r="I27255" s="676"/>
      <c r="J27255" s="770"/>
    </row>
    <row r="27256" spans="8:10" x14ac:dyDescent="0.35">
      <c r="H27256" s="676"/>
      <c r="I27256" s="676"/>
      <c r="J27256" s="770"/>
    </row>
    <row r="27257" spans="8:10" x14ac:dyDescent="0.35">
      <c r="H27257" s="676"/>
      <c r="I27257" s="676"/>
      <c r="J27257" s="770"/>
    </row>
    <row r="27258" spans="8:10" x14ac:dyDescent="0.35">
      <c r="H27258" s="676"/>
      <c r="I27258" s="676"/>
      <c r="J27258" s="770"/>
    </row>
    <row r="27259" spans="8:10" x14ac:dyDescent="0.35">
      <c r="H27259" s="676"/>
      <c r="I27259" s="676"/>
      <c r="J27259" s="770"/>
    </row>
    <row r="27260" spans="8:10" x14ac:dyDescent="0.35">
      <c r="H27260" s="676"/>
      <c r="I27260" s="676"/>
      <c r="J27260" s="770"/>
    </row>
    <row r="27261" spans="8:10" x14ac:dyDescent="0.35">
      <c r="H27261" s="676"/>
      <c r="I27261" s="676"/>
      <c r="J27261" s="770"/>
    </row>
    <row r="27262" spans="8:10" x14ac:dyDescent="0.35">
      <c r="H27262" s="676"/>
      <c r="I27262" s="676"/>
      <c r="J27262" s="770"/>
    </row>
    <row r="27263" spans="8:10" x14ac:dyDescent="0.35">
      <c r="H27263" s="676"/>
      <c r="I27263" s="676"/>
      <c r="J27263" s="770"/>
    </row>
    <row r="27264" spans="8:10" x14ac:dyDescent="0.35">
      <c r="H27264" s="676"/>
      <c r="I27264" s="676"/>
      <c r="J27264" s="770"/>
    </row>
    <row r="27265" spans="8:10" x14ac:dyDescent="0.35">
      <c r="H27265" s="676"/>
      <c r="I27265" s="676"/>
      <c r="J27265" s="770"/>
    </row>
    <row r="27266" spans="8:10" x14ac:dyDescent="0.35">
      <c r="H27266" s="676"/>
      <c r="I27266" s="676"/>
      <c r="J27266" s="770"/>
    </row>
    <row r="27267" spans="8:10" x14ac:dyDescent="0.35">
      <c r="H27267" s="676"/>
      <c r="I27267" s="676"/>
      <c r="J27267" s="770"/>
    </row>
    <row r="27268" spans="8:10" x14ac:dyDescent="0.35">
      <c r="H27268" s="676"/>
      <c r="I27268" s="676"/>
      <c r="J27268" s="770"/>
    </row>
    <row r="27269" spans="8:10" x14ac:dyDescent="0.35">
      <c r="H27269" s="676"/>
      <c r="I27269" s="676"/>
      <c r="J27269" s="770"/>
    </row>
    <row r="27270" spans="8:10" x14ac:dyDescent="0.35">
      <c r="H27270" s="676"/>
      <c r="I27270" s="676"/>
      <c r="J27270" s="770"/>
    </row>
    <row r="27271" spans="8:10" x14ac:dyDescent="0.35">
      <c r="H27271" s="676"/>
      <c r="I27271" s="676"/>
      <c r="J27271" s="770"/>
    </row>
    <row r="27272" spans="8:10" x14ac:dyDescent="0.35">
      <c r="H27272" s="676"/>
      <c r="I27272" s="676"/>
      <c r="J27272" s="770"/>
    </row>
    <row r="27273" spans="8:10" x14ac:dyDescent="0.35">
      <c r="H27273" s="676"/>
      <c r="I27273" s="676"/>
      <c r="J27273" s="770"/>
    </row>
    <row r="27274" spans="8:10" x14ac:dyDescent="0.35">
      <c r="H27274" s="676"/>
      <c r="I27274" s="676"/>
      <c r="J27274" s="770"/>
    </row>
    <row r="27275" spans="8:10" x14ac:dyDescent="0.35">
      <c r="H27275" s="676"/>
      <c r="I27275" s="676"/>
      <c r="J27275" s="770"/>
    </row>
    <row r="27276" spans="8:10" x14ac:dyDescent="0.35">
      <c r="H27276" s="676"/>
      <c r="I27276" s="676"/>
      <c r="J27276" s="770"/>
    </row>
    <row r="27277" spans="8:10" x14ac:dyDescent="0.35">
      <c r="H27277" s="676"/>
      <c r="I27277" s="676"/>
      <c r="J27277" s="770"/>
    </row>
    <row r="27278" spans="8:10" x14ac:dyDescent="0.35">
      <c r="H27278" s="676"/>
      <c r="I27278" s="676"/>
      <c r="J27278" s="770"/>
    </row>
    <row r="27279" spans="8:10" x14ac:dyDescent="0.35">
      <c r="H27279" s="676"/>
      <c r="I27279" s="676"/>
      <c r="J27279" s="770"/>
    </row>
    <row r="27280" spans="8:10" x14ac:dyDescent="0.35">
      <c r="H27280" s="676"/>
      <c r="I27280" s="676"/>
      <c r="J27280" s="770"/>
    </row>
    <row r="27281" spans="8:10" x14ac:dyDescent="0.35">
      <c r="H27281" s="676"/>
      <c r="I27281" s="676"/>
      <c r="J27281" s="770"/>
    </row>
    <row r="27282" spans="8:10" x14ac:dyDescent="0.35">
      <c r="H27282" s="676"/>
      <c r="I27282" s="676"/>
      <c r="J27282" s="770"/>
    </row>
    <row r="27283" spans="8:10" x14ac:dyDescent="0.35">
      <c r="H27283" s="676"/>
      <c r="I27283" s="676"/>
      <c r="J27283" s="770"/>
    </row>
    <row r="27284" spans="8:10" x14ac:dyDescent="0.35">
      <c r="H27284" s="676"/>
      <c r="I27284" s="676"/>
      <c r="J27284" s="770"/>
    </row>
    <row r="27285" spans="8:10" x14ac:dyDescent="0.35">
      <c r="H27285" s="676"/>
      <c r="I27285" s="676"/>
      <c r="J27285" s="770"/>
    </row>
    <row r="27286" spans="8:10" x14ac:dyDescent="0.35">
      <c r="H27286" s="676"/>
      <c r="I27286" s="676"/>
      <c r="J27286" s="770"/>
    </row>
    <row r="27287" spans="8:10" x14ac:dyDescent="0.35">
      <c r="H27287" s="676"/>
      <c r="I27287" s="676"/>
      <c r="J27287" s="770"/>
    </row>
    <row r="27288" spans="8:10" x14ac:dyDescent="0.35">
      <c r="H27288" s="676"/>
      <c r="I27288" s="676"/>
      <c r="J27288" s="770"/>
    </row>
    <row r="27289" spans="8:10" x14ac:dyDescent="0.35">
      <c r="H27289" s="676"/>
      <c r="I27289" s="676"/>
      <c r="J27289" s="770"/>
    </row>
    <row r="27290" spans="8:10" x14ac:dyDescent="0.35">
      <c r="H27290" s="676"/>
      <c r="I27290" s="676"/>
      <c r="J27290" s="770"/>
    </row>
    <row r="27291" spans="8:10" x14ac:dyDescent="0.35">
      <c r="H27291" s="676"/>
      <c r="I27291" s="676"/>
      <c r="J27291" s="770"/>
    </row>
    <row r="27292" spans="8:10" x14ac:dyDescent="0.35">
      <c r="H27292" s="676"/>
      <c r="I27292" s="676"/>
      <c r="J27292" s="770"/>
    </row>
    <row r="27293" spans="8:10" x14ac:dyDescent="0.35">
      <c r="H27293" s="676"/>
      <c r="I27293" s="676"/>
      <c r="J27293" s="770"/>
    </row>
    <row r="27294" spans="8:10" x14ac:dyDescent="0.35">
      <c r="H27294" s="676"/>
      <c r="I27294" s="676"/>
      <c r="J27294" s="770"/>
    </row>
    <row r="27295" spans="8:10" x14ac:dyDescent="0.35">
      <c r="H27295" s="676"/>
      <c r="I27295" s="676"/>
      <c r="J27295" s="770"/>
    </row>
    <row r="27296" spans="8:10" x14ac:dyDescent="0.35">
      <c r="H27296" s="676"/>
      <c r="I27296" s="676"/>
      <c r="J27296" s="770"/>
    </row>
    <row r="27297" spans="8:10" x14ac:dyDescent="0.35">
      <c r="H27297" s="676"/>
      <c r="I27297" s="676"/>
      <c r="J27297" s="770"/>
    </row>
    <row r="27298" spans="8:10" x14ac:dyDescent="0.35">
      <c r="H27298" s="676"/>
      <c r="I27298" s="676"/>
      <c r="J27298" s="770"/>
    </row>
    <row r="27299" spans="8:10" x14ac:dyDescent="0.35">
      <c r="H27299" s="676"/>
      <c r="I27299" s="676"/>
      <c r="J27299" s="770"/>
    </row>
    <row r="27300" spans="8:10" x14ac:dyDescent="0.35">
      <c r="H27300" s="676"/>
      <c r="I27300" s="676"/>
      <c r="J27300" s="770"/>
    </row>
    <row r="27301" spans="8:10" x14ac:dyDescent="0.35">
      <c r="H27301" s="676"/>
      <c r="I27301" s="676"/>
      <c r="J27301" s="770"/>
    </row>
    <row r="27302" spans="8:10" x14ac:dyDescent="0.35">
      <c r="H27302" s="676"/>
      <c r="I27302" s="676"/>
      <c r="J27302" s="770"/>
    </row>
    <row r="27303" spans="8:10" x14ac:dyDescent="0.35">
      <c r="H27303" s="676"/>
      <c r="I27303" s="676"/>
      <c r="J27303" s="770"/>
    </row>
    <row r="27304" spans="8:10" x14ac:dyDescent="0.35">
      <c r="H27304" s="676"/>
      <c r="I27304" s="676"/>
      <c r="J27304" s="770"/>
    </row>
    <row r="27305" spans="8:10" x14ac:dyDescent="0.35">
      <c r="H27305" s="676"/>
      <c r="I27305" s="676"/>
      <c r="J27305" s="770"/>
    </row>
    <row r="27306" spans="8:10" x14ac:dyDescent="0.35">
      <c r="H27306" s="676"/>
      <c r="I27306" s="676"/>
      <c r="J27306" s="770"/>
    </row>
    <row r="27307" spans="8:10" x14ac:dyDescent="0.35">
      <c r="H27307" s="676"/>
      <c r="I27307" s="676"/>
      <c r="J27307" s="770"/>
    </row>
    <row r="27308" spans="8:10" x14ac:dyDescent="0.35">
      <c r="H27308" s="676"/>
      <c r="I27308" s="676"/>
      <c r="J27308" s="770"/>
    </row>
    <row r="27309" spans="8:10" x14ac:dyDescent="0.35">
      <c r="H27309" s="676"/>
      <c r="I27309" s="676"/>
      <c r="J27309" s="770"/>
    </row>
    <row r="27310" spans="8:10" x14ac:dyDescent="0.35">
      <c r="H27310" s="676"/>
      <c r="I27310" s="676"/>
      <c r="J27310" s="770"/>
    </row>
    <row r="27311" spans="8:10" x14ac:dyDescent="0.35">
      <c r="H27311" s="676"/>
      <c r="I27311" s="676"/>
      <c r="J27311" s="770"/>
    </row>
    <row r="27312" spans="8:10" x14ac:dyDescent="0.35">
      <c r="H27312" s="676"/>
      <c r="I27312" s="676"/>
      <c r="J27312" s="770"/>
    </row>
    <row r="27313" spans="8:10" x14ac:dyDescent="0.35">
      <c r="H27313" s="676"/>
      <c r="I27313" s="676"/>
      <c r="J27313" s="770"/>
    </row>
    <row r="27314" spans="8:10" x14ac:dyDescent="0.35">
      <c r="H27314" s="676"/>
      <c r="I27314" s="676"/>
      <c r="J27314" s="770"/>
    </row>
    <row r="27315" spans="8:10" x14ac:dyDescent="0.35">
      <c r="H27315" s="676"/>
      <c r="I27315" s="676"/>
      <c r="J27315" s="770"/>
    </row>
    <row r="27316" spans="8:10" x14ac:dyDescent="0.35">
      <c r="H27316" s="676"/>
      <c r="I27316" s="676"/>
      <c r="J27316" s="770"/>
    </row>
    <row r="27317" spans="8:10" x14ac:dyDescent="0.35">
      <c r="H27317" s="676"/>
      <c r="I27317" s="676"/>
      <c r="J27317" s="770"/>
    </row>
    <row r="27318" spans="8:10" x14ac:dyDescent="0.35">
      <c r="H27318" s="676"/>
      <c r="I27318" s="676"/>
      <c r="J27318" s="770"/>
    </row>
    <row r="27319" spans="8:10" x14ac:dyDescent="0.35">
      <c r="H27319" s="676"/>
      <c r="I27319" s="676"/>
      <c r="J27319" s="770"/>
    </row>
    <row r="27320" spans="8:10" x14ac:dyDescent="0.35">
      <c r="H27320" s="676"/>
      <c r="I27320" s="676"/>
      <c r="J27320" s="770"/>
    </row>
    <row r="27321" spans="8:10" x14ac:dyDescent="0.35">
      <c r="H27321" s="676"/>
      <c r="I27321" s="676"/>
      <c r="J27321" s="770"/>
    </row>
    <row r="27322" spans="8:10" x14ac:dyDescent="0.35">
      <c r="H27322" s="676"/>
      <c r="I27322" s="676"/>
      <c r="J27322" s="770"/>
    </row>
    <row r="27323" spans="8:10" x14ac:dyDescent="0.35">
      <c r="H27323" s="676"/>
      <c r="I27323" s="676"/>
      <c r="J27323" s="770"/>
    </row>
    <row r="27324" spans="8:10" x14ac:dyDescent="0.35">
      <c r="H27324" s="676"/>
      <c r="I27324" s="676"/>
      <c r="J27324" s="770"/>
    </row>
    <row r="27325" spans="8:10" x14ac:dyDescent="0.35">
      <c r="H27325" s="676"/>
      <c r="I27325" s="676"/>
      <c r="J27325" s="770"/>
    </row>
    <row r="27326" spans="8:10" x14ac:dyDescent="0.35">
      <c r="H27326" s="676"/>
      <c r="I27326" s="676"/>
      <c r="J27326" s="770"/>
    </row>
    <row r="27327" spans="8:10" x14ac:dyDescent="0.35">
      <c r="H27327" s="676"/>
      <c r="I27327" s="676"/>
      <c r="J27327" s="770"/>
    </row>
    <row r="27328" spans="8:10" x14ac:dyDescent="0.35">
      <c r="H27328" s="676"/>
      <c r="I27328" s="676"/>
      <c r="J27328" s="770"/>
    </row>
    <row r="27329" spans="8:10" x14ac:dyDescent="0.35">
      <c r="H27329" s="676"/>
      <c r="I27329" s="676"/>
      <c r="J27329" s="770"/>
    </row>
    <row r="27330" spans="8:10" x14ac:dyDescent="0.35">
      <c r="H27330" s="676"/>
      <c r="I27330" s="676"/>
      <c r="J27330" s="770"/>
    </row>
    <row r="27331" spans="8:10" x14ac:dyDescent="0.35">
      <c r="H27331" s="676"/>
      <c r="I27331" s="676"/>
      <c r="J27331" s="770"/>
    </row>
    <row r="27332" spans="8:10" x14ac:dyDescent="0.35">
      <c r="H27332" s="676"/>
      <c r="I27332" s="676"/>
      <c r="J27332" s="770"/>
    </row>
    <row r="27333" spans="8:10" x14ac:dyDescent="0.35">
      <c r="H27333" s="676"/>
      <c r="I27333" s="676"/>
      <c r="J27333" s="770"/>
    </row>
    <row r="27334" spans="8:10" x14ac:dyDescent="0.35">
      <c r="H27334" s="676"/>
      <c r="I27334" s="676"/>
      <c r="J27334" s="770"/>
    </row>
    <row r="27335" spans="8:10" x14ac:dyDescent="0.35">
      <c r="H27335" s="676"/>
      <c r="I27335" s="676"/>
      <c r="J27335" s="770"/>
    </row>
    <row r="27336" spans="8:10" x14ac:dyDescent="0.35">
      <c r="H27336" s="676"/>
      <c r="I27336" s="676"/>
      <c r="J27336" s="770"/>
    </row>
    <row r="27337" spans="8:10" x14ac:dyDescent="0.35">
      <c r="H27337" s="676"/>
      <c r="I27337" s="676"/>
      <c r="J27337" s="770"/>
    </row>
    <row r="27338" spans="8:10" x14ac:dyDescent="0.35">
      <c r="H27338" s="676"/>
      <c r="I27338" s="676"/>
      <c r="J27338" s="770"/>
    </row>
    <row r="27339" spans="8:10" x14ac:dyDescent="0.35">
      <c r="H27339" s="676"/>
      <c r="I27339" s="676"/>
      <c r="J27339" s="770"/>
    </row>
    <row r="27340" spans="8:10" x14ac:dyDescent="0.35">
      <c r="H27340" s="676"/>
      <c r="I27340" s="676"/>
      <c r="J27340" s="770"/>
    </row>
    <row r="27341" spans="8:10" x14ac:dyDescent="0.35">
      <c r="H27341" s="676"/>
      <c r="I27341" s="676"/>
      <c r="J27341" s="770"/>
    </row>
    <row r="27342" spans="8:10" x14ac:dyDescent="0.35">
      <c r="H27342" s="676"/>
      <c r="I27342" s="676"/>
      <c r="J27342" s="770"/>
    </row>
    <row r="27343" spans="8:10" x14ac:dyDescent="0.35">
      <c r="H27343" s="676"/>
      <c r="I27343" s="676"/>
      <c r="J27343" s="770"/>
    </row>
    <row r="27344" spans="8:10" x14ac:dyDescent="0.35">
      <c r="H27344" s="676"/>
      <c r="I27344" s="676"/>
      <c r="J27344" s="770"/>
    </row>
    <row r="27345" spans="8:10" x14ac:dyDescent="0.35">
      <c r="H27345" s="676"/>
      <c r="I27345" s="676"/>
      <c r="J27345" s="770"/>
    </row>
    <row r="27346" spans="8:10" x14ac:dyDescent="0.35">
      <c r="H27346" s="676"/>
      <c r="I27346" s="676"/>
      <c r="J27346" s="770"/>
    </row>
    <row r="27347" spans="8:10" x14ac:dyDescent="0.35">
      <c r="H27347" s="676"/>
      <c r="I27347" s="676"/>
      <c r="J27347" s="770"/>
    </row>
    <row r="27348" spans="8:10" x14ac:dyDescent="0.35">
      <c r="H27348" s="676"/>
      <c r="I27348" s="676"/>
      <c r="J27348" s="770"/>
    </row>
    <row r="27349" spans="8:10" x14ac:dyDescent="0.35">
      <c r="H27349" s="676"/>
      <c r="I27349" s="676"/>
      <c r="J27349" s="770"/>
    </row>
    <row r="27350" spans="8:10" x14ac:dyDescent="0.35">
      <c r="H27350" s="676"/>
      <c r="I27350" s="676"/>
      <c r="J27350" s="770"/>
    </row>
    <row r="27351" spans="8:10" x14ac:dyDescent="0.35">
      <c r="H27351" s="676"/>
      <c r="I27351" s="676"/>
      <c r="J27351" s="770"/>
    </row>
    <row r="27352" spans="8:10" x14ac:dyDescent="0.35">
      <c r="H27352" s="676"/>
      <c r="I27352" s="676"/>
      <c r="J27352" s="770"/>
    </row>
    <row r="27353" spans="8:10" x14ac:dyDescent="0.35">
      <c r="H27353" s="676"/>
      <c r="I27353" s="676"/>
      <c r="J27353" s="770"/>
    </row>
    <row r="27354" spans="8:10" x14ac:dyDescent="0.35">
      <c r="H27354" s="676"/>
      <c r="I27354" s="676"/>
      <c r="J27354" s="770"/>
    </row>
    <row r="27355" spans="8:10" x14ac:dyDescent="0.35">
      <c r="H27355" s="676"/>
      <c r="I27355" s="676"/>
      <c r="J27355" s="770"/>
    </row>
    <row r="27356" spans="8:10" x14ac:dyDescent="0.35">
      <c r="H27356" s="676"/>
      <c r="I27356" s="676"/>
      <c r="J27356" s="770"/>
    </row>
    <row r="27357" spans="8:10" x14ac:dyDescent="0.35">
      <c r="H27357" s="676"/>
      <c r="I27357" s="676"/>
      <c r="J27357" s="770"/>
    </row>
    <row r="27358" spans="8:10" x14ac:dyDescent="0.35">
      <c r="H27358" s="676"/>
      <c r="I27358" s="676"/>
      <c r="J27358" s="770"/>
    </row>
    <row r="27359" spans="8:10" x14ac:dyDescent="0.35">
      <c r="H27359" s="676"/>
      <c r="I27359" s="676"/>
      <c r="J27359" s="770"/>
    </row>
    <row r="27360" spans="8:10" x14ac:dyDescent="0.35">
      <c r="H27360" s="676"/>
      <c r="I27360" s="676"/>
      <c r="J27360" s="770"/>
    </row>
    <row r="27361" spans="8:10" x14ac:dyDescent="0.35">
      <c r="H27361" s="676"/>
      <c r="I27361" s="676"/>
      <c r="J27361" s="770"/>
    </row>
    <row r="27362" spans="8:10" x14ac:dyDescent="0.35">
      <c r="H27362" s="676"/>
      <c r="I27362" s="676"/>
      <c r="J27362" s="770"/>
    </row>
    <row r="27363" spans="8:10" x14ac:dyDescent="0.35">
      <c r="H27363" s="676"/>
      <c r="I27363" s="676"/>
      <c r="J27363" s="770"/>
    </row>
    <row r="27364" spans="8:10" x14ac:dyDescent="0.35">
      <c r="H27364" s="676"/>
      <c r="I27364" s="676"/>
      <c r="J27364" s="770"/>
    </row>
    <row r="27365" spans="8:10" x14ac:dyDescent="0.35">
      <c r="H27365" s="676"/>
      <c r="I27365" s="676"/>
      <c r="J27365" s="770"/>
    </row>
    <row r="27366" spans="8:10" x14ac:dyDescent="0.35">
      <c r="H27366" s="676"/>
      <c r="I27366" s="676"/>
      <c r="J27366" s="770"/>
    </row>
    <row r="27367" spans="8:10" x14ac:dyDescent="0.35">
      <c r="H27367" s="676"/>
      <c r="I27367" s="676"/>
      <c r="J27367" s="770"/>
    </row>
    <row r="27368" spans="8:10" x14ac:dyDescent="0.35">
      <c r="H27368" s="676"/>
      <c r="I27368" s="676"/>
      <c r="J27368" s="770"/>
    </row>
    <row r="27369" spans="8:10" x14ac:dyDescent="0.35">
      <c r="H27369" s="676"/>
      <c r="I27369" s="676"/>
      <c r="J27369" s="770"/>
    </row>
    <row r="27370" spans="8:10" x14ac:dyDescent="0.35">
      <c r="H27370" s="676"/>
      <c r="I27370" s="676"/>
      <c r="J27370" s="770"/>
    </row>
    <row r="27371" spans="8:10" x14ac:dyDescent="0.35">
      <c r="H27371" s="676"/>
      <c r="I27371" s="676"/>
      <c r="J27371" s="770"/>
    </row>
    <row r="27372" spans="8:10" x14ac:dyDescent="0.35">
      <c r="H27372" s="676"/>
      <c r="I27372" s="676"/>
      <c r="J27372" s="770"/>
    </row>
    <row r="27373" spans="8:10" x14ac:dyDescent="0.35">
      <c r="H27373" s="676"/>
      <c r="I27373" s="676"/>
      <c r="J27373" s="770"/>
    </row>
    <row r="27374" spans="8:10" x14ac:dyDescent="0.35">
      <c r="H27374" s="676"/>
      <c r="I27374" s="676"/>
      <c r="J27374" s="770"/>
    </row>
    <row r="27375" spans="8:10" x14ac:dyDescent="0.35">
      <c r="H27375" s="676"/>
      <c r="I27375" s="676"/>
      <c r="J27375" s="770"/>
    </row>
    <row r="27376" spans="8:10" x14ac:dyDescent="0.35">
      <c r="H27376" s="676"/>
      <c r="I27376" s="676"/>
      <c r="J27376" s="770"/>
    </row>
    <row r="27377" spans="8:10" x14ac:dyDescent="0.35">
      <c r="H27377" s="676"/>
      <c r="I27377" s="676"/>
      <c r="J27377" s="770"/>
    </row>
    <row r="27378" spans="8:10" x14ac:dyDescent="0.35">
      <c r="H27378" s="676"/>
      <c r="I27378" s="676"/>
      <c r="J27378" s="770"/>
    </row>
    <row r="27379" spans="8:10" x14ac:dyDescent="0.35">
      <c r="H27379" s="676"/>
      <c r="I27379" s="676"/>
      <c r="J27379" s="770"/>
    </row>
    <row r="27380" spans="8:10" x14ac:dyDescent="0.35">
      <c r="H27380" s="676"/>
      <c r="I27380" s="676"/>
      <c r="J27380" s="770"/>
    </row>
    <row r="27381" spans="8:10" x14ac:dyDescent="0.35">
      <c r="H27381" s="676"/>
      <c r="I27381" s="676"/>
      <c r="J27381" s="770"/>
    </row>
    <row r="27382" spans="8:10" x14ac:dyDescent="0.35">
      <c r="H27382" s="676"/>
      <c r="I27382" s="676"/>
      <c r="J27382" s="770"/>
    </row>
    <row r="27383" spans="8:10" x14ac:dyDescent="0.35">
      <c r="H27383" s="676"/>
      <c r="I27383" s="676"/>
      <c r="J27383" s="770"/>
    </row>
    <row r="27384" spans="8:10" x14ac:dyDescent="0.35">
      <c r="H27384" s="676"/>
      <c r="I27384" s="676"/>
      <c r="J27384" s="770"/>
    </row>
    <row r="27385" spans="8:10" x14ac:dyDescent="0.35">
      <c r="H27385" s="676"/>
      <c r="I27385" s="676"/>
      <c r="J27385" s="770"/>
    </row>
    <row r="27386" spans="8:10" x14ac:dyDescent="0.35">
      <c r="H27386" s="676"/>
      <c r="I27386" s="676"/>
      <c r="J27386" s="770"/>
    </row>
    <row r="27387" spans="8:10" x14ac:dyDescent="0.35">
      <c r="H27387" s="676"/>
      <c r="I27387" s="676"/>
      <c r="J27387" s="770"/>
    </row>
    <row r="27388" spans="8:10" x14ac:dyDescent="0.35">
      <c r="H27388" s="676"/>
      <c r="I27388" s="676"/>
      <c r="J27388" s="770"/>
    </row>
    <row r="27389" spans="8:10" x14ac:dyDescent="0.35">
      <c r="H27389" s="676"/>
      <c r="I27389" s="676"/>
      <c r="J27389" s="770"/>
    </row>
    <row r="27390" spans="8:10" x14ac:dyDescent="0.35">
      <c r="H27390" s="676"/>
      <c r="I27390" s="676"/>
      <c r="J27390" s="770"/>
    </row>
    <row r="27391" spans="8:10" x14ac:dyDescent="0.35">
      <c r="H27391" s="676"/>
      <c r="I27391" s="676"/>
      <c r="J27391" s="770"/>
    </row>
    <row r="27392" spans="8:10" x14ac:dyDescent="0.35">
      <c r="H27392" s="676"/>
      <c r="I27392" s="676"/>
      <c r="J27392" s="770"/>
    </row>
    <row r="27393" spans="8:10" x14ac:dyDescent="0.35">
      <c r="H27393" s="676"/>
      <c r="I27393" s="676"/>
      <c r="J27393" s="770"/>
    </row>
    <row r="27394" spans="8:10" x14ac:dyDescent="0.35">
      <c r="H27394" s="676"/>
      <c r="I27394" s="676"/>
      <c r="J27394" s="770"/>
    </row>
    <row r="27395" spans="8:10" x14ac:dyDescent="0.35">
      <c r="H27395" s="676"/>
      <c r="I27395" s="676"/>
      <c r="J27395" s="770"/>
    </row>
    <row r="27396" spans="8:10" x14ac:dyDescent="0.35">
      <c r="H27396" s="676"/>
      <c r="I27396" s="676"/>
      <c r="J27396" s="770"/>
    </row>
    <row r="27397" spans="8:10" x14ac:dyDescent="0.35">
      <c r="H27397" s="676"/>
      <c r="I27397" s="676"/>
      <c r="J27397" s="770"/>
    </row>
    <row r="27398" spans="8:10" x14ac:dyDescent="0.35">
      <c r="H27398" s="676"/>
      <c r="I27398" s="676"/>
      <c r="J27398" s="770"/>
    </row>
    <row r="27399" spans="8:10" x14ac:dyDescent="0.35">
      <c r="H27399" s="676"/>
      <c r="I27399" s="676"/>
      <c r="J27399" s="770"/>
    </row>
    <row r="27400" spans="8:10" x14ac:dyDescent="0.35">
      <c r="H27400" s="676"/>
      <c r="I27400" s="676"/>
      <c r="J27400" s="770"/>
    </row>
    <row r="27401" spans="8:10" x14ac:dyDescent="0.35">
      <c r="H27401" s="676"/>
      <c r="I27401" s="676"/>
      <c r="J27401" s="770"/>
    </row>
    <row r="27402" spans="8:10" x14ac:dyDescent="0.35">
      <c r="H27402" s="676"/>
      <c r="I27402" s="676"/>
      <c r="J27402" s="770"/>
    </row>
    <row r="27403" spans="8:10" x14ac:dyDescent="0.35">
      <c r="H27403" s="676"/>
      <c r="I27403" s="676"/>
      <c r="J27403" s="770"/>
    </row>
    <row r="27404" spans="8:10" x14ac:dyDescent="0.35">
      <c r="H27404" s="676"/>
      <c r="I27404" s="676"/>
      <c r="J27404" s="770"/>
    </row>
    <row r="27405" spans="8:10" x14ac:dyDescent="0.35">
      <c r="H27405" s="676"/>
      <c r="I27405" s="676"/>
      <c r="J27405" s="770"/>
    </row>
    <row r="27406" spans="8:10" x14ac:dyDescent="0.35">
      <c r="H27406" s="676"/>
      <c r="I27406" s="676"/>
      <c r="J27406" s="770"/>
    </row>
    <row r="27407" spans="8:10" x14ac:dyDescent="0.35">
      <c r="H27407" s="676"/>
      <c r="I27407" s="676"/>
      <c r="J27407" s="770"/>
    </row>
    <row r="27408" spans="8:10" x14ac:dyDescent="0.35">
      <c r="H27408" s="676"/>
      <c r="I27408" s="676"/>
      <c r="J27408" s="770"/>
    </row>
    <row r="27409" spans="8:10" x14ac:dyDescent="0.35">
      <c r="H27409" s="676"/>
      <c r="I27409" s="676"/>
      <c r="J27409" s="770"/>
    </row>
    <row r="27410" spans="8:10" x14ac:dyDescent="0.35">
      <c r="H27410" s="676"/>
      <c r="I27410" s="676"/>
      <c r="J27410" s="770"/>
    </row>
    <row r="27411" spans="8:10" x14ac:dyDescent="0.35">
      <c r="H27411" s="676"/>
      <c r="I27411" s="676"/>
      <c r="J27411" s="770"/>
    </row>
    <row r="27412" spans="8:10" x14ac:dyDescent="0.35">
      <c r="H27412" s="676"/>
      <c r="I27412" s="676"/>
      <c r="J27412" s="770"/>
    </row>
    <row r="27413" spans="8:10" x14ac:dyDescent="0.35">
      <c r="H27413" s="676"/>
      <c r="I27413" s="676"/>
      <c r="J27413" s="770"/>
    </row>
    <row r="27414" spans="8:10" x14ac:dyDescent="0.35">
      <c r="H27414" s="676"/>
      <c r="I27414" s="676"/>
      <c r="J27414" s="770"/>
    </row>
    <row r="27415" spans="8:10" x14ac:dyDescent="0.35">
      <c r="H27415" s="676"/>
      <c r="I27415" s="676"/>
      <c r="J27415" s="770"/>
    </row>
    <row r="27416" spans="8:10" x14ac:dyDescent="0.35">
      <c r="H27416" s="676"/>
      <c r="I27416" s="676"/>
      <c r="J27416" s="770"/>
    </row>
    <row r="27417" spans="8:10" x14ac:dyDescent="0.35">
      <c r="H27417" s="676"/>
      <c r="I27417" s="676"/>
      <c r="J27417" s="770"/>
    </row>
    <row r="27418" spans="8:10" x14ac:dyDescent="0.35">
      <c r="H27418" s="676"/>
      <c r="I27418" s="676"/>
      <c r="J27418" s="770"/>
    </row>
    <row r="27419" spans="8:10" x14ac:dyDescent="0.35">
      <c r="H27419" s="676"/>
      <c r="I27419" s="676"/>
      <c r="J27419" s="770"/>
    </row>
    <row r="27420" spans="8:10" x14ac:dyDescent="0.35">
      <c r="H27420" s="676"/>
      <c r="I27420" s="676"/>
      <c r="J27420" s="770"/>
    </row>
    <row r="27421" spans="8:10" x14ac:dyDescent="0.35">
      <c r="H27421" s="676"/>
      <c r="I27421" s="676"/>
      <c r="J27421" s="770"/>
    </row>
    <row r="27422" spans="8:10" x14ac:dyDescent="0.35">
      <c r="H27422" s="676"/>
      <c r="I27422" s="676"/>
      <c r="J27422" s="770"/>
    </row>
    <row r="27423" spans="8:10" x14ac:dyDescent="0.35">
      <c r="H27423" s="676"/>
      <c r="I27423" s="676"/>
      <c r="J27423" s="770"/>
    </row>
    <row r="27424" spans="8:10" x14ac:dyDescent="0.35">
      <c r="H27424" s="676"/>
      <c r="I27424" s="676"/>
      <c r="J27424" s="770"/>
    </row>
    <row r="27425" spans="8:10" x14ac:dyDescent="0.35">
      <c r="H27425" s="676"/>
      <c r="I27425" s="676"/>
      <c r="J27425" s="770"/>
    </row>
    <row r="27426" spans="8:10" x14ac:dyDescent="0.35">
      <c r="H27426" s="676"/>
      <c r="I27426" s="676"/>
      <c r="J27426" s="770"/>
    </row>
    <row r="27427" spans="8:10" x14ac:dyDescent="0.35">
      <c r="H27427" s="676"/>
      <c r="I27427" s="676"/>
      <c r="J27427" s="770"/>
    </row>
    <row r="27428" spans="8:10" x14ac:dyDescent="0.35">
      <c r="H27428" s="676"/>
      <c r="I27428" s="676"/>
      <c r="J27428" s="770"/>
    </row>
    <row r="27429" spans="8:10" x14ac:dyDescent="0.35">
      <c r="H27429" s="676"/>
      <c r="I27429" s="676"/>
      <c r="J27429" s="770"/>
    </row>
    <row r="27430" spans="8:10" x14ac:dyDescent="0.35">
      <c r="H27430" s="676"/>
      <c r="I27430" s="676"/>
      <c r="J27430" s="770"/>
    </row>
    <row r="27431" spans="8:10" x14ac:dyDescent="0.35">
      <c r="H27431" s="676"/>
      <c r="I27431" s="676"/>
      <c r="J27431" s="770"/>
    </row>
    <row r="27432" spans="8:10" x14ac:dyDescent="0.35">
      <c r="H27432" s="676"/>
      <c r="I27432" s="676"/>
      <c r="J27432" s="770"/>
    </row>
    <row r="27433" spans="8:10" x14ac:dyDescent="0.35">
      <c r="H27433" s="676"/>
      <c r="I27433" s="676"/>
      <c r="J27433" s="770"/>
    </row>
    <row r="27434" spans="8:10" x14ac:dyDescent="0.35">
      <c r="H27434" s="676"/>
      <c r="I27434" s="676"/>
      <c r="J27434" s="770"/>
    </row>
    <row r="27435" spans="8:10" x14ac:dyDescent="0.35">
      <c r="H27435" s="676"/>
      <c r="I27435" s="676"/>
      <c r="J27435" s="770"/>
    </row>
    <row r="27436" spans="8:10" x14ac:dyDescent="0.35">
      <c r="H27436" s="676"/>
      <c r="I27436" s="676"/>
      <c r="J27436" s="770"/>
    </row>
    <row r="27437" spans="8:10" x14ac:dyDescent="0.35">
      <c r="H27437" s="676"/>
      <c r="I27437" s="676"/>
      <c r="J27437" s="770"/>
    </row>
    <row r="27438" spans="8:10" x14ac:dyDescent="0.35">
      <c r="H27438" s="676"/>
      <c r="I27438" s="676"/>
      <c r="J27438" s="770"/>
    </row>
    <row r="27439" spans="8:10" x14ac:dyDescent="0.35">
      <c r="H27439" s="676"/>
      <c r="I27439" s="676"/>
      <c r="J27439" s="770"/>
    </row>
    <row r="27440" spans="8:10" x14ac:dyDescent="0.35">
      <c r="H27440" s="676"/>
      <c r="I27440" s="676"/>
      <c r="J27440" s="770"/>
    </row>
    <row r="27441" spans="8:10" x14ac:dyDescent="0.35">
      <c r="H27441" s="676"/>
      <c r="I27441" s="676"/>
      <c r="J27441" s="770"/>
    </row>
    <row r="27442" spans="8:10" x14ac:dyDescent="0.35">
      <c r="H27442" s="676"/>
      <c r="I27442" s="676"/>
      <c r="J27442" s="770"/>
    </row>
    <row r="27443" spans="8:10" x14ac:dyDescent="0.35">
      <c r="H27443" s="676"/>
      <c r="I27443" s="676"/>
      <c r="J27443" s="770"/>
    </row>
    <row r="27444" spans="8:10" x14ac:dyDescent="0.35">
      <c r="H27444" s="676"/>
      <c r="I27444" s="676"/>
      <c r="J27444" s="770"/>
    </row>
    <row r="27445" spans="8:10" x14ac:dyDescent="0.35">
      <c r="H27445" s="676"/>
      <c r="I27445" s="676"/>
      <c r="J27445" s="770"/>
    </row>
    <row r="27446" spans="8:10" x14ac:dyDescent="0.35">
      <c r="H27446" s="676"/>
      <c r="I27446" s="676"/>
      <c r="J27446" s="770"/>
    </row>
    <row r="27447" spans="8:10" x14ac:dyDescent="0.35">
      <c r="H27447" s="676"/>
      <c r="I27447" s="676"/>
      <c r="J27447" s="770"/>
    </row>
    <row r="27448" spans="8:10" x14ac:dyDescent="0.35">
      <c r="H27448" s="676"/>
      <c r="I27448" s="676"/>
      <c r="J27448" s="770"/>
    </row>
    <row r="27449" spans="8:10" x14ac:dyDescent="0.35">
      <c r="H27449" s="676"/>
      <c r="I27449" s="676"/>
      <c r="J27449" s="770"/>
    </row>
    <row r="27450" spans="8:10" x14ac:dyDescent="0.35">
      <c r="H27450" s="676"/>
      <c r="I27450" s="676"/>
      <c r="J27450" s="770"/>
    </row>
    <row r="27451" spans="8:10" x14ac:dyDescent="0.35">
      <c r="H27451" s="676"/>
      <c r="I27451" s="676"/>
      <c r="J27451" s="770"/>
    </row>
    <row r="27452" spans="8:10" x14ac:dyDescent="0.35">
      <c r="H27452" s="676"/>
      <c r="I27452" s="676"/>
      <c r="J27452" s="770"/>
    </row>
    <row r="27453" spans="8:10" x14ac:dyDescent="0.35">
      <c r="H27453" s="676"/>
      <c r="I27453" s="676"/>
      <c r="J27453" s="770"/>
    </row>
    <row r="27454" spans="8:10" x14ac:dyDescent="0.35">
      <c r="H27454" s="676"/>
      <c r="I27454" s="676"/>
      <c r="J27454" s="770"/>
    </row>
    <row r="27455" spans="8:10" x14ac:dyDescent="0.35">
      <c r="H27455" s="676"/>
      <c r="I27455" s="676"/>
      <c r="J27455" s="770"/>
    </row>
    <row r="27456" spans="8:10" x14ac:dyDescent="0.35">
      <c r="H27456" s="676"/>
      <c r="I27456" s="676"/>
      <c r="J27456" s="770"/>
    </row>
    <row r="27457" spans="8:10" x14ac:dyDescent="0.35">
      <c r="H27457" s="676"/>
      <c r="I27457" s="676"/>
      <c r="J27457" s="770"/>
    </row>
    <row r="27458" spans="8:10" x14ac:dyDescent="0.35">
      <c r="H27458" s="676"/>
      <c r="I27458" s="676"/>
      <c r="J27458" s="770"/>
    </row>
    <row r="27459" spans="8:10" x14ac:dyDescent="0.35">
      <c r="H27459" s="676"/>
      <c r="I27459" s="676"/>
      <c r="J27459" s="770"/>
    </row>
    <row r="27460" spans="8:10" x14ac:dyDescent="0.35">
      <c r="H27460" s="676"/>
      <c r="I27460" s="676"/>
      <c r="J27460" s="770"/>
    </row>
    <row r="27461" spans="8:10" x14ac:dyDescent="0.35">
      <c r="H27461" s="676"/>
      <c r="I27461" s="676"/>
      <c r="J27461" s="770"/>
    </row>
    <row r="27462" spans="8:10" x14ac:dyDescent="0.35">
      <c r="H27462" s="676"/>
      <c r="I27462" s="676"/>
      <c r="J27462" s="770"/>
    </row>
    <row r="27463" spans="8:10" x14ac:dyDescent="0.35">
      <c r="H27463" s="676"/>
      <c r="I27463" s="676"/>
      <c r="J27463" s="770"/>
    </row>
    <row r="27464" spans="8:10" x14ac:dyDescent="0.35">
      <c r="H27464" s="676"/>
      <c r="I27464" s="676"/>
      <c r="J27464" s="770"/>
    </row>
    <row r="27465" spans="8:10" x14ac:dyDescent="0.35">
      <c r="H27465" s="676"/>
      <c r="I27465" s="676"/>
      <c r="J27465" s="770"/>
    </row>
    <row r="27466" spans="8:10" x14ac:dyDescent="0.35">
      <c r="H27466" s="676"/>
      <c r="I27466" s="676"/>
      <c r="J27466" s="770"/>
    </row>
    <row r="27467" spans="8:10" x14ac:dyDescent="0.35">
      <c r="H27467" s="676"/>
      <c r="I27467" s="676"/>
      <c r="J27467" s="770"/>
    </row>
    <row r="27468" spans="8:10" x14ac:dyDescent="0.35">
      <c r="H27468" s="676"/>
      <c r="I27468" s="676"/>
      <c r="J27468" s="770"/>
    </row>
    <row r="27469" spans="8:10" x14ac:dyDescent="0.35">
      <c r="H27469" s="676"/>
      <c r="I27469" s="676"/>
      <c r="J27469" s="770"/>
    </row>
    <row r="27470" spans="8:10" x14ac:dyDescent="0.35">
      <c r="H27470" s="676"/>
      <c r="I27470" s="676"/>
      <c r="J27470" s="770"/>
    </row>
    <row r="27471" spans="8:10" x14ac:dyDescent="0.35">
      <c r="H27471" s="676"/>
      <c r="I27471" s="676"/>
      <c r="J27471" s="770"/>
    </row>
    <row r="27472" spans="8:10" x14ac:dyDescent="0.35">
      <c r="H27472" s="676"/>
      <c r="I27472" s="676"/>
      <c r="J27472" s="770"/>
    </row>
    <row r="27473" spans="8:10" x14ac:dyDescent="0.35">
      <c r="H27473" s="676"/>
      <c r="I27473" s="676"/>
      <c r="J27473" s="770"/>
    </row>
    <row r="27474" spans="8:10" x14ac:dyDescent="0.35">
      <c r="H27474" s="676"/>
      <c r="I27474" s="676"/>
      <c r="J27474" s="770"/>
    </row>
    <row r="27475" spans="8:10" x14ac:dyDescent="0.35">
      <c r="H27475" s="676"/>
      <c r="I27475" s="676"/>
      <c r="J27475" s="770"/>
    </row>
    <row r="27476" spans="8:10" x14ac:dyDescent="0.35">
      <c r="H27476" s="676"/>
      <c r="I27476" s="676"/>
      <c r="J27476" s="770"/>
    </row>
    <row r="27477" spans="8:10" x14ac:dyDescent="0.35">
      <c r="H27477" s="676"/>
      <c r="I27477" s="676"/>
      <c r="J27477" s="770"/>
    </row>
    <row r="27478" spans="8:10" x14ac:dyDescent="0.35">
      <c r="H27478" s="676"/>
      <c r="I27478" s="676"/>
      <c r="J27478" s="770"/>
    </row>
    <row r="27479" spans="8:10" x14ac:dyDescent="0.35">
      <c r="H27479" s="676"/>
      <c r="I27479" s="676"/>
      <c r="J27479" s="770"/>
    </row>
    <row r="27480" spans="8:10" x14ac:dyDescent="0.35">
      <c r="H27480" s="676"/>
      <c r="I27480" s="676"/>
      <c r="J27480" s="770"/>
    </row>
    <row r="27481" spans="8:10" x14ac:dyDescent="0.35">
      <c r="H27481" s="676"/>
      <c r="I27481" s="676"/>
      <c r="J27481" s="770"/>
    </row>
    <row r="27482" spans="8:10" x14ac:dyDescent="0.35">
      <c r="H27482" s="676"/>
      <c r="I27482" s="676"/>
      <c r="J27482" s="770"/>
    </row>
    <row r="27483" spans="8:10" x14ac:dyDescent="0.35">
      <c r="H27483" s="676"/>
      <c r="I27483" s="676"/>
      <c r="J27483" s="770"/>
    </row>
    <row r="27484" spans="8:10" x14ac:dyDescent="0.35">
      <c r="H27484" s="676"/>
      <c r="I27484" s="676"/>
      <c r="J27484" s="770"/>
    </row>
    <row r="27485" spans="8:10" x14ac:dyDescent="0.35">
      <c r="H27485" s="676"/>
      <c r="I27485" s="676"/>
      <c r="J27485" s="770"/>
    </row>
    <row r="27486" spans="8:10" x14ac:dyDescent="0.35">
      <c r="H27486" s="676"/>
      <c r="I27486" s="676"/>
      <c r="J27486" s="770"/>
    </row>
    <row r="27487" spans="8:10" x14ac:dyDescent="0.35">
      <c r="H27487" s="676"/>
      <c r="I27487" s="676"/>
      <c r="J27487" s="770"/>
    </row>
    <row r="27488" spans="8:10" x14ac:dyDescent="0.35">
      <c r="H27488" s="676"/>
      <c r="I27488" s="676"/>
      <c r="J27488" s="770"/>
    </row>
    <row r="27489" spans="8:10" x14ac:dyDescent="0.35">
      <c r="H27489" s="676"/>
      <c r="I27489" s="676"/>
      <c r="J27489" s="770"/>
    </row>
    <row r="27490" spans="8:10" x14ac:dyDescent="0.35">
      <c r="H27490" s="676"/>
      <c r="I27490" s="676"/>
      <c r="J27490" s="770"/>
    </row>
    <row r="27491" spans="8:10" x14ac:dyDescent="0.35">
      <c r="H27491" s="676"/>
      <c r="I27491" s="676"/>
      <c r="J27491" s="770"/>
    </row>
    <row r="27492" spans="8:10" x14ac:dyDescent="0.35">
      <c r="H27492" s="676"/>
      <c r="I27492" s="676"/>
      <c r="J27492" s="770"/>
    </row>
    <row r="27493" spans="8:10" x14ac:dyDescent="0.35">
      <c r="H27493" s="676"/>
      <c r="I27493" s="676"/>
      <c r="J27493" s="770"/>
    </row>
    <row r="27494" spans="8:10" x14ac:dyDescent="0.35">
      <c r="H27494" s="676"/>
      <c r="I27494" s="676"/>
      <c r="J27494" s="770"/>
    </row>
    <row r="27495" spans="8:10" x14ac:dyDescent="0.35">
      <c r="H27495" s="676"/>
      <c r="I27495" s="676"/>
      <c r="J27495" s="770"/>
    </row>
    <row r="27496" spans="8:10" x14ac:dyDescent="0.35">
      <c r="H27496" s="676"/>
      <c r="I27496" s="676"/>
      <c r="J27496" s="770"/>
    </row>
    <row r="27497" spans="8:10" x14ac:dyDescent="0.35">
      <c r="H27497" s="676"/>
      <c r="I27497" s="676"/>
      <c r="J27497" s="770"/>
    </row>
    <row r="27498" spans="8:10" x14ac:dyDescent="0.35">
      <c r="H27498" s="676"/>
      <c r="I27498" s="676"/>
      <c r="J27498" s="770"/>
    </row>
    <row r="27499" spans="8:10" x14ac:dyDescent="0.35">
      <c r="H27499" s="676"/>
      <c r="I27499" s="676"/>
      <c r="J27499" s="770"/>
    </row>
    <row r="27500" spans="8:10" x14ac:dyDescent="0.35">
      <c r="H27500" s="676"/>
      <c r="I27500" s="676"/>
      <c r="J27500" s="770"/>
    </row>
    <row r="27501" spans="8:10" x14ac:dyDescent="0.35">
      <c r="H27501" s="676"/>
      <c r="I27501" s="676"/>
      <c r="J27501" s="770"/>
    </row>
    <row r="27502" spans="8:10" x14ac:dyDescent="0.35">
      <c r="H27502" s="676"/>
      <c r="I27502" s="676"/>
      <c r="J27502" s="770"/>
    </row>
    <row r="27503" spans="8:10" x14ac:dyDescent="0.35">
      <c r="H27503" s="676"/>
      <c r="I27503" s="676"/>
      <c r="J27503" s="770"/>
    </row>
    <row r="27504" spans="8:10" x14ac:dyDescent="0.35">
      <c r="H27504" s="676"/>
      <c r="I27504" s="676"/>
      <c r="J27504" s="770"/>
    </row>
    <row r="27505" spans="8:10" x14ac:dyDescent="0.35">
      <c r="H27505" s="676"/>
      <c r="I27505" s="676"/>
      <c r="J27505" s="770"/>
    </row>
    <row r="27506" spans="8:10" x14ac:dyDescent="0.35">
      <c r="H27506" s="676"/>
      <c r="I27506" s="676"/>
      <c r="J27506" s="770"/>
    </row>
    <row r="27507" spans="8:10" x14ac:dyDescent="0.35">
      <c r="H27507" s="676"/>
      <c r="I27507" s="676"/>
      <c r="J27507" s="770"/>
    </row>
    <row r="27508" spans="8:10" x14ac:dyDescent="0.35">
      <c r="H27508" s="676"/>
      <c r="I27508" s="676"/>
      <c r="J27508" s="770"/>
    </row>
    <row r="27509" spans="8:10" x14ac:dyDescent="0.35">
      <c r="H27509" s="676"/>
      <c r="I27509" s="676"/>
      <c r="J27509" s="770"/>
    </row>
    <row r="27510" spans="8:10" x14ac:dyDescent="0.35">
      <c r="H27510" s="676"/>
      <c r="I27510" s="676"/>
      <c r="J27510" s="770"/>
    </row>
    <row r="27511" spans="8:10" x14ac:dyDescent="0.35">
      <c r="H27511" s="676"/>
      <c r="I27511" s="676"/>
      <c r="J27511" s="770"/>
    </row>
    <row r="27512" spans="8:10" x14ac:dyDescent="0.35">
      <c r="H27512" s="676"/>
      <c r="I27512" s="676"/>
      <c r="J27512" s="770"/>
    </row>
    <row r="27513" spans="8:10" x14ac:dyDescent="0.35">
      <c r="H27513" s="676"/>
      <c r="I27513" s="676"/>
      <c r="J27513" s="770"/>
    </row>
    <row r="27514" spans="8:10" x14ac:dyDescent="0.35">
      <c r="H27514" s="676"/>
      <c r="I27514" s="676"/>
      <c r="J27514" s="770"/>
    </row>
    <row r="27515" spans="8:10" x14ac:dyDescent="0.35">
      <c r="H27515" s="676"/>
      <c r="I27515" s="676"/>
      <c r="J27515" s="770"/>
    </row>
    <row r="27516" spans="8:10" x14ac:dyDescent="0.35">
      <c r="H27516" s="676"/>
      <c r="I27516" s="676"/>
      <c r="J27516" s="770"/>
    </row>
    <row r="27517" spans="8:10" x14ac:dyDescent="0.35">
      <c r="H27517" s="676"/>
      <c r="I27517" s="676"/>
      <c r="J27517" s="770"/>
    </row>
    <row r="27518" spans="8:10" x14ac:dyDescent="0.35">
      <c r="H27518" s="676"/>
      <c r="I27518" s="676"/>
      <c r="J27518" s="770"/>
    </row>
    <row r="27519" spans="8:10" x14ac:dyDescent="0.35">
      <c r="H27519" s="676"/>
      <c r="I27519" s="676"/>
      <c r="J27519" s="770"/>
    </row>
    <row r="27520" spans="8:10" x14ac:dyDescent="0.35">
      <c r="H27520" s="676"/>
      <c r="I27520" s="676"/>
      <c r="J27520" s="770"/>
    </row>
    <row r="27521" spans="8:10" x14ac:dyDescent="0.35">
      <c r="H27521" s="676"/>
      <c r="I27521" s="676"/>
      <c r="J27521" s="770"/>
    </row>
    <row r="27522" spans="8:10" x14ac:dyDescent="0.35">
      <c r="H27522" s="676"/>
      <c r="I27522" s="676"/>
      <c r="J27522" s="770"/>
    </row>
    <row r="27523" spans="8:10" x14ac:dyDescent="0.35">
      <c r="H27523" s="676"/>
      <c r="I27523" s="676"/>
      <c r="J27523" s="770"/>
    </row>
    <row r="27524" spans="8:10" x14ac:dyDescent="0.35">
      <c r="H27524" s="676"/>
      <c r="I27524" s="676"/>
      <c r="J27524" s="770"/>
    </row>
    <row r="27525" spans="8:10" x14ac:dyDescent="0.35">
      <c r="H27525" s="676"/>
      <c r="I27525" s="676"/>
      <c r="J27525" s="770"/>
    </row>
    <row r="27526" spans="8:10" x14ac:dyDescent="0.35">
      <c r="H27526" s="676"/>
      <c r="I27526" s="676"/>
      <c r="J27526" s="770"/>
    </row>
    <row r="27527" spans="8:10" x14ac:dyDescent="0.35">
      <c r="H27527" s="676"/>
      <c r="I27527" s="676"/>
      <c r="J27527" s="770"/>
    </row>
    <row r="27528" spans="8:10" x14ac:dyDescent="0.35">
      <c r="H27528" s="676"/>
      <c r="I27528" s="676"/>
      <c r="J27528" s="770"/>
    </row>
    <row r="27529" spans="8:10" x14ac:dyDescent="0.35">
      <c r="H27529" s="676"/>
      <c r="I27529" s="676"/>
      <c r="J27529" s="770"/>
    </row>
    <row r="27530" spans="8:10" x14ac:dyDescent="0.35">
      <c r="H27530" s="676"/>
      <c r="I27530" s="676"/>
      <c r="J27530" s="770"/>
    </row>
    <row r="27531" spans="8:10" x14ac:dyDescent="0.35">
      <c r="H27531" s="676"/>
      <c r="I27531" s="676"/>
      <c r="J27531" s="770"/>
    </row>
    <row r="27532" spans="8:10" x14ac:dyDescent="0.35">
      <c r="H27532" s="676"/>
      <c r="I27532" s="676"/>
      <c r="J27532" s="770"/>
    </row>
    <row r="27533" spans="8:10" x14ac:dyDescent="0.35">
      <c r="H27533" s="676"/>
      <c r="I27533" s="676"/>
      <c r="J27533" s="770"/>
    </row>
    <row r="27534" spans="8:10" x14ac:dyDescent="0.35">
      <c r="H27534" s="676"/>
      <c r="I27534" s="676"/>
      <c r="J27534" s="770"/>
    </row>
    <row r="27535" spans="8:10" x14ac:dyDescent="0.35">
      <c r="H27535" s="676"/>
      <c r="I27535" s="676"/>
      <c r="J27535" s="770"/>
    </row>
    <row r="27536" spans="8:10" x14ac:dyDescent="0.35">
      <c r="H27536" s="676"/>
      <c r="I27536" s="676"/>
      <c r="J27536" s="770"/>
    </row>
    <row r="27537" spans="8:10" x14ac:dyDescent="0.35">
      <c r="H27537" s="676"/>
      <c r="I27537" s="676"/>
      <c r="J27537" s="770"/>
    </row>
    <row r="27538" spans="8:10" x14ac:dyDescent="0.35">
      <c r="H27538" s="676"/>
      <c r="I27538" s="676"/>
      <c r="J27538" s="770"/>
    </row>
    <row r="27539" spans="8:10" x14ac:dyDescent="0.35">
      <c r="H27539" s="676"/>
      <c r="I27539" s="676"/>
      <c r="J27539" s="770"/>
    </row>
    <row r="27540" spans="8:10" x14ac:dyDescent="0.35">
      <c r="H27540" s="676"/>
      <c r="I27540" s="676"/>
      <c r="J27540" s="770"/>
    </row>
    <row r="27541" spans="8:10" x14ac:dyDescent="0.35">
      <c r="H27541" s="676"/>
      <c r="I27541" s="676"/>
      <c r="J27541" s="770"/>
    </row>
    <row r="27542" spans="8:10" x14ac:dyDescent="0.35">
      <c r="H27542" s="676"/>
      <c r="I27542" s="676"/>
      <c r="J27542" s="770"/>
    </row>
    <row r="27543" spans="8:10" x14ac:dyDescent="0.35">
      <c r="H27543" s="676"/>
      <c r="I27543" s="676"/>
      <c r="J27543" s="770"/>
    </row>
    <row r="27544" spans="8:10" x14ac:dyDescent="0.35">
      <c r="H27544" s="676"/>
      <c r="I27544" s="676"/>
      <c r="J27544" s="770"/>
    </row>
    <row r="27545" spans="8:10" x14ac:dyDescent="0.35">
      <c r="H27545" s="676"/>
      <c r="I27545" s="676"/>
      <c r="J27545" s="770"/>
    </row>
    <row r="27546" spans="8:10" x14ac:dyDescent="0.35">
      <c r="H27546" s="676"/>
      <c r="I27546" s="676"/>
      <c r="J27546" s="770"/>
    </row>
    <row r="27547" spans="8:10" x14ac:dyDescent="0.35">
      <c r="H27547" s="676"/>
      <c r="I27547" s="676"/>
      <c r="J27547" s="770"/>
    </row>
    <row r="27548" spans="8:10" x14ac:dyDescent="0.35">
      <c r="H27548" s="676"/>
      <c r="I27548" s="676"/>
      <c r="J27548" s="770"/>
    </row>
    <row r="27549" spans="8:10" x14ac:dyDescent="0.35">
      <c r="H27549" s="676"/>
      <c r="I27549" s="676"/>
      <c r="J27549" s="770"/>
    </row>
    <row r="27550" spans="8:10" x14ac:dyDescent="0.35">
      <c r="H27550" s="676"/>
      <c r="I27550" s="676"/>
      <c r="J27550" s="770"/>
    </row>
    <row r="27551" spans="8:10" x14ac:dyDescent="0.35">
      <c r="H27551" s="676"/>
      <c r="I27551" s="676"/>
      <c r="J27551" s="770"/>
    </row>
    <row r="27552" spans="8:10" x14ac:dyDescent="0.35">
      <c r="H27552" s="676"/>
      <c r="I27552" s="676"/>
      <c r="J27552" s="770"/>
    </row>
    <row r="27553" spans="8:10" x14ac:dyDescent="0.35">
      <c r="H27553" s="676"/>
      <c r="I27553" s="676"/>
      <c r="J27553" s="770"/>
    </row>
    <row r="27554" spans="8:10" x14ac:dyDescent="0.35">
      <c r="H27554" s="676"/>
      <c r="I27554" s="676"/>
      <c r="J27554" s="770"/>
    </row>
    <row r="27555" spans="8:10" x14ac:dyDescent="0.35">
      <c r="H27555" s="676"/>
      <c r="I27555" s="676"/>
      <c r="J27555" s="770"/>
    </row>
    <row r="27556" spans="8:10" x14ac:dyDescent="0.35">
      <c r="H27556" s="676"/>
      <c r="I27556" s="676"/>
      <c r="J27556" s="770"/>
    </row>
    <row r="27557" spans="8:10" x14ac:dyDescent="0.35">
      <c r="H27557" s="676"/>
      <c r="I27557" s="676"/>
      <c r="J27557" s="770"/>
    </row>
    <row r="27558" spans="8:10" x14ac:dyDescent="0.35">
      <c r="H27558" s="676"/>
      <c r="I27558" s="676"/>
      <c r="J27558" s="770"/>
    </row>
    <row r="27559" spans="8:10" x14ac:dyDescent="0.35">
      <c r="H27559" s="676"/>
      <c r="I27559" s="676"/>
      <c r="J27559" s="770"/>
    </row>
    <row r="27560" spans="8:10" x14ac:dyDescent="0.35">
      <c r="H27560" s="676"/>
      <c r="I27560" s="676"/>
      <c r="J27560" s="770"/>
    </row>
    <row r="27561" spans="8:10" x14ac:dyDescent="0.35">
      <c r="H27561" s="676"/>
      <c r="I27561" s="676"/>
      <c r="J27561" s="770"/>
    </row>
    <row r="27562" spans="8:10" x14ac:dyDescent="0.35">
      <c r="H27562" s="676"/>
      <c r="I27562" s="676"/>
      <c r="J27562" s="770"/>
    </row>
    <row r="27563" spans="8:10" x14ac:dyDescent="0.35">
      <c r="H27563" s="676"/>
      <c r="I27563" s="676"/>
      <c r="J27563" s="770"/>
    </row>
    <row r="27564" spans="8:10" x14ac:dyDescent="0.35">
      <c r="H27564" s="676"/>
      <c r="I27564" s="676"/>
      <c r="J27564" s="770"/>
    </row>
    <row r="27565" spans="8:10" x14ac:dyDescent="0.35">
      <c r="H27565" s="676"/>
      <c r="I27565" s="676"/>
      <c r="J27565" s="770"/>
    </row>
    <row r="27566" spans="8:10" x14ac:dyDescent="0.35">
      <c r="H27566" s="676"/>
      <c r="I27566" s="676"/>
      <c r="J27566" s="770"/>
    </row>
    <row r="27567" spans="8:10" x14ac:dyDescent="0.35">
      <c r="H27567" s="676"/>
      <c r="I27567" s="676"/>
      <c r="J27567" s="770"/>
    </row>
    <row r="27568" spans="8:10" x14ac:dyDescent="0.35">
      <c r="H27568" s="676"/>
      <c r="I27568" s="676"/>
      <c r="J27568" s="770"/>
    </row>
    <row r="27569" spans="8:10" x14ac:dyDescent="0.35">
      <c r="H27569" s="676"/>
      <c r="I27569" s="676"/>
      <c r="J27569" s="770"/>
    </row>
    <row r="27570" spans="8:10" x14ac:dyDescent="0.35">
      <c r="H27570" s="676"/>
      <c r="I27570" s="676"/>
      <c r="J27570" s="770"/>
    </row>
    <row r="27571" spans="8:10" x14ac:dyDescent="0.35">
      <c r="H27571" s="676"/>
      <c r="I27571" s="676"/>
      <c r="J27571" s="770"/>
    </row>
    <row r="27572" spans="8:10" x14ac:dyDescent="0.35">
      <c r="H27572" s="676"/>
      <c r="I27572" s="676"/>
      <c r="J27572" s="770"/>
    </row>
    <row r="27573" spans="8:10" x14ac:dyDescent="0.35">
      <c r="H27573" s="676"/>
      <c r="I27573" s="676"/>
      <c r="J27573" s="770"/>
    </row>
    <row r="27574" spans="8:10" x14ac:dyDescent="0.35">
      <c r="H27574" s="676"/>
      <c r="I27574" s="676"/>
      <c r="J27574" s="770"/>
    </row>
    <row r="27575" spans="8:10" x14ac:dyDescent="0.35">
      <c r="H27575" s="676"/>
      <c r="I27575" s="676"/>
      <c r="J27575" s="770"/>
    </row>
    <row r="27576" spans="8:10" x14ac:dyDescent="0.35">
      <c r="H27576" s="676"/>
      <c r="I27576" s="676"/>
      <c r="J27576" s="770"/>
    </row>
    <row r="27577" spans="8:10" x14ac:dyDescent="0.35">
      <c r="H27577" s="676"/>
      <c r="I27577" s="676"/>
      <c r="J27577" s="770"/>
    </row>
    <row r="27578" spans="8:10" x14ac:dyDescent="0.35">
      <c r="H27578" s="676"/>
      <c r="I27578" s="676"/>
      <c r="J27578" s="770"/>
    </row>
    <row r="27579" spans="8:10" x14ac:dyDescent="0.35">
      <c r="H27579" s="676"/>
      <c r="I27579" s="676"/>
      <c r="J27579" s="770"/>
    </row>
    <row r="27580" spans="8:10" x14ac:dyDescent="0.35">
      <c r="H27580" s="676"/>
      <c r="I27580" s="676"/>
      <c r="J27580" s="770"/>
    </row>
    <row r="27581" spans="8:10" x14ac:dyDescent="0.35">
      <c r="H27581" s="676"/>
      <c r="I27581" s="676"/>
      <c r="J27581" s="770"/>
    </row>
    <row r="27582" spans="8:10" x14ac:dyDescent="0.35">
      <c r="H27582" s="676"/>
      <c r="I27582" s="676"/>
      <c r="J27582" s="770"/>
    </row>
    <row r="27583" spans="8:10" x14ac:dyDescent="0.35">
      <c r="H27583" s="676"/>
      <c r="I27583" s="676"/>
      <c r="J27583" s="770"/>
    </row>
    <row r="27584" spans="8:10" x14ac:dyDescent="0.35">
      <c r="H27584" s="676"/>
      <c r="I27584" s="676"/>
      <c r="J27584" s="770"/>
    </row>
    <row r="27585" spans="8:10" x14ac:dyDescent="0.35">
      <c r="H27585" s="676"/>
      <c r="I27585" s="676"/>
      <c r="J27585" s="770"/>
    </row>
    <row r="27586" spans="8:10" x14ac:dyDescent="0.35">
      <c r="H27586" s="676"/>
      <c r="I27586" s="676"/>
      <c r="J27586" s="770"/>
    </row>
    <row r="27587" spans="8:10" x14ac:dyDescent="0.35">
      <c r="H27587" s="676"/>
      <c r="I27587" s="676"/>
      <c r="J27587" s="770"/>
    </row>
    <row r="27588" spans="8:10" x14ac:dyDescent="0.35">
      <c r="H27588" s="676"/>
      <c r="I27588" s="676"/>
      <c r="J27588" s="770"/>
    </row>
    <row r="27589" spans="8:10" x14ac:dyDescent="0.35">
      <c r="H27589" s="676"/>
      <c r="I27589" s="676"/>
      <c r="J27589" s="770"/>
    </row>
    <row r="27590" spans="8:10" x14ac:dyDescent="0.35">
      <c r="H27590" s="676"/>
      <c r="I27590" s="676"/>
      <c r="J27590" s="770"/>
    </row>
    <row r="27591" spans="8:10" x14ac:dyDescent="0.35">
      <c r="H27591" s="676"/>
      <c r="I27591" s="676"/>
      <c r="J27591" s="770"/>
    </row>
    <row r="27592" spans="8:10" x14ac:dyDescent="0.35">
      <c r="H27592" s="676"/>
      <c r="I27592" s="676"/>
      <c r="J27592" s="770"/>
    </row>
    <row r="27593" spans="8:10" x14ac:dyDescent="0.35">
      <c r="H27593" s="676"/>
      <c r="I27593" s="676"/>
      <c r="J27593" s="770"/>
    </row>
    <row r="27594" spans="8:10" x14ac:dyDescent="0.35">
      <c r="H27594" s="676"/>
      <c r="I27594" s="676"/>
      <c r="J27594" s="770"/>
    </row>
    <row r="27595" spans="8:10" x14ac:dyDescent="0.35">
      <c r="H27595" s="676"/>
      <c r="I27595" s="676"/>
      <c r="J27595" s="770"/>
    </row>
    <row r="27596" spans="8:10" x14ac:dyDescent="0.35">
      <c r="H27596" s="676"/>
      <c r="I27596" s="676"/>
      <c r="J27596" s="770"/>
    </row>
    <row r="27597" spans="8:10" x14ac:dyDescent="0.35">
      <c r="H27597" s="676"/>
      <c r="I27597" s="676"/>
      <c r="J27597" s="770"/>
    </row>
    <row r="27598" spans="8:10" x14ac:dyDescent="0.35">
      <c r="H27598" s="676"/>
      <c r="I27598" s="676"/>
      <c r="J27598" s="770"/>
    </row>
    <row r="27599" spans="8:10" x14ac:dyDescent="0.35">
      <c r="H27599" s="676"/>
      <c r="I27599" s="676"/>
      <c r="J27599" s="770"/>
    </row>
    <row r="27600" spans="8:10" x14ac:dyDescent="0.35">
      <c r="H27600" s="676"/>
      <c r="I27600" s="676"/>
      <c r="J27600" s="770"/>
    </row>
    <row r="27601" spans="8:10" x14ac:dyDescent="0.35">
      <c r="H27601" s="676"/>
      <c r="I27601" s="676"/>
      <c r="J27601" s="770"/>
    </row>
    <row r="27602" spans="8:10" x14ac:dyDescent="0.35">
      <c r="H27602" s="676"/>
      <c r="I27602" s="676"/>
      <c r="J27602" s="770"/>
    </row>
    <row r="27603" spans="8:10" x14ac:dyDescent="0.35">
      <c r="H27603" s="676"/>
      <c r="I27603" s="676"/>
      <c r="J27603" s="770"/>
    </row>
    <row r="27604" spans="8:10" x14ac:dyDescent="0.35">
      <c r="H27604" s="676"/>
      <c r="I27604" s="676"/>
      <c r="J27604" s="770"/>
    </row>
    <row r="27605" spans="8:10" x14ac:dyDescent="0.35">
      <c r="H27605" s="676"/>
      <c r="I27605" s="676"/>
      <c r="J27605" s="770"/>
    </row>
    <row r="27606" spans="8:10" x14ac:dyDescent="0.35">
      <c r="H27606" s="676"/>
      <c r="I27606" s="676"/>
      <c r="J27606" s="770"/>
    </row>
    <row r="27607" spans="8:10" x14ac:dyDescent="0.35">
      <c r="H27607" s="676"/>
      <c r="I27607" s="676"/>
      <c r="J27607" s="770"/>
    </row>
    <row r="27608" spans="8:10" x14ac:dyDescent="0.35">
      <c r="H27608" s="676"/>
      <c r="I27608" s="676"/>
      <c r="J27608" s="770"/>
    </row>
    <row r="27609" spans="8:10" x14ac:dyDescent="0.35">
      <c r="H27609" s="676"/>
      <c r="I27609" s="676"/>
      <c r="J27609" s="770"/>
    </row>
    <row r="27610" spans="8:10" x14ac:dyDescent="0.35">
      <c r="H27610" s="676"/>
      <c r="I27610" s="676"/>
      <c r="J27610" s="770"/>
    </row>
    <row r="27611" spans="8:10" x14ac:dyDescent="0.35">
      <c r="H27611" s="676"/>
      <c r="I27611" s="676"/>
      <c r="J27611" s="770"/>
    </row>
    <row r="27612" spans="8:10" x14ac:dyDescent="0.35">
      <c r="H27612" s="676"/>
      <c r="I27612" s="676"/>
      <c r="J27612" s="770"/>
    </row>
    <row r="27613" spans="8:10" x14ac:dyDescent="0.35">
      <c r="H27613" s="676"/>
      <c r="I27613" s="676"/>
      <c r="J27613" s="770"/>
    </row>
    <row r="27614" spans="8:10" x14ac:dyDescent="0.35">
      <c r="H27614" s="676"/>
      <c r="I27614" s="676"/>
      <c r="J27614" s="770"/>
    </row>
    <row r="27615" spans="8:10" x14ac:dyDescent="0.35">
      <c r="H27615" s="676"/>
      <c r="I27615" s="676"/>
      <c r="J27615" s="770"/>
    </row>
    <row r="27616" spans="8:10" x14ac:dyDescent="0.35">
      <c r="H27616" s="676"/>
      <c r="I27616" s="676"/>
      <c r="J27616" s="770"/>
    </row>
    <row r="27617" spans="8:10" x14ac:dyDescent="0.35">
      <c r="H27617" s="676"/>
      <c r="I27617" s="676"/>
      <c r="J27617" s="770"/>
    </row>
    <row r="27618" spans="8:10" x14ac:dyDescent="0.35">
      <c r="H27618" s="676"/>
      <c r="I27618" s="676"/>
      <c r="J27618" s="770"/>
    </row>
    <row r="27619" spans="8:10" x14ac:dyDescent="0.35">
      <c r="H27619" s="676"/>
      <c r="I27619" s="676"/>
      <c r="J27619" s="770"/>
    </row>
    <row r="27620" spans="8:10" x14ac:dyDescent="0.35">
      <c r="H27620" s="676"/>
      <c r="I27620" s="676"/>
      <c r="J27620" s="770"/>
    </row>
    <row r="27621" spans="8:10" x14ac:dyDescent="0.35">
      <c r="H27621" s="676"/>
      <c r="I27621" s="676"/>
      <c r="J27621" s="770"/>
    </row>
    <row r="27622" spans="8:10" x14ac:dyDescent="0.35">
      <c r="H27622" s="676"/>
      <c r="I27622" s="676"/>
      <c r="J27622" s="770"/>
    </row>
    <row r="27623" spans="8:10" x14ac:dyDescent="0.35">
      <c r="H27623" s="676"/>
      <c r="I27623" s="676"/>
      <c r="J27623" s="770"/>
    </row>
    <row r="27624" spans="8:10" x14ac:dyDescent="0.35">
      <c r="H27624" s="676"/>
      <c r="I27624" s="676"/>
      <c r="J27624" s="770"/>
    </row>
    <row r="27625" spans="8:10" x14ac:dyDescent="0.35">
      <c r="H27625" s="676"/>
      <c r="I27625" s="676"/>
      <c r="J27625" s="770"/>
    </row>
    <row r="27626" spans="8:10" x14ac:dyDescent="0.35">
      <c r="H27626" s="676"/>
      <c r="I27626" s="676"/>
      <c r="J27626" s="770"/>
    </row>
    <row r="27627" spans="8:10" x14ac:dyDescent="0.35">
      <c r="H27627" s="676"/>
      <c r="I27627" s="676"/>
      <c r="J27627" s="770"/>
    </row>
    <row r="27628" spans="8:10" x14ac:dyDescent="0.35">
      <c r="H27628" s="676"/>
      <c r="I27628" s="676"/>
      <c r="J27628" s="770"/>
    </row>
    <row r="27629" spans="8:10" x14ac:dyDescent="0.35">
      <c r="H27629" s="676"/>
      <c r="I27629" s="676"/>
      <c r="J27629" s="770"/>
    </row>
    <row r="27630" spans="8:10" x14ac:dyDescent="0.35">
      <c r="H27630" s="676"/>
      <c r="I27630" s="676"/>
      <c r="J27630" s="770"/>
    </row>
    <row r="27631" spans="8:10" x14ac:dyDescent="0.35">
      <c r="H27631" s="676"/>
      <c r="I27631" s="676"/>
      <c r="J27631" s="770"/>
    </row>
    <row r="27632" spans="8:10" x14ac:dyDescent="0.35">
      <c r="H27632" s="676"/>
      <c r="I27632" s="676"/>
      <c r="J27632" s="770"/>
    </row>
    <row r="27633" spans="8:10" x14ac:dyDescent="0.35">
      <c r="H27633" s="676"/>
      <c r="I27633" s="676"/>
      <c r="J27633" s="770"/>
    </row>
    <row r="27634" spans="8:10" x14ac:dyDescent="0.35">
      <c r="H27634" s="676"/>
      <c r="I27634" s="676"/>
      <c r="J27634" s="770"/>
    </row>
    <row r="27635" spans="8:10" x14ac:dyDescent="0.35">
      <c r="H27635" s="676"/>
      <c r="I27635" s="676"/>
      <c r="J27635" s="770"/>
    </row>
    <row r="27636" spans="8:10" x14ac:dyDescent="0.35">
      <c r="H27636" s="676"/>
      <c r="I27636" s="676"/>
      <c r="J27636" s="770"/>
    </row>
    <row r="27637" spans="8:10" x14ac:dyDescent="0.35">
      <c r="H27637" s="676"/>
      <c r="I27637" s="676"/>
      <c r="J27637" s="770"/>
    </row>
    <row r="27638" spans="8:10" x14ac:dyDescent="0.35">
      <c r="H27638" s="676"/>
      <c r="I27638" s="676"/>
      <c r="J27638" s="770"/>
    </row>
    <row r="27639" spans="8:10" x14ac:dyDescent="0.35">
      <c r="H27639" s="676"/>
      <c r="I27639" s="676"/>
      <c r="J27639" s="770"/>
    </row>
    <row r="27640" spans="8:10" x14ac:dyDescent="0.35">
      <c r="H27640" s="676"/>
      <c r="I27640" s="676"/>
      <c r="J27640" s="770"/>
    </row>
    <row r="27641" spans="8:10" x14ac:dyDescent="0.35">
      <c r="H27641" s="676"/>
      <c r="I27641" s="676"/>
      <c r="J27641" s="770"/>
    </row>
    <row r="27642" spans="8:10" x14ac:dyDescent="0.35">
      <c r="H27642" s="676"/>
      <c r="I27642" s="676"/>
      <c r="J27642" s="770"/>
    </row>
    <row r="27643" spans="8:10" x14ac:dyDescent="0.35">
      <c r="H27643" s="676"/>
      <c r="I27643" s="676"/>
      <c r="J27643" s="770"/>
    </row>
    <row r="27644" spans="8:10" x14ac:dyDescent="0.35">
      <c r="H27644" s="676"/>
      <c r="I27644" s="676"/>
      <c r="J27644" s="770"/>
    </row>
    <row r="27645" spans="8:10" x14ac:dyDescent="0.35">
      <c r="H27645" s="676"/>
      <c r="I27645" s="676"/>
      <c r="J27645" s="770"/>
    </row>
    <row r="27646" spans="8:10" x14ac:dyDescent="0.35">
      <c r="H27646" s="676"/>
      <c r="I27646" s="676"/>
      <c r="J27646" s="770"/>
    </row>
    <row r="27647" spans="8:10" x14ac:dyDescent="0.35">
      <c r="H27647" s="676"/>
      <c r="I27647" s="676"/>
      <c r="J27647" s="770"/>
    </row>
    <row r="27648" spans="8:10" x14ac:dyDescent="0.35">
      <c r="H27648" s="676"/>
      <c r="I27648" s="676"/>
      <c r="J27648" s="770"/>
    </row>
    <row r="27649" spans="8:10" x14ac:dyDescent="0.35">
      <c r="H27649" s="676"/>
      <c r="I27649" s="676"/>
      <c r="J27649" s="770"/>
    </row>
    <row r="27650" spans="8:10" x14ac:dyDescent="0.35">
      <c r="H27650" s="676"/>
      <c r="I27650" s="676"/>
      <c r="J27650" s="770"/>
    </row>
    <row r="27651" spans="8:10" x14ac:dyDescent="0.35">
      <c r="H27651" s="676"/>
      <c r="I27651" s="676"/>
      <c r="J27651" s="770"/>
    </row>
    <row r="27652" spans="8:10" x14ac:dyDescent="0.35">
      <c r="H27652" s="676"/>
      <c r="I27652" s="676"/>
      <c r="J27652" s="770"/>
    </row>
    <row r="27653" spans="8:10" x14ac:dyDescent="0.35">
      <c r="H27653" s="676"/>
      <c r="I27653" s="676"/>
      <c r="J27653" s="770"/>
    </row>
    <row r="27654" spans="8:10" x14ac:dyDescent="0.35">
      <c r="H27654" s="676"/>
      <c r="I27654" s="676"/>
      <c r="J27654" s="770"/>
    </row>
    <row r="27655" spans="8:10" x14ac:dyDescent="0.35">
      <c r="H27655" s="676"/>
      <c r="I27655" s="676"/>
      <c r="J27655" s="770"/>
    </row>
    <row r="27656" spans="8:10" x14ac:dyDescent="0.35">
      <c r="H27656" s="676"/>
      <c r="I27656" s="676"/>
      <c r="J27656" s="770"/>
    </row>
    <row r="27657" spans="8:10" x14ac:dyDescent="0.35">
      <c r="H27657" s="676"/>
      <c r="I27657" s="676"/>
      <c r="J27657" s="770"/>
    </row>
    <row r="27658" spans="8:10" x14ac:dyDescent="0.35">
      <c r="H27658" s="676"/>
      <c r="I27658" s="676"/>
      <c r="J27658" s="770"/>
    </row>
    <row r="27659" spans="8:10" x14ac:dyDescent="0.35">
      <c r="H27659" s="676"/>
      <c r="I27659" s="676"/>
      <c r="J27659" s="770"/>
    </row>
    <row r="27660" spans="8:10" x14ac:dyDescent="0.35">
      <c r="H27660" s="676"/>
      <c r="I27660" s="676"/>
      <c r="J27660" s="770"/>
    </row>
    <row r="27661" spans="8:10" x14ac:dyDescent="0.35">
      <c r="H27661" s="676"/>
      <c r="I27661" s="676"/>
      <c r="J27661" s="770"/>
    </row>
    <row r="27662" spans="8:10" x14ac:dyDescent="0.35">
      <c r="H27662" s="676"/>
      <c r="I27662" s="676"/>
      <c r="J27662" s="770"/>
    </row>
    <row r="27663" spans="8:10" x14ac:dyDescent="0.35">
      <c r="H27663" s="676"/>
      <c r="I27663" s="676"/>
      <c r="J27663" s="770"/>
    </row>
    <row r="27664" spans="8:10" x14ac:dyDescent="0.35">
      <c r="H27664" s="676"/>
      <c r="I27664" s="676"/>
      <c r="J27664" s="770"/>
    </row>
    <row r="27665" spans="8:10" x14ac:dyDescent="0.35">
      <c r="H27665" s="676"/>
      <c r="I27665" s="676"/>
      <c r="J27665" s="770"/>
    </row>
    <row r="27666" spans="8:10" x14ac:dyDescent="0.35">
      <c r="H27666" s="676"/>
      <c r="I27666" s="676"/>
      <c r="J27666" s="770"/>
    </row>
    <row r="27667" spans="8:10" x14ac:dyDescent="0.35">
      <c r="H27667" s="676"/>
      <c r="I27667" s="676"/>
      <c r="J27667" s="770"/>
    </row>
    <row r="27668" spans="8:10" x14ac:dyDescent="0.35">
      <c r="H27668" s="676"/>
      <c r="I27668" s="676"/>
      <c r="J27668" s="770"/>
    </row>
    <row r="27669" spans="8:10" x14ac:dyDescent="0.35">
      <c r="H27669" s="676"/>
      <c r="I27669" s="676"/>
      <c r="J27669" s="770"/>
    </row>
    <row r="27670" spans="8:10" x14ac:dyDescent="0.35">
      <c r="H27670" s="676"/>
      <c r="I27670" s="676"/>
      <c r="J27670" s="770"/>
    </row>
    <row r="27671" spans="8:10" x14ac:dyDescent="0.35">
      <c r="H27671" s="676"/>
      <c r="I27671" s="676"/>
      <c r="J27671" s="770"/>
    </row>
    <row r="27672" spans="8:10" x14ac:dyDescent="0.35">
      <c r="H27672" s="676"/>
      <c r="I27672" s="676"/>
      <c r="J27672" s="770"/>
    </row>
    <row r="27673" spans="8:10" x14ac:dyDescent="0.35">
      <c r="H27673" s="676"/>
      <c r="I27673" s="676"/>
      <c r="J27673" s="770"/>
    </row>
    <row r="27674" spans="8:10" x14ac:dyDescent="0.35">
      <c r="H27674" s="676"/>
      <c r="I27674" s="676"/>
      <c r="J27674" s="770"/>
    </row>
    <row r="27675" spans="8:10" x14ac:dyDescent="0.35">
      <c r="H27675" s="676"/>
      <c r="I27675" s="676"/>
      <c r="J27675" s="770"/>
    </row>
    <row r="27676" spans="8:10" x14ac:dyDescent="0.35">
      <c r="H27676" s="676"/>
      <c r="I27676" s="676"/>
      <c r="J27676" s="770"/>
    </row>
    <row r="27677" spans="8:10" x14ac:dyDescent="0.35">
      <c r="H27677" s="676"/>
      <c r="I27677" s="676"/>
      <c r="J27677" s="770"/>
    </row>
    <row r="27678" spans="8:10" x14ac:dyDescent="0.35">
      <c r="H27678" s="676"/>
      <c r="I27678" s="676"/>
      <c r="J27678" s="770"/>
    </row>
    <row r="27679" spans="8:10" x14ac:dyDescent="0.35">
      <c r="H27679" s="676"/>
      <c r="I27679" s="676"/>
      <c r="J27679" s="770"/>
    </row>
    <row r="27680" spans="8:10" x14ac:dyDescent="0.35">
      <c r="H27680" s="676"/>
      <c r="I27680" s="676"/>
      <c r="J27680" s="770"/>
    </row>
    <row r="27681" spans="8:10" x14ac:dyDescent="0.35">
      <c r="H27681" s="676"/>
      <c r="I27681" s="676"/>
      <c r="J27681" s="770"/>
    </row>
    <row r="27682" spans="8:10" x14ac:dyDescent="0.35">
      <c r="H27682" s="676"/>
      <c r="I27682" s="676"/>
      <c r="J27682" s="770"/>
    </row>
    <row r="27683" spans="8:10" x14ac:dyDescent="0.35">
      <c r="H27683" s="676"/>
      <c r="I27683" s="676"/>
      <c r="J27683" s="770"/>
    </row>
    <row r="27684" spans="8:10" x14ac:dyDescent="0.35">
      <c r="H27684" s="676"/>
      <c r="I27684" s="676"/>
      <c r="J27684" s="770"/>
    </row>
    <row r="27685" spans="8:10" x14ac:dyDescent="0.35">
      <c r="H27685" s="676"/>
      <c r="I27685" s="676"/>
      <c r="J27685" s="770"/>
    </row>
    <row r="27686" spans="8:10" x14ac:dyDescent="0.35">
      <c r="H27686" s="676"/>
      <c r="I27686" s="676"/>
      <c r="J27686" s="770"/>
    </row>
    <row r="27687" spans="8:10" x14ac:dyDescent="0.35">
      <c r="H27687" s="676"/>
      <c r="I27687" s="676"/>
      <c r="J27687" s="770"/>
    </row>
    <row r="27688" spans="8:10" x14ac:dyDescent="0.35">
      <c r="H27688" s="676"/>
      <c r="I27688" s="676"/>
      <c r="J27688" s="770"/>
    </row>
    <row r="27689" spans="8:10" x14ac:dyDescent="0.35">
      <c r="H27689" s="676"/>
      <c r="I27689" s="676"/>
      <c r="J27689" s="770"/>
    </row>
    <row r="27690" spans="8:10" x14ac:dyDescent="0.35">
      <c r="H27690" s="676"/>
      <c r="I27690" s="676"/>
      <c r="J27690" s="770"/>
    </row>
    <row r="27691" spans="8:10" x14ac:dyDescent="0.35">
      <c r="H27691" s="676"/>
      <c r="I27691" s="676"/>
      <c r="J27691" s="770"/>
    </row>
    <row r="27692" spans="8:10" x14ac:dyDescent="0.35">
      <c r="H27692" s="676"/>
      <c r="I27692" s="676"/>
      <c r="J27692" s="770"/>
    </row>
    <row r="27693" spans="8:10" x14ac:dyDescent="0.35">
      <c r="H27693" s="676"/>
      <c r="I27693" s="676"/>
      <c r="J27693" s="770"/>
    </row>
    <row r="27694" spans="8:10" x14ac:dyDescent="0.35">
      <c r="H27694" s="676"/>
      <c r="I27694" s="676"/>
      <c r="J27694" s="770"/>
    </row>
    <row r="27695" spans="8:10" x14ac:dyDescent="0.35">
      <c r="H27695" s="676"/>
      <c r="I27695" s="676"/>
      <c r="J27695" s="770"/>
    </row>
    <row r="27696" spans="8:10" x14ac:dyDescent="0.35">
      <c r="H27696" s="676"/>
      <c r="I27696" s="676"/>
      <c r="J27696" s="770"/>
    </row>
    <row r="27697" spans="8:10" x14ac:dyDescent="0.35">
      <c r="H27697" s="676"/>
      <c r="I27697" s="676"/>
      <c r="J27697" s="770"/>
    </row>
    <row r="27698" spans="8:10" x14ac:dyDescent="0.35">
      <c r="H27698" s="676"/>
      <c r="I27698" s="676"/>
      <c r="J27698" s="770"/>
    </row>
    <row r="27699" spans="8:10" x14ac:dyDescent="0.35">
      <c r="H27699" s="676"/>
      <c r="I27699" s="676"/>
      <c r="J27699" s="770"/>
    </row>
    <row r="27700" spans="8:10" x14ac:dyDescent="0.35">
      <c r="H27700" s="676"/>
      <c r="I27700" s="676"/>
      <c r="J27700" s="770"/>
    </row>
    <row r="27701" spans="8:10" x14ac:dyDescent="0.35">
      <c r="H27701" s="676"/>
      <c r="I27701" s="676"/>
      <c r="J27701" s="770"/>
    </row>
    <row r="27702" spans="8:10" x14ac:dyDescent="0.35">
      <c r="H27702" s="676"/>
      <c r="I27702" s="676"/>
      <c r="J27702" s="770"/>
    </row>
    <row r="27703" spans="8:10" x14ac:dyDescent="0.35">
      <c r="H27703" s="676"/>
      <c r="I27703" s="676"/>
      <c r="J27703" s="770"/>
    </row>
    <row r="27704" spans="8:10" x14ac:dyDescent="0.35">
      <c r="H27704" s="676"/>
      <c r="I27704" s="676"/>
      <c r="J27704" s="770"/>
    </row>
    <row r="27705" spans="8:10" x14ac:dyDescent="0.35">
      <c r="H27705" s="676"/>
      <c r="I27705" s="676"/>
      <c r="J27705" s="770"/>
    </row>
    <row r="27706" spans="8:10" x14ac:dyDescent="0.35">
      <c r="H27706" s="676"/>
      <c r="I27706" s="676"/>
      <c r="J27706" s="770"/>
    </row>
    <row r="27707" spans="8:10" x14ac:dyDescent="0.35">
      <c r="H27707" s="676"/>
      <c r="I27707" s="676"/>
      <c r="J27707" s="770"/>
    </row>
    <row r="27708" spans="8:10" x14ac:dyDescent="0.35">
      <c r="H27708" s="676"/>
      <c r="I27708" s="676"/>
      <c r="J27708" s="770"/>
    </row>
    <row r="27709" spans="8:10" x14ac:dyDescent="0.35">
      <c r="H27709" s="676"/>
      <c r="I27709" s="676"/>
      <c r="J27709" s="770"/>
    </row>
    <row r="27710" spans="8:10" x14ac:dyDescent="0.35">
      <c r="H27710" s="676"/>
      <c r="I27710" s="676"/>
      <c r="J27710" s="770"/>
    </row>
    <row r="27711" spans="8:10" x14ac:dyDescent="0.35">
      <c r="H27711" s="676"/>
      <c r="I27711" s="676"/>
      <c r="J27711" s="770"/>
    </row>
    <row r="27712" spans="8:10" x14ac:dyDescent="0.35">
      <c r="H27712" s="676"/>
      <c r="I27712" s="676"/>
      <c r="J27712" s="770"/>
    </row>
    <row r="27713" spans="8:10" x14ac:dyDescent="0.35">
      <c r="H27713" s="676"/>
      <c r="I27713" s="676"/>
      <c r="J27713" s="770"/>
    </row>
    <row r="27714" spans="8:10" x14ac:dyDescent="0.35">
      <c r="H27714" s="676"/>
      <c r="I27714" s="676"/>
      <c r="J27714" s="770"/>
    </row>
    <row r="27715" spans="8:10" x14ac:dyDescent="0.35">
      <c r="H27715" s="676"/>
      <c r="I27715" s="676"/>
      <c r="J27715" s="770"/>
    </row>
    <row r="27716" spans="8:10" x14ac:dyDescent="0.35">
      <c r="H27716" s="676"/>
      <c r="I27716" s="676"/>
      <c r="J27716" s="770"/>
    </row>
    <row r="27717" spans="8:10" x14ac:dyDescent="0.35">
      <c r="H27717" s="676"/>
      <c r="I27717" s="676"/>
      <c r="J27717" s="770"/>
    </row>
    <row r="27718" spans="8:10" x14ac:dyDescent="0.35">
      <c r="H27718" s="676"/>
      <c r="I27718" s="676"/>
      <c r="J27718" s="770"/>
    </row>
    <row r="27719" spans="8:10" x14ac:dyDescent="0.35">
      <c r="H27719" s="676"/>
      <c r="I27719" s="676"/>
      <c r="J27719" s="770"/>
    </row>
    <row r="27720" spans="8:10" x14ac:dyDescent="0.35">
      <c r="H27720" s="676"/>
      <c r="I27720" s="676"/>
      <c r="J27720" s="770"/>
    </row>
    <row r="27721" spans="8:10" x14ac:dyDescent="0.35">
      <c r="H27721" s="676"/>
      <c r="I27721" s="676"/>
      <c r="J27721" s="770"/>
    </row>
    <row r="27722" spans="8:10" x14ac:dyDescent="0.35">
      <c r="H27722" s="676"/>
      <c r="I27722" s="676"/>
      <c r="J27722" s="770"/>
    </row>
    <row r="27723" spans="8:10" x14ac:dyDescent="0.35">
      <c r="H27723" s="676"/>
      <c r="I27723" s="676"/>
      <c r="J27723" s="770"/>
    </row>
    <row r="27724" spans="8:10" x14ac:dyDescent="0.35">
      <c r="H27724" s="676"/>
      <c r="I27724" s="676"/>
      <c r="J27724" s="770"/>
    </row>
    <row r="27725" spans="8:10" x14ac:dyDescent="0.35">
      <c r="H27725" s="676"/>
      <c r="I27725" s="676"/>
      <c r="J27725" s="770"/>
    </row>
    <row r="27726" spans="8:10" x14ac:dyDescent="0.35">
      <c r="H27726" s="676"/>
      <c r="I27726" s="676"/>
      <c r="J27726" s="770"/>
    </row>
    <row r="27727" spans="8:10" x14ac:dyDescent="0.35">
      <c r="H27727" s="676"/>
      <c r="I27727" s="676"/>
      <c r="J27727" s="770"/>
    </row>
    <row r="27728" spans="8:10" x14ac:dyDescent="0.35">
      <c r="H27728" s="676"/>
      <c r="I27728" s="676"/>
      <c r="J27728" s="770"/>
    </row>
    <row r="27729" spans="8:10" x14ac:dyDescent="0.35">
      <c r="H27729" s="676"/>
      <c r="I27729" s="676"/>
      <c r="J27729" s="770"/>
    </row>
    <row r="27730" spans="8:10" x14ac:dyDescent="0.35">
      <c r="H27730" s="676"/>
      <c r="I27730" s="676"/>
      <c r="J27730" s="770"/>
    </row>
    <row r="27731" spans="8:10" x14ac:dyDescent="0.35">
      <c r="H27731" s="676"/>
      <c r="I27731" s="676"/>
      <c r="J27731" s="770"/>
    </row>
    <row r="27732" spans="8:10" x14ac:dyDescent="0.35">
      <c r="H27732" s="676"/>
      <c r="I27732" s="676"/>
      <c r="J27732" s="770"/>
    </row>
    <row r="27733" spans="8:10" x14ac:dyDescent="0.35">
      <c r="H27733" s="676"/>
      <c r="I27733" s="676"/>
      <c r="J27733" s="770"/>
    </row>
    <row r="27734" spans="8:10" x14ac:dyDescent="0.35">
      <c r="H27734" s="676"/>
      <c r="I27734" s="676"/>
      <c r="J27734" s="770"/>
    </row>
    <row r="27735" spans="8:10" x14ac:dyDescent="0.35">
      <c r="H27735" s="676"/>
      <c r="I27735" s="676"/>
      <c r="J27735" s="770"/>
    </row>
    <row r="27736" spans="8:10" x14ac:dyDescent="0.35">
      <c r="H27736" s="676"/>
      <c r="I27736" s="676"/>
      <c r="J27736" s="770"/>
    </row>
    <row r="27737" spans="8:10" x14ac:dyDescent="0.35">
      <c r="H27737" s="676"/>
      <c r="I27737" s="676"/>
      <c r="J27737" s="770"/>
    </row>
    <row r="27738" spans="8:10" x14ac:dyDescent="0.35">
      <c r="H27738" s="676"/>
      <c r="I27738" s="676"/>
      <c r="J27738" s="770"/>
    </row>
    <row r="27739" spans="8:10" x14ac:dyDescent="0.35">
      <c r="H27739" s="676"/>
      <c r="I27739" s="676"/>
      <c r="J27739" s="770"/>
    </row>
    <row r="27740" spans="8:10" x14ac:dyDescent="0.35">
      <c r="H27740" s="676"/>
      <c r="I27740" s="676"/>
      <c r="J27740" s="770"/>
    </row>
    <row r="27741" spans="8:10" x14ac:dyDescent="0.35">
      <c r="H27741" s="676"/>
      <c r="I27741" s="676"/>
      <c r="J27741" s="770"/>
    </row>
    <row r="27742" spans="8:10" x14ac:dyDescent="0.35">
      <c r="H27742" s="676"/>
      <c r="I27742" s="676"/>
      <c r="J27742" s="770"/>
    </row>
    <row r="27743" spans="8:10" x14ac:dyDescent="0.35">
      <c r="H27743" s="676"/>
      <c r="I27743" s="676"/>
      <c r="J27743" s="770"/>
    </row>
    <row r="27744" spans="8:10" x14ac:dyDescent="0.35">
      <c r="H27744" s="676"/>
      <c r="I27744" s="676"/>
      <c r="J27744" s="770"/>
    </row>
    <row r="27745" spans="8:10" x14ac:dyDescent="0.35">
      <c r="H27745" s="676"/>
      <c r="I27745" s="676"/>
      <c r="J27745" s="770"/>
    </row>
    <row r="27746" spans="8:10" x14ac:dyDescent="0.35">
      <c r="H27746" s="676"/>
      <c r="I27746" s="676"/>
      <c r="J27746" s="770"/>
    </row>
    <row r="27747" spans="8:10" x14ac:dyDescent="0.35">
      <c r="H27747" s="676"/>
      <c r="I27747" s="676"/>
      <c r="J27747" s="770"/>
    </row>
    <row r="27748" spans="8:10" x14ac:dyDescent="0.35">
      <c r="H27748" s="676"/>
      <c r="I27748" s="676"/>
      <c r="J27748" s="770"/>
    </row>
    <row r="27749" spans="8:10" x14ac:dyDescent="0.35">
      <c r="H27749" s="676"/>
      <c r="I27749" s="676"/>
      <c r="J27749" s="770"/>
    </row>
    <row r="27750" spans="8:10" x14ac:dyDescent="0.35">
      <c r="H27750" s="676"/>
      <c r="I27750" s="676"/>
      <c r="J27750" s="770"/>
    </row>
    <row r="27751" spans="8:10" x14ac:dyDescent="0.35">
      <c r="H27751" s="676"/>
      <c r="I27751" s="676"/>
      <c r="J27751" s="770"/>
    </row>
    <row r="27752" spans="8:10" x14ac:dyDescent="0.35">
      <c r="H27752" s="676"/>
      <c r="I27752" s="676"/>
      <c r="J27752" s="770"/>
    </row>
    <row r="27753" spans="8:10" x14ac:dyDescent="0.35">
      <c r="H27753" s="676"/>
      <c r="I27753" s="676"/>
      <c r="J27753" s="770"/>
    </row>
    <row r="27754" spans="8:10" x14ac:dyDescent="0.35">
      <c r="H27754" s="676"/>
      <c r="I27754" s="676"/>
      <c r="J27754" s="770"/>
    </row>
    <row r="27755" spans="8:10" x14ac:dyDescent="0.35">
      <c r="H27755" s="676"/>
      <c r="I27755" s="676"/>
      <c r="J27755" s="770"/>
    </row>
    <row r="27756" spans="8:10" x14ac:dyDescent="0.35">
      <c r="H27756" s="676"/>
      <c r="I27756" s="676"/>
      <c r="J27756" s="770"/>
    </row>
    <row r="27757" spans="8:10" x14ac:dyDescent="0.35">
      <c r="H27757" s="676"/>
      <c r="I27757" s="676"/>
      <c r="J27757" s="770"/>
    </row>
    <row r="27758" spans="8:10" x14ac:dyDescent="0.35">
      <c r="H27758" s="676"/>
      <c r="I27758" s="676"/>
      <c r="J27758" s="770"/>
    </row>
    <row r="27759" spans="8:10" x14ac:dyDescent="0.35">
      <c r="H27759" s="676"/>
      <c r="I27759" s="676"/>
      <c r="J27759" s="770"/>
    </row>
    <row r="27760" spans="8:10" x14ac:dyDescent="0.35">
      <c r="H27760" s="676"/>
      <c r="I27760" s="676"/>
      <c r="J27760" s="770"/>
    </row>
    <row r="27761" spans="8:10" x14ac:dyDescent="0.35">
      <c r="H27761" s="676"/>
      <c r="I27761" s="676"/>
      <c r="J27761" s="770"/>
    </row>
    <row r="27762" spans="8:10" x14ac:dyDescent="0.35">
      <c r="H27762" s="676"/>
      <c r="I27762" s="676"/>
      <c r="J27762" s="770"/>
    </row>
    <row r="27763" spans="8:10" x14ac:dyDescent="0.35">
      <c r="H27763" s="676"/>
      <c r="I27763" s="676"/>
      <c r="J27763" s="770"/>
    </row>
    <row r="27764" spans="8:10" x14ac:dyDescent="0.35">
      <c r="H27764" s="676"/>
      <c r="I27764" s="676"/>
      <c r="J27764" s="770"/>
    </row>
    <row r="27765" spans="8:10" x14ac:dyDescent="0.35">
      <c r="H27765" s="676"/>
      <c r="I27765" s="676"/>
      <c r="J27765" s="770"/>
    </row>
    <row r="27766" spans="8:10" x14ac:dyDescent="0.35">
      <c r="H27766" s="676"/>
      <c r="I27766" s="676"/>
      <c r="J27766" s="770"/>
    </row>
    <row r="27767" spans="8:10" x14ac:dyDescent="0.35">
      <c r="H27767" s="676"/>
      <c r="I27767" s="676"/>
      <c r="J27767" s="770"/>
    </row>
    <row r="27768" spans="8:10" x14ac:dyDescent="0.35">
      <c r="H27768" s="676"/>
      <c r="I27768" s="676"/>
      <c r="J27768" s="770"/>
    </row>
    <row r="27769" spans="8:10" x14ac:dyDescent="0.35">
      <c r="H27769" s="676"/>
      <c r="I27769" s="676"/>
      <c r="J27769" s="770"/>
    </row>
    <row r="27770" spans="8:10" x14ac:dyDescent="0.35">
      <c r="H27770" s="676"/>
      <c r="I27770" s="676"/>
      <c r="J27770" s="770"/>
    </row>
    <row r="27771" spans="8:10" x14ac:dyDescent="0.35">
      <c r="H27771" s="676"/>
      <c r="I27771" s="676"/>
      <c r="J27771" s="770"/>
    </row>
    <row r="27772" spans="8:10" x14ac:dyDescent="0.35">
      <c r="H27772" s="676"/>
      <c r="I27772" s="676"/>
      <c r="J27772" s="770"/>
    </row>
    <row r="27773" spans="8:10" x14ac:dyDescent="0.35">
      <c r="H27773" s="676"/>
      <c r="I27773" s="676"/>
      <c r="J27773" s="770"/>
    </row>
    <row r="27774" spans="8:10" x14ac:dyDescent="0.35">
      <c r="H27774" s="676"/>
      <c r="I27774" s="676"/>
      <c r="J27774" s="770"/>
    </row>
    <row r="27775" spans="8:10" x14ac:dyDescent="0.35">
      <c r="H27775" s="676"/>
      <c r="I27775" s="676"/>
      <c r="J27775" s="770"/>
    </row>
    <row r="27776" spans="8:10" x14ac:dyDescent="0.35">
      <c r="H27776" s="676"/>
      <c r="I27776" s="676"/>
      <c r="J27776" s="770"/>
    </row>
    <row r="27777" spans="8:10" x14ac:dyDescent="0.35">
      <c r="H27777" s="676"/>
      <c r="I27777" s="676"/>
      <c r="J27777" s="770"/>
    </row>
    <row r="27778" spans="8:10" x14ac:dyDescent="0.35">
      <c r="H27778" s="676"/>
      <c r="I27778" s="676"/>
      <c r="J27778" s="770"/>
    </row>
    <row r="27779" spans="8:10" x14ac:dyDescent="0.35">
      <c r="H27779" s="676"/>
      <c r="I27779" s="676"/>
      <c r="J27779" s="770"/>
    </row>
    <row r="27780" spans="8:10" x14ac:dyDescent="0.35">
      <c r="H27780" s="676"/>
      <c r="I27780" s="676"/>
      <c r="J27780" s="770"/>
    </row>
    <row r="27781" spans="8:10" x14ac:dyDescent="0.35">
      <c r="H27781" s="676"/>
      <c r="I27781" s="676"/>
      <c r="J27781" s="770"/>
    </row>
    <row r="27782" spans="8:10" x14ac:dyDescent="0.35">
      <c r="H27782" s="676"/>
      <c r="I27782" s="676"/>
      <c r="J27782" s="770"/>
    </row>
    <row r="27783" spans="8:10" x14ac:dyDescent="0.35">
      <c r="H27783" s="676"/>
      <c r="I27783" s="676"/>
      <c r="J27783" s="770"/>
    </row>
    <row r="27784" spans="8:10" x14ac:dyDescent="0.35">
      <c r="H27784" s="676"/>
      <c r="I27784" s="676"/>
      <c r="J27784" s="770"/>
    </row>
    <row r="27785" spans="8:10" x14ac:dyDescent="0.35">
      <c r="H27785" s="676"/>
      <c r="I27785" s="676"/>
      <c r="J27785" s="770"/>
    </row>
    <row r="27786" spans="8:10" x14ac:dyDescent="0.35">
      <c r="H27786" s="676"/>
      <c r="I27786" s="676"/>
      <c r="J27786" s="770"/>
    </row>
    <row r="27787" spans="8:10" x14ac:dyDescent="0.35">
      <c r="H27787" s="676"/>
      <c r="I27787" s="676"/>
      <c r="J27787" s="770"/>
    </row>
    <row r="27788" spans="8:10" x14ac:dyDescent="0.35">
      <c r="H27788" s="676"/>
      <c r="I27788" s="676"/>
      <c r="J27788" s="770"/>
    </row>
    <row r="27789" spans="8:10" x14ac:dyDescent="0.35">
      <c r="H27789" s="676"/>
      <c r="I27789" s="676"/>
      <c r="J27789" s="770"/>
    </row>
    <row r="27790" spans="8:10" x14ac:dyDescent="0.35">
      <c r="H27790" s="676"/>
      <c r="I27790" s="676"/>
      <c r="J27790" s="770"/>
    </row>
    <row r="27791" spans="8:10" x14ac:dyDescent="0.35">
      <c r="H27791" s="676"/>
      <c r="I27791" s="676"/>
      <c r="J27791" s="770"/>
    </row>
    <row r="27792" spans="8:10" x14ac:dyDescent="0.35">
      <c r="H27792" s="676"/>
      <c r="I27792" s="676"/>
      <c r="J27792" s="770"/>
    </row>
    <row r="27793" spans="8:10" x14ac:dyDescent="0.35">
      <c r="H27793" s="676"/>
      <c r="I27793" s="676"/>
      <c r="J27793" s="770"/>
    </row>
    <row r="27794" spans="8:10" x14ac:dyDescent="0.35">
      <c r="H27794" s="676"/>
      <c r="I27794" s="676"/>
      <c r="J27794" s="770"/>
    </row>
    <row r="27795" spans="8:10" x14ac:dyDescent="0.35">
      <c r="H27795" s="676"/>
      <c r="I27795" s="676"/>
      <c r="J27795" s="770"/>
    </row>
    <row r="27796" spans="8:10" x14ac:dyDescent="0.35">
      <c r="H27796" s="676"/>
      <c r="I27796" s="676"/>
      <c r="J27796" s="770"/>
    </row>
    <row r="27797" spans="8:10" x14ac:dyDescent="0.35">
      <c r="H27797" s="676"/>
      <c r="I27797" s="676"/>
      <c r="J27797" s="770"/>
    </row>
    <row r="27798" spans="8:10" x14ac:dyDescent="0.35">
      <c r="H27798" s="676"/>
      <c r="I27798" s="676"/>
      <c r="J27798" s="770"/>
    </row>
    <row r="27799" spans="8:10" x14ac:dyDescent="0.35">
      <c r="H27799" s="676"/>
      <c r="I27799" s="676"/>
      <c r="J27799" s="770"/>
    </row>
    <row r="27800" spans="8:10" x14ac:dyDescent="0.35">
      <c r="H27800" s="676"/>
      <c r="I27800" s="676"/>
      <c r="J27800" s="770"/>
    </row>
    <row r="27801" spans="8:10" x14ac:dyDescent="0.35">
      <c r="H27801" s="676"/>
      <c r="I27801" s="676"/>
      <c r="J27801" s="770"/>
    </row>
    <row r="27802" spans="8:10" x14ac:dyDescent="0.35">
      <c r="H27802" s="676"/>
      <c r="I27802" s="676"/>
      <c r="J27802" s="770"/>
    </row>
    <row r="27803" spans="8:10" x14ac:dyDescent="0.35">
      <c r="H27803" s="676"/>
      <c r="I27803" s="676"/>
      <c r="J27803" s="770"/>
    </row>
    <row r="27804" spans="8:10" x14ac:dyDescent="0.35">
      <c r="H27804" s="676"/>
      <c r="I27804" s="676"/>
      <c r="J27804" s="770"/>
    </row>
    <row r="27805" spans="8:10" x14ac:dyDescent="0.35">
      <c r="H27805" s="676"/>
      <c r="I27805" s="676"/>
      <c r="J27805" s="770"/>
    </row>
    <row r="27806" spans="8:10" x14ac:dyDescent="0.35">
      <c r="H27806" s="676"/>
      <c r="I27806" s="676"/>
      <c r="J27806" s="770"/>
    </row>
    <row r="27807" spans="8:10" x14ac:dyDescent="0.35">
      <c r="H27807" s="676"/>
      <c r="I27807" s="676"/>
      <c r="J27807" s="770"/>
    </row>
    <row r="27808" spans="8:10" x14ac:dyDescent="0.35">
      <c r="H27808" s="676"/>
      <c r="I27808" s="676"/>
      <c r="J27808" s="770"/>
    </row>
    <row r="27809" spans="8:10" x14ac:dyDescent="0.35">
      <c r="H27809" s="676"/>
      <c r="I27809" s="676"/>
      <c r="J27809" s="770"/>
    </row>
    <row r="27810" spans="8:10" x14ac:dyDescent="0.35">
      <c r="H27810" s="676"/>
      <c r="I27810" s="676"/>
      <c r="J27810" s="770"/>
    </row>
    <row r="27811" spans="8:10" x14ac:dyDescent="0.35">
      <c r="H27811" s="676"/>
      <c r="I27811" s="676"/>
      <c r="J27811" s="770"/>
    </row>
    <row r="27812" spans="8:10" x14ac:dyDescent="0.35">
      <c r="H27812" s="676"/>
      <c r="I27812" s="676"/>
      <c r="J27812" s="770"/>
    </row>
    <row r="27813" spans="8:10" x14ac:dyDescent="0.35">
      <c r="H27813" s="676"/>
      <c r="I27813" s="676"/>
      <c r="J27813" s="770"/>
    </row>
    <row r="27814" spans="8:10" x14ac:dyDescent="0.35">
      <c r="H27814" s="676"/>
      <c r="I27814" s="676"/>
      <c r="J27814" s="770"/>
    </row>
    <row r="27815" spans="8:10" x14ac:dyDescent="0.35">
      <c r="H27815" s="676"/>
      <c r="I27815" s="676"/>
      <c r="J27815" s="770"/>
    </row>
    <row r="27816" spans="8:10" x14ac:dyDescent="0.35">
      <c r="H27816" s="676"/>
      <c r="I27816" s="676"/>
      <c r="J27816" s="770"/>
    </row>
    <row r="27817" spans="8:10" x14ac:dyDescent="0.35">
      <c r="H27817" s="676"/>
      <c r="I27817" s="676"/>
      <c r="J27817" s="770"/>
    </row>
    <row r="27818" spans="8:10" x14ac:dyDescent="0.35">
      <c r="H27818" s="676"/>
      <c r="I27818" s="676"/>
      <c r="J27818" s="770"/>
    </row>
    <row r="27819" spans="8:10" x14ac:dyDescent="0.35">
      <c r="H27819" s="676"/>
      <c r="I27819" s="676"/>
      <c r="J27819" s="770"/>
    </row>
    <row r="27820" spans="8:10" x14ac:dyDescent="0.35">
      <c r="H27820" s="676"/>
      <c r="I27820" s="676"/>
      <c r="J27820" s="770"/>
    </row>
    <row r="27821" spans="8:10" x14ac:dyDescent="0.35">
      <c r="H27821" s="676"/>
      <c r="I27821" s="676"/>
      <c r="J27821" s="770"/>
    </row>
    <row r="27822" spans="8:10" x14ac:dyDescent="0.35">
      <c r="H27822" s="676"/>
      <c r="I27822" s="676"/>
      <c r="J27822" s="770"/>
    </row>
    <row r="27823" spans="8:10" x14ac:dyDescent="0.35">
      <c r="H27823" s="676"/>
      <c r="I27823" s="676"/>
      <c r="J27823" s="770"/>
    </row>
    <row r="27824" spans="8:10" x14ac:dyDescent="0.35">
      <c r="H27824" s="676"/>
      <c r="I27824" s="676"/>
      <c r="J27824" s="770"/>
    </row>
    <row r="27825" spans="8:10" x14ac:dyDescent="0.35">
      <c r="H27825" s="676"/>
      <c r="I27825" s="676"/>
      <c r="J27825" s="770"/>
    </row>
    <row r="27826" spans="8:10" x14ac:dyDescent="0.35">
      <c r="H27826" s="676"/>
      <c r="I27826" s="676"/>
      <c r="J27826" s="770"/>
    </row>
    <row r="27827" spans="8:10" x14ac:dyDescent="0.35">
      <c r="H27827" s="676"/>
      <c r="I27827" s="676"/>
      <c r="J27827" s="770"/>
    </row>
    <row r="27828" spans="8:10" x14ac:dyDescent="0.35">
      <c r="H27828" s="676"/>
      <c r="I27828" s="676"/>
      <c r="J27828" s="770"/>
    </row>
    <row r="27829" spans="8:10" x14ac:dyDescent="0.35">
      <c r="H27829" s="676"/>
      <c r="I27829" s="676"/>
      <c r="J27829" s="770"/>
    </row>
    <row r="27830" spans="8:10" x14ac:dyDescent="0.35">
      <c r="H27830" s="676"/>
      <c r="I27830" s="676"/>
      <c r="J27830" s="770"/>
    </row>
    <row r="27831" spans="8:10" x14ac:dyDescent="0.35">
      <c r="H27831" s="676"/>
      <c r="I27831" s="676"/>
      <c r="J27831" s="770"/>
    </row>
    <row r="27832" spans="8:10" x14ac:dyDescent="0.35">
      <c r="H27832" s="676"/>
      <c r="I27832" s="676"/>
      <c r="J27832" s="770"/>
    </row>
    <row r="27833" spans="8:10" x14ac:dyDescent="0.35">
      <c r="H27833" s="676"/>
      <c r="I27833" s="676"/>
      <c r="J27833" s="770"/>
    </row>
    <row r="27834" spans="8:10" x14ac:dyDescent="0.35">
      <c r="H27834" s="676"/>
      <c r="I27834" s="676"/>
      <c r="J27834" s="770"/>
    </row>
    <row r="27835" spans="8:10" x14ac:dyDescent="0.35">
      <c r="H27835" s="676"/>
      <c r="I27835" s="676"/>
      <c r="J27835" s="770"/>
    </row>
    <row r="27836" spans="8:10" x14ac:dyDescent="0.35">
      <c r="H27836" s="676"/>
      <c r="I27836" s="676"/>
      <c r="J27836" s="770"/>
    </row>
    <row r="27837" spans="8:10" x14ac:dyDescent="0.35">
      <c r="H27837" s="676"/>
      <c r="I27837" s="676"/>
      <c r="J27837" s="770"/>
    </row>
    <row r="27838" spans="8:10" x14ac:dyDescent="0.35">
      <c r="H27838" s="676"/>
      <c r="I27838" s="676"/>
      <c r="J27838" s="770"/>
    </row>
    <row r="27839" spans="8:10" x14ac:dyDescent="0.35">
      <c r="H27839" s="676"/>
      <c r="I27839" s="676"/>
      <c r="J27839" s="770"/>
    </row>
    <row r="27840" spans="8:10" x14ac:dyDescent="0.35">
      <c r="H27840" s="676"/>
      <c r="I27840" s="676"/>
      <c r="J27840" s="770"/>
    </row>
    <row r="27841" spans="8:10" x14ac:dyDescent="0.35">
      <c r="H27841" s="676"/>
      <c r="I27841" s="676"/>
      <c r="J27841" s="770"/>
    </row>
    <row r="27842" spans="8:10" x14ac:dyDescent="0.35">
      <c r="H27842" s="676"/>
      <c r="I27842" s="676"/>
      <c r="J27842" s="770"/>
    </row>
    <row r="27843" spans="8:10" x14ac:dyDescent="0.35">
      <c r="H27843" s="676"/>
      <c r="I27843" s="676"/>
      <c r="J27843" s="770"/>
    </row>
    <row r="27844" spans="8:10" x14ac:dyDescent="0.35">
      <c r="H27844" s="676"/>
      <c r="I27844" s="676"/>
      <c r="J27844" s="770"/>
    </row>
    <row r="27845" spans="8:10" x14ac:dyDescent="0.35">
      <c r="H27845" s="676"/>
      <c r="I27845" s="676"/>
      <c r="J27845" s="770"/>
    </row>
    <row r="27846" spans="8:10" x14ac:dyDescent="0.35">
      <c r="H27846" s="676"/>
      <c r="I27846" s="676"/>
      <c r="J27846" s="770"/>
    </row>
    <row r="27847" spans="8:10" x14ac:dyDescent="0.35">
      <c r="H27847" s="676"/>
      <c r="I27847" s="676"/>
      <c r="J27847" s="770"/>
    </row>
    <row r="27848" spans="8:10" x14ac:dyDescent="0.35">
      <c r="H27848" s="676"/>
      <c r="I27848" s="676"/>
      <c r="J27848" s="770"/>
    </row>
    <row r="27849" spans="8:10" x14ac:dyDescent="0.35">
      <c r="H27849" s="676"/>
      <c r="I27849" s="676"/>
      <c r="J27849" s="770"/>
    </row>
    <row r="27850" spans="8:10" x14ac:dyDescent="0.35">
      <c r="H27850" s="676"/>
      <c r="I27850" s="676"/>
      <c r="J27850" s="770"/>
    </row>
    <row r="27851" spans="8:10" x14ac:dyDescent="0.35">
      <c r="H27851" s="676"/>
      <c r="I27851" s="676"/>
      <c r="J27851" s="770"/>
    </row>
    <row r="27852" spans="8:10" x14ac:dyDescent="0.35">
      <c r="H27852" s="676"/>
      <c r="I27852" s="676"/>
      <c r="J27852" s="770"/>
    </row>
    <row r="27853" spans="8:10" x14ac:dyDescent="0.35">
      <c r="H27853" s="676"/>
      <c r="I27853" s="676"/>
      <c r="J27853" s="770"/>
    </row>
    <row r="27854" spans="8:10" x14ac:dyDescent="0.35">
      <c r="H27854" s="676"/>
      <c r="I27854" s="676"/>
      <c r="J27854" s="770"/>
    </row>
    <row r="27855" spans="8:10" x14ac:dyDescent="0.35">
      <c r="H27855" s="676"/>
      <c r="I27855" s="676"/>
      <c r="J27855" s="770"/>
    </row>
    <row r="27856" spans="8:10" x14ac:dyDescent="0.35">
      <c r="H27856" s="676"/>
      <c r="I27856" s="676"/>
      <c r="J27856" s="770"/>
    </row>
    <row r="27857" spans="8:10" x14ac:dyDescent="0.35">
      <c r="H27857" s="676"/>
      <c r="I27857" s="676"/>
      <c r="J27857" s="770"/>
    </row>
    <row r="27858" spans="8:10" x14ac:dyDescent="0.35">
      <c r="H27858" s="676"/>
      <c r="I27858" s="676"/>
      <c r="J27858" s="770"/>
    </row>
    <row r="27859" spans="8:10" x14ac:dyDescent="0.35">
      <c r="H27859" s="676"/>
      <c r="I27859" s="676"/>
      <c r="J27859" s="770"/>
    </row>
    <row r="27860" spans="8:10" x14ac:dyDescent="0.35">
      <c r="H27860" s="676"/>
      <c r="I27860" s="676"/>
      <c r="J27860" s="770"/>
    </row>
    <row r="27861" spans="8:10" x14ac:dyDescent="0.35">
      <c r="H27861" s="676"/>
      <c r="I27861" s="676"/>
      <c r="J27861" s="770"/>
    </row>
    <row r="27862" spans="8:10" x14ac:dyDescent="0.35">
      <c r="H27862" s="676"/>
      <c r="I27862" s="676"/>
      <c r="J27862" s="770"/>
    </row>
    <row r="27863" spans="8:10" x14ac:dyDescent="0.35">
      <c r="H27863" s="676"/>
      <c r="I27863" s="676"/>
      <c r="J27863" s="770"/>
    </row>
    <row r="27864" spans="8:10" x14ac:dyDescent="0.35">
      <c r="H27864" s="676"/>
      <c r="I27864" s="676"/>
      <c r="J27864" s="770"/>
    </row>
    <row r="27865" spans="8:10" x14ac:dyDescent="0.35">
      <c r="H27865" s="676"/>
      <c r="I27865" s="676"/>
      <c r="J27865" s="770"/>
    </row>
    <row r="27866" spans="8:10" x14ac:dyDescent="0.35">
      <c r="H27866" s="676"/>
      <c r="I27866" s="676"/>
      <c r="J27866" s="770"/>
    </row>
    <row r="27867" spans="8:10" x14ac:dyDescent="0.35">
      <c r="H27867" s="676"/>
      <c r="I27867" s="676"/>
      <c r="J27867" s="770"/>
    </row>
    <row r="27868" spans="8:10" x14ac:dyDescent="0.35">
      <c r="H27868" s="676"/>
      <c r="I27868" s="676"/>
      <c r="J27868" s="770"/>
    </row>
    <row r="27869" spans="8:10" x14ac:dyDescent="0.35">
      <c r="H27869" s="676"/>
      <c r="I27869" s="676"/>
      <c r="J27869" s="770"/>
    </row>
    <row r="27870" spans="8:10" x14ac:dyDescent="0.35">
      <c r="H27870" s="676"/>
      <c r="I27870" s="676"/>
      <c r="J27870" s="770"/>
    </row>
    <row r="27871" spans="8:10" x14ac:dyDescent="0.35">
      <c r="H27871" s="676"/>
      <c r="I27871" s="676"/>
      <c r="J27871" s="770"/>
    </row>
    <row r="27872" spans="8:10" x14ac:dyDescent="0.35">
      <c r="H27872" s="676"/>
      <c r="I27872" s="676"/>
      <c r="J27872" s="770"/>
    </row>
    <row r="27873" spans="8:10" x14ac:dyDescent="0.35">
      <c r="H27873" s="676"/>
      <c r="I27873" s="676"/>
      <c r="J27873" s="770"/>
    </row>
    <row r="27874" spans="8:10" x14ac:dyDescent="0.35">
      <c r="H27874" s="676"/>
      <c r="I27874" s="676"/>
      <c r="J27874" s="770"/>
    </row>
    <row r="27875" spans="8:10" x14ac:dyDescent="0.35">
      <c r="H27875" s="676"/>
      <c r="I27875" s="676"/>
      <c r="J27875" s="770"/>
    </row>
    <row r="27876" spans="8:10" x14ac:dyDescent="0.35">
      <c r="H27876" s="676"/>
      <c r="I27876" s="676"/>
      <c r="J27876" s="770"/>
    </row>
    <row r="27877" spans="8:10" x14ac:dyDescent="0.35">
      <c r="H27877" s="676"/>
      <c r="I27877" s="676"/>
      <c r="J27877" s="770"/>
    </row>
    <row r="27878" spans="8:10" x14ac:dyDescent="0.35">
      <c r="H27878" s="676"/>
      <c r="I27878" s="676"/>
      <c r="J27878" s="770"/>
    </row>
    <row r="27879" spans="8:10" x14ac:dyDescent="0.35">
      <c r="H27879" s="676"/>
      <c r="I27879" s="676"/>
      <c r="J27879" s="770"/>
    </row>
    <row r="27880" spans="8:10" x14ac:dyDescent="0.35">
      <c r="H27880" s="676"/>
      <c r="I27880" s="676"/>
      <c r="J27880" s="770"/>
    </row>
    <row r="27881" spans="8:10" x14ac:dyDescent="0.35">
      <c r="H27881" s="676"/>
      <c r="I27881" s="676"/>
      <c r="J27881" s="770"/>
    </row>
    <row r="27882" spans="8:10" x14ac:dyDescent="0.35">
      <c r="H27882" s="676"/>
      <c r="I27882" s="676"/>
      <c r="J27882" s="770"/>
    </row>
    <row r="27883" spans="8:10" x14ac:dyDescent="0.35">
      <c r="H27883" s="676"/>
      <c r="I27883" s="676"/>
      <c r="J27883" s="770"/>
    </row>
    <row r="27884" spans="8:10" x14ac:dyDescent="0.35">
      <c r="H27884" s="676"/>
      <c r="I27884" s="676"/>
      <c r="J27884" s="770"/>
    </row>
    <row r="27885" spans="8:10" x14ac:dyDescent="0.35">
      <c r="H27885" s="676"/>
      <c r="I27885" s="676"/>
      <c r="J27885" s="770"/>
    </row>
    <row r="27886" spans="8:10" x14ac:dyDescent="0.35">
      <c r="H27886" s="676"/>
      <c r="I27886" s="676"/>
      <c r="J27886" s="770"/>
    </row>
    <row r="27887" spans="8:10" x14ac:dyDescent="0.35">
      <c r="H27887" s="676"/>
      <c r="I27887" s="676"/>
      <c r="J27887" s="770"/>
    </row>
    <row r="27888" spans="8:10" x14ac:dyDescent="0.35">
      <c r="H27888" s="676"/>
      <c r="I27888" s="676"/>
      <c r="J27888" s="770"/>
    </row>
    <row r="27889" spans="8:10" x14ac:dyDescent="0.35">
      <c r="H27889" s="676"/>
      <c r="I27889" s="676"/>
      <c r="J27889" s="770"/>
    </row>
    <row r="27890" spans="8:10" x14ac:dyDescent="0.35">
      <c r="H27890" s="676"/>
      <c r="I27890" s="676"/>
      <c r="J27890" s="770"/>
    </row>
    <row r="27891" spans="8:10" x14ac:dyDescent="0.35">
      <c r="H27891" s="676"/>
      <c r="I27891" s="676"/>
      <c r="J27891" s="770"/>
    </row>
    <row r="27892" spans="8:10" x14ac:dyDescent="0.35">
      <c r="H27892" s="676"/>
      <c r="I27892" s="676"/>
      <c r="J27892" s="770"/>
    </row>
    <row r="27893" spans="8:10" x14ac:dyDescent="0.35">
      <c r="H27893" s="676"/>
      <c r="I27893" s="676"/>
      <c r="J27893" s="770"/>
    </row>
    <row r="27894" spans="8:10" x14ac:dyDescent="0.35">
      <c r="H27894" s="676"/>
      <c r="I27894" s="676"/>
      <c r="J27894" s="770"/>
    </row>
    <row r="27895" spans="8:10" x14ac:dyDescent="0.35">
      <c r="H27895" s="676"/>
      <c r="I27895" s="676"/>
      <c r="J27895" s="770"/>
    </row>
    <row r="27896" spans="8:10" x14ac:dyDescent="0.35">
      <c r="H27896" s="676"/>
      <c r="I27896" s="676"/>
      <c r="J27896" s="770"/>
    </row>
    <row r="27897" spans="8:10" x14ac:dyDescent="0.35">
      <c r="H27897" s="676"/>
      <c r="I27897" s="676"/>
      <c r="J27897" s="770"/>
    </row>
    <row r="27898" spans="8:10" x14ac:dyDescent="0.35">
      <c r="H27898" s="676"/>
      <c r="I27898" s="676"/>
      <c r="J27898" s="770"/>
    </row>
    <row r="27899" spans="8:10" x14ac:dyDescent="0.35">
      <c r="H27899" s="676"/>
      <c r="I27899" s="676"/>
      <c r="J27899" s="770"/>
    </row>
    <row r="27900" spans="8:10" x14ac:dyDescent="0.35">
      <c r="H27900" s="676"/>
      <c r="I27900" s="676"/>
      <c r="J27900" s="770"/>
    </row>
    <row r="27901" spans="8:10" x14ac:dyDescent="0.35">
      <c r="H27901" s="676"/>
      <c r="I27901" s="676"/>
      <c r="J27901" s="770"/>
    </row>
    <row r="27902" spans="8:10" x14ac:dyDescent="0.35">
      <c r="H27902" s="676"/>
      <c r="I27902" s="676"/>
      <c r="J27902" s="770"/>
    </row>
    <row r="27903" spans="8:10" x14ac:dyDescent="0.35">
      <c r="H27903" s="676"/>
      <c r="I27903" s="676"/>
      <c r="J27903" s="770"/>
    </row>
    <row r="27904" spans="8:10" x14ac:dyDescent="0.35">
      <c r="H27904" s="676"/>
      <c r="I27904" s="676"/>
      <c r="J27904" s="770"/>
    </row>
    <row r="27905" spans="8:10" x14ac:dyDescent="0.35">
      <c r="H27905" s="676"/>
      <c r="I27905" s="676"/>
      <c r="J27905" s="770"/>
    </row>
    <row r="27906" spans="8:10" x14ac:dyDescent="0.35">
      <c r="H27906" s="676"/>
      <c r="I27906" s="676"/>
      <c r="J27906" s="770"/>
    </row>
    <row r="27907" spans="8:10" x14ac:dyDescent="0.35">
      <c r="H27907" s="676"/>
      <c r="I27907" s="676"/>
      <c r="J27907" s="770"/>
    </row>
    <row r="27908" spans="8:10" x14ac:dyDescent="0.35">
      <c r="H27908" s="676"/>
      <c r="I27908" s="676"/>
      <c r="J27908" s="770"/>
    </row>
    <row r="27909" spans="8:10" x14ac:dyDescent="0.35">
      <c r="H27909" s="676"/>
      <c r="I27909" s="676"/>
      <c r="J27909" s="770"/>
    </row>
    <row r="27910" spans="8:10" x14ac:dyDescent="0.35">
      <c r="H27910" s="676"/>
      <c r="I27910" s="676"/>
      <c r="J27910" s="770"/>
    </row>
    <row r="27911" spans="8:10" x14ac:dyDescent="0.35">
      <c r="H27911" s="676"/>
      <c r="I27911" s="676"/>
      <c r="J27911" s="770"/>
    </row>
    <row r="27912" spans="8:10" x14ac:dyDescent="0.35">
      <c r="H27912" s="676"/>
      <c r="I27912" s="676"/>
      <c r="J27912" s="770"/>
    </row>
    <row r="27913" spans="8:10" x14ac:dyDescent="0.35">
      <c r="H27913" s="676"/>
      <c r="I27913" s="676"/>
      <c r="J27913" s="770"/>
    </row>
    <row r="27914" spans="8:10" x14ac:dyDescent="0.35">
      <c r="H27914" s="676"/>
      <c r="I27914" s="676"/>
      <c r="J27914" s="770"/>
    </row>
    <row r="27915" spans="8:10" x14ac:dyDescent="0.35">
      <c r="H27915" s="676"/>
      <c r="I27915" s="676"/>
      <c r="J27915" s="770"/>
    </row>
    <row r="27916" spans="8:10" x14ac:dyDescent="0.35">
      <c r="H27916" s="676"/>
      <c r="I27916" s="676"/>
      <c r="J27916" s="770"/>
    </row>
    <row r="27917" spans="8:10" x14ac:dyDescent="0.35">
      <c r="H27917" s="676"/>
      <c r="I27917" s="676"/>
      <c r="J27917" s="770"/>
    </row>
    <row r="27918" spans="8:10" x14ac:dyDescent="0.35">
      <c r="H27918" s="676"/>
      <c r="I27918" s="676"/>
      <c r="J27918" s="770"/>
    </row>
    <row r="27919" spans="8:10" x14ac:dyDescent="0.35">
      <c r="H27919" s="676"/>
      <c r="I27919" s="676"/>
      <c r="J27919" s="770"/>
    </row>
    <row r="27920" spans="8:10" x14ac:dyDescent="0.35">
      <c r="H27920" s="676"/>
      <c r="I27920" s="676"/>
      <c r="J27920" s="770"/>
    </row>
    <row r="27921" spans="8:10" x14ac:dyDescent="0.35">
      <c r="H27921" s="676"/>
      <c r="I27921" s="676"/>
      <c r="J27921" s="770"/>
    </row>
    <row r="27922" spans="8:10" x14ac:dyDescent="0.35">
      <c r="H27922" s="676"/>
      <c r="I27922" s="676"/>
      <c r="J27922" s="770"/>
    </row>
    <row r="27923" spans="8:10" x14ac:dyDescent="0.35">
      <c r="H27923" s="676"/>
      <c r="I27923" s="676"/>
      <c r="J27923" s="770"/>
    </row>
    <row r="27924" spans="8:10" x14ac:dyDescent="0.35">
      <c r="H27924" s="676"/>
      <c r="I27924" s="676"/>
      <c r="J27924" s="770"/>
    </row>
    <row r="27925" spans="8:10" x14ac:dyDescent="0.35">
      <c r="H27925" s="676"/>
      <c r="I27925" s="676"/>
      <c r="J27925" s="770"/>
    </row>
    <row r="27926" spans="8:10" x14ac:dyDescent="0.35">
      <c r="H27926" s="676"/>
      <c r="I27926" s="676"/>
      <c r="J27926" s="770"/>
    </row>
    <row r="27927" spans="8:10" x14ac:dyDescent="0.35">
      <c r="H27927" s="676"/>
      <c r="I27927" s="676"/>
      <c r="J27927" s="770"/>
    </row>
    <row r="27928" spans="8:10" x14ac:dyDescent="0.35">
      <c r="H27928" s="676"/>
      <c r="I27928" s="676"/>
      <c r="J27928" s="770"/>
    </row>
    <row r="27929" spans="8:10" x14ac:dyDescent="0.35">
      <c r="H27929" s="676"/>
      <c r="I27929" s="676"/>
      <c r="J27929" s="770"/>
    </row>
    <row r="27930" spans="8:10" x14ac:dyDescent="0.35">
      <c r="H27930" s="676"/>
      <c r="I27930" s="676"/>
      <c r="J27930" s="770"/>
    </row>
    <row r="27931" spans="8:10" x14ac:dyDescent="0.35">
      <c r="H27931" s="676"/>
      <c r="I27931" s="676"/>
      <c r="J27931" s="770"/>
    </row>
    <row r="27932" spans="8:10" x14ac:dyDescent="0.35">
      <c r="H27932" s="676"/>
      <c r="I27932" s="676"/>
      <c r="J27932" s="770"/>
    </row>
    <row r="27933" spans="8:10" x14ac:dyDescent="0.35">
      <c r="H27933" s="676"/>
      <c r="I27933" s="676"/>
      <c r="J27933" s="770"/>
    </row>
    <row r="27934" spans="8:10" x14ac:dyDescent="0.35">
      <c r="H27934" s="676"/>
      <c r="I27934" s="676"/>
      <c r="J27934" s="770"/>
    </row>
    <row r="27935" spans="8:10" x14ac:dyDescent="0.35">
      <c r="H27935" s="676"/>
      <c r="I27935" s="676"/>
      <c r="J27935" s="770"/>
    </row>
    <row r="27936" spans="8:10" x14ac:dyDescent="0.35">
      <c r="H27936" s="676"/>
      <c r="I27936" s="676"/>
      <c r="J27936" s="770"/>
    </row>
    <row r="27937" spans="8:10" x14ac:dyDescent="0.35">
      <c r="H27937" s="676"/>
      <c r="I27937" s="676"/>
      <c r="J27937" s="770"/>
    </row>
    <row r="27938" spans="8:10" x14ac:dyDescent="0.35">
      <c r="H27938" s="676"/>
      <c r="I27938" s="676"/>
      <c r="J27938" s="770"/>
    </row>
    <row r="27939" spans="8:10" x14ac:dyDescent="0.35">
      <c r="H27939" s="676"/>
      <c r="I27939" s="676"/>
      <c r="J27939" s="770"/>
    </row>
    <row r="27940" spans="8:10" x14ac:dyDescent="0.35">
      <c r="H27940" s="676"/>
      <c r="I27940" s="676"/>
      <c r="J27940" s="770"/>
    </row>
    <row r="27941" spans="8:10" x14ac:dyDescent="0.35">
      <c r="H27941" s="676"/>
      <c r="I27941" s="676"/>
      <c r="J27941" s="770"/>
    </row>
    <row r="27942" spans="8:10" x14ac:dyDescent="0.35">
      <c r="H27942" s="676"/>
      <c r="I27942" s="676"/>
      <c r="J27942" s="770"/>
    </row>
    <row r="27943" spans="8:10" x14ac:dyDescent="0.35">
      <c r="H27943" s="676"/>
      <c r="I27943" s="676"/>
      <c r="J27943" s="770"/>
    </row>
    <row r="27944" spans="8:10" x14ac:dyDescent="0.35">
      <c r="H27944" s="676"/>
      <c r="I27944" s="676"/>
      <c r="J27944" s="770"/>
    </row>
    <row r="27945" spans="8:10" x14ac:dyDescent="0.35">
      <c r="H27945" s="676"/>
      <c r="I27945" s="676"/>
      <c r="J27945" s="770"/>
    </row>
    <row r="27946" spans="8:10" x14ac:dyDescent="0.35">
      <c r="H27946" s="676"/>
      <c r="I27946" s="676"/>
      <c r="J27946" s="770"/>
    </row>
    <row r="27947" spans="8:10" x14ac:dyDescent="0.35">
      <c r="H27947" s="676"/>
      <c r="I27947" s="676"/>
      <c r="J27947" s="770"/>
    </row>
    <row r="27948" spans="8:10" x14ac:dyDescent="0.35">
      <c r="H27948" s="676"/>
      <c r="I27948" s="676"/>
      <c r="J27948" s="770"/>
    </row>
    <row r="27949" spans="8:10" x14ac:dyDescent="0.35">
      <c r="H27949" s="676"/>
      <c r="I27949" s="676"/>
      <c r="J27949" s="770"/>
    </row>
    <row r="27950" spans="8:10" x14ac:dyDescent="0.35">
      <c r="H27950" s="676"/>
      <c r="I27950" s="676"/>
      <c r="J27950" s="770"/>
    </row>
    <row r="27951" spans="8:10" x14ac:dyDescent="0.35">
      <c r="H27951" s="676"/>
      <c r="I27951" s="676"/>
      <c r="J27951" s="770"/>
    </row>
    <row r="27952" spans="8:10" x14ac:dyDescent="0.35">
      <c r="H27952" s="676"/>
      <c r="I27952" s="676"/>
      <c r="J27952" s="770"/>
    </row>
    <row r="27953" spans="8:10" x14ac:dyDescent="0.35">
      <c r="H27953" s="676"/>
      <c r="I27953" s="676"/>
      <c r="J27953" s="770"/>
    </row>
    <row r="27954" spans="8:10" x14ac:dyDescent="0.35">
      <c r="H27954" s="676"/>
      <c r="I27954" s="676"/>
      <c r="J27954" s="770"/>
    </row>
    <row r="27955" spans="8:10" x14ac:dyDescent="0.35">
      <c r="H27955" s="676"/>
      <c r="I27955" s="676"/>
      <c r="J27955" s="770"/>
    </row>
    <row r="27956" spans="8:10" x14ac:dyDescent="0.35">
      <c r="H27956" s="676"/>
      <c r="I27956" s="676"/>
      <c r="J27956" s="770"/>
    </row>
    <row r="27957" spans="8:10" x14ac:dyDescent="0.35">
      <c r="H27957" s="676"/>
      <c r="I27957" s="676"/>
      <c r="J27957" s="770"/>
    </row>
    <row r="27958" spans="8:10" x14ac:dyDescent="0.35">
      <c r="H27958" s="676"/>
      <c r="I27958" s="676"/>
      <c r="J27958" s="770"/>
    </row>
    <row r="27959" spans="8:10" x14ac:dyDescent="0.35">
      <c r="H27959" s="676"/>
      <c r="I27959" s="676"/>
      <c r="J27959" s="770"/>
    </row>
    <row r="27960" spans="8:10" x14ac:dyDescent="0.35">
      <c r="H27960" s="676"/>
      <c r="I27960" s="676"/>
      <c r="J27960" s="770"/>
    </row>
    <row r="27961" spans="8:10" x14ac:dyDescent="0.35">
      <c r="H27961" s="676"/>
      <c r="I27961" s="676"/>
      <c r="J27961" s="770"/>
    </row>
    <row r="27962" spans="8:10" x14ac:dyDescent="0.35">
      <c r="H27962" s="676"/>
      <c r="I27962" s="676"/>
      <c r="J27962" s="770"/>
    </row>
    <row r="27963" spans="8:10" x14ac:dyDescent="0.35">
      <c r="H27963" s="676"/>
      <c r="I27963" s="676"/>
      <c r="J27963" s="770"/>
    </row>
    <row r="27964" spans="8:10" x14ac:dyDescent="0.35">
      <c r="H27964" s="676"/>
      <c r="I27964" s="676"/>
      <c r="J27964" s="770"/>
    </row>
    <row r="27965" spans="8:10" x14ac:dyDescent="0.35">
      <c r="H27965" s="676"/>
      <c r="I27965" s="676"/>
      <c r="J27965" s="770"/>
    </row>
    <row r="27966" spans="8:10" x14ac:dyDescent="0.35">
      <c r="H27966" s="676"/>
      <c r="I27966" s="676"/>
      <c r="J27966" s="770"/>
    </row>
    <row r="27967" spans="8:10" x14ac:dyDescent="0.35">
      <c r="H27967" s="676"/>
      <c r="I27967" s="676"/>
      <c r="J27967" s="770"/>
    </row>
    <row r="27968" spans="8:10" x14ac:dyDescent="0.35">
      <c r="H27968" s="676"/>
      <c r="I27968" s="676"/>
      <c r="J27968" s="770"/>
    </row>
    <row r="27969" spans="8:10" x14ac:dyDescent="0.35">
      <c r="H27969" s="676"/>
      <c r="I27969" s="676"/>
      <c r="J27969" s="770"/>
    </row>
    <row r="27970" spans="8:10" x14ac:dyDescent="0.35">
      <c r="H27970" s="676"/>
      <c r="I27970" s="676"/>
      <c r="J27970" s="770"/>
    </row>
    <row r="27971" spans="8:10" x14ac:dyDescent="0.35">
      <c r="H27971" s="676"/>
      <c r="I27971" s="676"/>
      <c r="J27971" s="770"/>
    </row>
    <row r="27972" spans="8:10" x14ac:dyDescent="0.35">
      <c r="H27972" s="676"/>
      <c r="I27972" s="676"/>
      <c r="J27972" s="770"/>
    </row>
    <row r="27973" spans="8:10" x14ac:dyDescent="0.35">
      <c r="H27973" s="676"/>
      <c r="I27973" s="676"/>
      <c r="J27973" s="770"/>
    </row>
    <row r="27974" spans="8:10" x14ac:dyDescent="0.35">
      <c r="H27974" s="676"/>
      <c r="I27974" s="676"/>
      <c r="J27974" s="770"/>
    </row>
    <row r="27975" spans="8:10" x14ac:dyDescent="0.35">
      <c r="H27975" s="676"/>
      <c r="I27975" s="676"/>
      <c r="J27975" s="770"/>
    </row>
    <row r="27976" spans="8:10" x14ac:dyDescent="0.35">
      <c r="H27976" s="676"/>
      <c r="I27976" s="676"/>
      <c r="J27976" s="770"/>
    </row>
    <row r="27977" spans="8:10" x14ac:dyDescent="0.35">
      <c r="H27977" s="676"/>
      <c r="I27977" s="676"/>
      <c r="J27977" s="770"/>
    </row>
    <row r="27978" spans="8:10" x14ac:dyDescent="0.35">
      <c r="H27978" s="676"/>
      <c r="I27978" s="676"/>
      <c r="J27978" s="770"/>
    </row>
    <row r="27979" spans="8:10" x14ac:dyDescent="0.35">
      <c r="H27979" s="676"/>
      <c r="I27979" s="676"/>
      <c r="J27979" s="770"/>
    </row>
    <row r="27980" spans="8:10" x14ac:dyDescent="0.35">
      <c r="H27980" s="676"/>
      <c r="I27980" s="676"/>
      <c r="J27980" s="770"/>
    </row>
    <row r="27981" spans="8:10" x14ac:dyDescent="0.35">
      <c r="H27981" s="676"/>
      <c r="I27981" s="676"/>
      <c r="J27981" s="770"/>
    </row>
    <row r="27982" spans="8:10" x14ac:dyDescent="0.35">
      <c r="H27982" s="676"/>
      <c r="I27982" s="676"/>
      <c r="J27982" s="770"/>
    </row>
    <row r="27983" spans="8:10" x14ac:dyDescent="0.35">
      <c r="H27983" s="676"/>
      <c r="I27983" s="676"/>
      <c r="J27983" s="770"/>
    </row>
    <row r="27984" spans="8:10" x14ac:dyDescent="0.35">
      <c r="H27984" s="676"/>
      <c r="I27984" s="676"/>
      <c r="J27984" s="770"/>
    </row>
    <row r="27985" spans="8:10" x14ac:dyDescent="0.35">
      <c r="H27985" s="676"/>
      <c r="I27985" s="676"/>
      <c r="J27985" s="770"/>
    </row>
    <row r="27986" spans="8:10" x14ac:dyDescent="0.35">
      <c r="H27986" s="676"/>
      <c r="I27986" s="676"/>
      <c r="J27986" s="770"/>
    </row>
    <row r="27987" spans="8:10" x14ac:dyDescent="0.35">
      <c r="H27987" s="676"/>
      <c r="I27987" s="676"/>
      <c r="J27987" s="770"/>
    </row>
    <row r="27988" spans="8:10" x14ac:dyDescent="0.35">
      <c r="H27988" s="676"/>
      <c r="I27988" s="676"/>
      <c r="J27988" s="770"/>
    </row>
    <row r="27989" spans="8:10" x14ac:dyDescent="0.35">
      <c r="H27989" s="676"/>
      <c r="I27989" s="676"/>
      <c r="J27989" s="770"/>
    </row>
    <row r="27990" spans="8:10" x14ac:dyDescent="0.35">
      <c r="H27990" s="676"/>
      <c r="I27990" s="676"/>
      <c r="J27990" s="770"/>
    </row>
    <row r="27991" spans="8:10" x14ac:dyDescent="0.35">
      <c r="H27991" s="676"/>
      <c r="I27991" s="676"/>
      <c r="J27991" s="770"/>
    </row>
    <row r="27992" spans="8:10" x14ac:dyDescent="0.35">
      <c r="H27992" s="676"/>
      <c r="I27992" s="676"/>
      <c r="J27992" s="770"/>
    </row>
    <row r="27993" spans="8:10" x14ac:dyDescent="0.35">
      <c r="H27993" s="676"/>
      <c r="I27993" s="676"/>
      <c r="J27993" s="770"/>
    </row>
    <row r="27994" spans="8:10" x14ac:dyDescent="0.35">
      <c r="H27994" s="676"/>
      <c r="I27994" s="676"/>
      <c r="J27994" s="770"/>
    </row>
    <row r="27995" spans="8:10" x14ac:dyDescent="0.35">
      <c r="H27995" s="676"/>
      <c r="I27995" s="676"/>
      <c r="J27995" s="770"/>
    </row>
    <row r="27996" spans="8:10" x14ac:dyDescent="0.35">
      <c r="H27996" s="676"/>
      <c r="I27996" s="676"/>
      <c r="J27996" s="770"/>
    </row>
    <row r="27997" spans="8:10" x14ac:dyDescent="0.35">
      <c r="H27997" s="676"/>
      <c r="I27997" s="676"/>
      <c r="J27997" s="770"/>
    </row>
    <row r="27998" spans="8:10" x14ac:dyDescent="0.35">
      <c r="H27998" s="676"/>
      <c r="I27998" s="676"/>
      <c r="J27998" s="770"/>
    </row>
    <row r="27999" spans="8:10" x14ac:dyDescent="0.35">
      <c r="H27999" s="676"/>
      <c r="I27999" s="676"/>
      <c r="J27999" s="770"/>
    </row>
    <row r="28000" spans="8:10" x14ac:dyDescent="0.35">
      <c r="H28000" s="676"/>
      <c r="I28000" s="676"/>
      <c r="J28000" s="770"/>
    </row>
    <row r="28001" spans="8:10" x14ac:dyDescent="0.35">
      <c r="H28001" s="676"/>
      <c r="I28001" s="676"/>
      <c r="J28001" s="770"/>
    </row>
    <row r="28002" spans="8:10" x14ac:dyDescent="0.35">
      <c r="H28002" s="676"/>
      <c r="I28002" s="676"/>
      <c r="J28002" s="770"/>
    </row>
    <row r="28003" spans="8:10" x14ac:dyDescent="0.35">
      <c r="H28003" s="676"/>
      <c r="I28003" s="676"/>
      <c r="J28003" s="770"/>
    </row>
    <row r="28004" spans="8:10" x14ac:dyDescent="0.35">
      <c r="H28004" s="676"/>
      <c r="I28004" s="676"/>
      <c r="J28004" s="770"/>
    </row>
    <row r="28005" spans="8:10" x14ac:dyDescent="0.35">
      <c r="H28005" s="676"/>
      <c r="I28005" s="676"/>
      <c r="J28005" s="770"/>
    </row>
    <row r="28006" spans="8:10" x14ac:dyDescent="0.35">
      <c r="H28006" s="676"/>
      <c r="I28006" s="676"/>
      <c r="J28006" s="770"/>
    </row>
    <row r="28007" spans="8:10" x14ac:dyDescent="0.35">
      <c r="H28007" s="676"/>
      <c r="I28007" s="676"/>
      <c r="J28007" s="770"/>
    </row>
    <row r="28008" spans="8:10" x14ac:dyDescent="0.35">
      <c r="H28008" s="676"/>
      <c r="I28008" s="676"/>
      <c r="J28008" s="770"/>
    </row>
    <row r="28009" spans="8:10" x14ac:dyDescent="0.35">
      <c r="H28009" s="676"/>
      <c r="I28009" s="676"/>
      <c r="J28009" s="770"/>
    </row>
    <row r="28010" spans="8:10" x14ac:dyDescent="0.35">
      <c r="H28010" s="676"/>
      <c r="I28010" s="676"/>
      <c r="J28010" s="770"/>
    </row>
    <row r="28011" spans="8:10" x14ac:dyDescent="0.35">
      <c r="H28011" s="676"/>
      <c r="I28011" s="676"/>
      <c r="J28011" s="770"/>
    </row>
    <row r="28012" spans="8:10" x14ac:dyDescent="0.35">
      <c r="H28012" s="676"/>
      <c r="I28012" s="676"/>
      <c r="J28012" s="770"/>
    </row>
    <row r="28013" spans="8:10" x14ac:dyDescent="0.35">
      <c r="H28013" s="676"/>
      <c r="I28013" s="676"/>
      <c r="J28013" s="770"/>
    </row>
    <row r="28014" spans="8:10" x14ac:dyDescent="0.35">
      <c r="H28014" s="676"/>
      <c r="I28014" s="676"/>
      <c r="J28014" s="770"/>
    </row>
    <row r="28015" spans="8:10" x14ac:dyDescent="0.35">
      <c r="H28015" s="676"/>
      <c r="I28015" s="676"/>
      <c r="J28015" s="770"/>
    </row>
    <row r="28016" spans="8:10" x14ac:dyDescent="0.35">
      <c r="H28016" s="676"/>
      <c r="I28016" s="676"/>
      <c r="J28016" s="770"/>
    </row>
    <row r="28017" spans="8:10" x14ac:dyDescent="0.35">
      <c r="H28017" s="676"/>
      <c r="I28017" s="676"/>
      <c r="J28017" s="770"/>
    </row>
    <row r="28018" spans="8:10" x14ac:dyDescent="0.35">
      <c r="H28018" s="676"/>
      <c r="I28018" s="676"/>
      <c r="J28018" s="770"/>
    </row>
    <row r="28019" spans="8:10" x14ac:dyDescent="0.35">
      <c r="H28019" s="676"/>
      <c r="I28019" s="676"/>
      <c r="J28019" s="770"/>
    </row>
    <row r="28020" spans="8:10" x14ac:dyDescent="0.35">
      <c r="H28020" s="676"/>
      <c r="I28020" s="676"/>
      <c r="J28020" s="770"/>
    </row>
    <row r="28021" spans="8:10" x14ac:dyDescent="0.35">
      <c r="H28021" s="676"/>
      <c r="I28021" s="676"/>
      <c r="J28021" s="770"/>
    </row>
    <row r="28022" spans="8:10" x14ac:dyDescent="0.35">
      <c r="H28022" s="676"/>
      <c r="I28022" s="676"/>
      <c r="J28022" s="770"/>
    </row>
    <row r="28023" spans="8:10" x14ac:dyDescent="0.35">
      <c r="H28023" s="676"/>
      <c r="I28023" s="676"/>
      <c r="J28023" s="770"/>
    </row>
    <row r="28024" spans="8:10" x14ac:dyDescent="0.35">
      <c r="H28024" s="676"/>
      <c r="I28024" s="676"/>
      <c r="J28024" s="770"/>
    </row>
    <row r="28025" spans="8:10" x14ac:dyDescent="0.35">
      <c r="H28025" s="676"/>
      <c r="I28025" s="676"/>
      <c r="J28025" s="770"/>
    </row>
    <row r="28026" spans="8:10" x14ac:dyDescent="0.35">
      <c r="H28026" s="676"/>
      <c r="I28026" s="676"/>
      <c r="J28026" s="770"/>
    </row>
    <row r="28027" spans="8:10" x14ac:dyDescent="0.35">
      <c r="H28027" s="676"/>
      <c r="I28027" s="676"/>
      <c r="J28027" s="770"/>
    </row>
    <row r="28028" spans="8:10" x14ac:dyDescent="0.35">
      <c r="H28028" s="676"/>
      <c r="I28028" s="676"/>
      <c r="J28028" s="770"/>
    </row>
    <row r="28029" spans="8:10" x14ac:dyDescent="0.35">
      <c r="H28029" s="676"/>
      <c r="I28029" s="676"/>
      <c r="J28029" s="770"/>
    </row>
    <row r="28030" spans="8:10" x14ac:dyDescent="0.35">
      <c r="H28030" s="676"/>
      <c r="I28030" s="676"/>
      <c r="J28030" s="770"/>
    </row>
    <row r="28031" spans="8:10" x14ac:dyDescent="0.35">
      <c r="H28031" s="676"/>
      <c r="I28031" s="676"/>
      <c r="J28031" s="770"/>
    </row>
    <row r="28032" spans="8:10" x14ac:dyDescent="0.35">
      <c r="H28032" s="676"/>
      <c r="I28032" s="676"/>
      <c r="J28032" s="770"/>
    </row>
    <row r="28033" spans="8:10" x14ac:dyDescent="0.35">
      <c r="H28033" s="676"/>
      <c r="I28033" s="676"/>
      <c r="J28033" s="770"/>
    </row>
    <row r="28034" spans="8:10" x14ac:dyDescent="0.35">
      <c r="H28034" s="676"/>
      <c r="I28034" s="676"/>
      <c r="J28034" s="770"/>
    </row>
    <row r="28035" spans="8:10" x14ac:dyDescent="0.35">
      <c r="H28035" s="676"/>
      <c r="I28035" s="676"/>
      <c r="J28035" s="770"/>
    </row>
    <row r="28036" spans="8:10" x14ac:dyDescent="0.35">
      <c r="H28036" s="676"/>
      <c r="I28036" s="676"/>
      <c r="J28036" s="770"/>
    </row>
    <row r="28037" spans="8:10" x14ac:dyDescent="0.35">
      <c r="H28037" s="676"/>
      <c r="I28037" s="676"/>
      <c r="J28037" s="770"/>
    </row>
    <row r="28038" spans="8:10" x14ac:dyDescent="0.35">
      <c r="H28038" s="676"/>
      <c r="I28038" s="676"/>
      <c r="J28038" s="770"/>
    </row>
    <row r="28039" spans="8:10" x14ac:dyDescent="0.35">
      <c r="H28039" s="676"/>
      <c r="I28039" s="676"/>
      <c r="J28039" s="770"/>
    </row>
    <row r="28040" spans="8:10" x14ac:dyDescent="0.35">
      <c r="H28040" s="676"/>
      <c r="I28040" s="676"/>
      <c r="J28040" s="770"/>
    </row>
    <row r="28041" spans="8:10" x14ac:dyDescent="0.35">
      <c r="H28041" s="676"/>
      <c r="I28041" s="676"/>
      <c r="J28041" s="770"/>
    </row>
    <row r="28042" spans="8:10" x14ac:dyDescent="0.35">
      <c r="H28042" s="676"/>
      <c r="I28042" s="676"/>
      <c r="J28042" s="770"/>
    </row>
    <row r="28043" spans="8:10" x14ac:dyDescent="0.35">
      <c r="H28043" s="676"/>
      <c r="I28043" s="676"/>
      <c r="J28043" s="770"/>
    </row>
    <row r="28044" spans="8:10" x14ac:dyDescent="0.35">
      <c r="H28044" s="676"/>
      <c r="I28044" s="676"/>
      <c r="J28044" s="770"/>
    </row>
    <row r="28045" spans="8:10" x14ac:dyDescent="0.35">
      <c r="H28045" s="676"/>
      <c r="I28045" s="676"/>
      <c r="J28045" s="770"/>
    </row>
    <row r="28046" spans="8:10" x14ac:dyDescent="0.35">
      <c r="H28046" s="676"/>
      <c r="I28046" s="676"/>
      <c r="J28046" s="770"/>
    </row>
    <row r="28047" spans="8:10" x14ac:dyDescent="0.35">
      <c r="H28047" s="676"/>
      <c r="I28047" s="676"/>
      <c r="J28047" s="770"/>
    </row>
    <row r="28048" spans="8:10" x14ac:dyDescent="0.35">
      <c r="H28048" s="676"/>
      <c r="I28048" s="676"/>
      <c r="J28048" s="770"/>
    </row>
    <row r="28049" spans="8:10" x14ac:dyDescent="0.35">
      <c r="H28049" s="676"/>
      <c r="I28049" s="676"/>
      <c r="J28049" s="770"/>
    </row>
    <row r="28050" spans="8:10" x14ac:dyDescent="0.35">
      <c r="H28050" s="676"/>
      <c r="I28050" s="676"/>
      <c r="J28050" s="770"/>
    </row>
    <row r="28051" spans="8:10" x14ac:dyDescent="0.35">
      <c r="H28051" s="676"/>
      <c r="I28051" s="676"/>
      <c r="J28051" s="770"/>
    </row>
    <row r="28052" spans="8:10" x14ac:dyDescent="0.35">
      <c r="H28052" s="676"/>
      <c r="I28052" s="676"/>
      <c r="J28052" s="770"/>
    </row>
    <row r="28053" spans="8:10" x14ac:dyDescent="0.35">
      <c r="H28053" s="676"/>
      <c r="I28053" s="676"/>
      <c r="J28053" s="770"/>
    </row>
    <row r="28054" spans="8:10" x14ac:dyDescent="0.35">
      <c r="H28054" s="676"/>
      <c r="I28054" s="676"/>
      <c r="J28054" s="770"/>
    </row>
    <row r="28055" spans="8:10" x14ac:dyDescent="0.35">
      <c r="H28055" s="676"/>
      <c r="I28055" s="676"/>
      <c r="J28055" s="770"/>
    </row>
    <row r="28056" spans="8:10" x14ac:dyDescent="0.35">
      <c r="H28056" s="676"/>
      <c r="I28056" s="676"/>
      <c r="J28056" s="770"/>
    </row>
    <row r="28057" spans="8:10" x14ac:dyDescent="0.35">
      <c r="H28057" s="676"/>
      <c r="I28057" s="676"/>
      <c r="J28057" s="770"/>
    </row>
    <row r="28058" spans="8:10" x14ac:dyDescent="0.35">
      <c r="H28058" s="676"/>
      <c r="I28058" s="676"/>
      <c r="J28058" s="770"/>
    </row>
    <row r="28059" spans="8:10" x14ac:dyDescent="0.35">
      <c r="H28059" s="676"/>
      <c r="I28059" s="676"/>
      <c r="J28059" s="770"/>
    </row>
    <row r="28060" spans="8:10" x14ac:dyDescent="0.35">
      <c r="H28060" s="676"/>
      <c r="I28060" s="676"/>
      <c r="J28060" s="770"/>
    </row>
    <row r="28061" spans="8:10" x14ac:dyDescent="0.35">
      <c r="H28061" s="676"/>
      <c r="I28061" s="676"/>
      <c r="J28061" s="770"/>
    </row>
    <row r="28062" spans="8:10" x14ac:dyDescent="0.35">
      <c r="H28062" s="676"/>
      <c r="I28062" s="676"/>
      <c r="J28062" s="770"/>
    </row>
    <row r="28063" spans="8:10" x14ac:dyDescent="0.35">
      <c r="H28063" s="676"/>
      <c r="I28063" s="676"/>
      <c r="J28063" s="770"/>
    </row>
    <row r="28064" spans="8:10" x14ac:dyDescent="0.35">
      <c r="H28064" s="676"/>
      <c r="I28064" s="676"/>
      <c r="J28064" s="770"/>
    </row>
    <row r="28065" spans="8:10" x14ac:dyDescent="0.35">
      <c r="H28065" s="676"/>
      <c r="I28065" s="676"/>
      <c r="J28065" s="770"/>
    </row>
    <row r="28066" spans="8:10" x14ac:dyDescent="0.35">
      <c r="H28066" s="676"/>
      <c r="I28066" s="676"/>
      <c r="J28066" s="770"/>
    </row>
    <row r="28067" spans="8:10" x14ac:dyDescent="0.35">
      <c r="H28067" s="676"/>
      <c r="I28067" s="676"/>
      <c r="J28067" s="770"/>
    </row>
    <row r="28068" spans="8:10" x14ac:dyDescent="0.35">
      <c r="H28068" s="676"/>
      <c r="I28068" s="676"/>
      <c r="J28068" s="770"/>
    </row>
    <row r="28069" spans="8:10" x14ac:dyDescent="0.35">
      <c r="H28069" s="676"/>
      <c r="I28069" s="676"/>
      <c r="J28069" s="770"/>
    </row>
    <row r="28070" spans="8:10" x14ac:dyDescent="0.35">
      <c r="H28070" s="676"/>
      <c r="I28070" s="676"/>
      <c r="J28070" s="770"/>
    </row>
    <row r="28071" spans="8:10" x14ac:dyDescent="0.35">
      <c r="H28071" s="676"/>
      <c r="I28071" s="676"/>
      <c r="J28071" s="770"/>
    </row>
    <row r="28072" spans="8:10" x14ac:dyDescent="0.35">
      <c r="H28072" s="676"/>
      <c r="I28072" s="676"/>
      <c r="J28072" s="770"/>
    </row>
    <row r="28073" spans="8:10" x14ac:dyDescent="0.35">
      <c r="H28073" s="676"/>
      <c r="I28073" s="676"/>
      <c r="J28073" s="770"/>
    </row>
    <row r="28074" spans="8:10" x14ac:dyDescent="0.35">
      <c r="H28074" s="676"/>
      <c r="I28074" s="676"/>
      <c r="J28074" s="770"/>
    </row>
    <row r="28075" spans="8:10" x14ac:dyDescent="0.35">
      <c r="H28075" s="676"/>
      <c r="I28075" s="676"/>
      <c r="J28075" s="770"/>
    </row>
    <row r="28076" spans="8:10" x14ac:dyDescent="0.35">
      <c r="H28076" s="676"/>
      <c r="I28076" s="676"/>
      <c r="J28076" s="770"/>
    </row>
    <row r="28077" spans="8:10" x14ac:dyDescent="0.35">
      <c r="H28077" s="676"/>
      <c r="I28077" s="676"/>
      <c r="J28077" s="770"/>
    </row>
    <row r="28078" spans="8:10" x14ac:dyDescent="0.35">
      <c r="H28078" s="676"/>
      <c r="I28078" s="676"/>
      <c r="J28078" s="770"/>
    </row>
    <row r="28079" spans="8:10" x14ac:dyDescent="0.35">
      <c r="H28079" s="676"/>
      <c r="I28079" s="676"/>
      <c r="J28079" s="770"/>
    </row>
    <row r="28080" spans="8:10" x14ac:dyDescent="0.35">
      <c r="H28080" s="676"/>
      <c r="I28080" s="676"/>
      <c r="J28080" s="770"/>
    </row>
    <row r="28081" spans="8:10" x14ac:dyDescent="0.35">
      <c r="H28081" s="676"/>
      <c r="I28081" s="676"/>
      <c r="J28081" s="770"/>
    </row>
    <row r="28082" spans="8:10" x14ac:dyDescent="0.35">
      <c r="H28082" s="676"/>
      <c r="I28082" s="676"/>
      <c r="J28082" s="770"/>
    </row>
    <row r="28083" spans="8:10" x14ac:dyDescent="0.35">
      <c r="H28083" s="676"/>
      <c r="I28083" s="676"/>
      <c r="J28083" s="770"/>
    </row>
    <row r="28084" spans="8:10" x14ac:dyDescent="0.35">
      <c r="H28084" s="676"/>
      <c r="I28084" s="676"/>
      <c r="J28084" s="770"/>
    </row>
    <row r="28085" spans="8:10" x14ac:dyDescent="0.35">
      <c r="H28085" s="676"/>
      <c r="I28085" s="676"/>
      <c r="J28085" s="770"/>
    </row>
    <row r="28086" spans="8:10" x14ac:dyDescent="0.35">
      <c r="H28086" s="676"/>
      <c r="I28086" s="676"/>
      <c r="J28086" s="770"/>
    </row>
    <row r="28087" spans="8:10" x14ac:dyDescent="0.35">
      <c r="H28087" s="676"/>
      <c r="I28087" s="676"/>
      <c r="J28087" s="770"/>
    </row>
    <row r="28088" spans="8:10" x14ac:dyDescent="0.35">
      <c r="H28088" s="676"/>
      <c r="I28088" s="676"/>
      <c r="J28088" s="770"/>
    </row>
    <row r="28089" spans="8:10" x14ac:dyDescent="0.35">
      <c r="H28089" s="676"/>
      <c r="I28089" s="676"/>
      <c r="J28089" s="770"/>
    </row>
    <row r="28090" spans="8:10" x14ac:dyDescent="0.35">
      <c r="H28090" s="676"/>
      <c r="I28090" s="676"/>
      <c r="J28090" s="770"/>
    </row>
    <row r="28091" spans="8:10" x14ac:dyDescent="0.35">
      <c r="H28091" s="676"/>
      <c r="I28091" s="676"/>
      <c r="J28091" s="770"/>
    </row>
    <row r="28092" spans="8:10" x14ac:dyDescent="0.35">
      <c r="H28092" s="676"/>
      <c r="I28092" s="676"/>
      <c r="J28092" s="770"/>
    </row>
    <row r="28093" spans="8:10" x14ac:dyDescent="0.35">
      <c r="H28093" s="676"/>
      <c r="I28093" s="676"/>
      <c r="J28093" s="770"/>
    </row>
    <row r="28094" spans="8:10" x14ac:dyDescent="0.35">
      <c r="H28094" s="676"/>
      <c r="I28094" s="676"/>
      <c r="J28094" s="770"/>
    </row>
    <row r="28095" spans="8:10" x14ac:dyDescent="0.35">
      <c r="H28095" s="676"/>
      <c r="I28095" s="676"/>
      <c r="J28095" s="770"/>
    </row>
    <row r="28096" spans="8:10" x14ac:dyDescent="0.35">
      <c r="H28096" s="676"/>
      <c r="I28096" s="676"/>
      <c r="J28096" s="770"/>
    </row>
    <row r="28097" spans="8:10" x14ac:dyDescent="0.35">
      <c r="H28097" s="676"/>
      <c r="I28097" s="676"/>
      <c r="J28097" s="770"/>
    </row>
    <row r="28098" spans="8:10" x14ac:dyDescent="0.35">
      <c r="H28098" s="676"/>
      <c r="I28098" s="676"/>
      <c r="J28098" s="770"/>
    </row>
    <row r="28099" spans="8:10" x14ac:dyDescent="0.35">
      <c r="H28099" s="676"/>
      <c r="I28099" s="676"/>
      <c r="J28099" s="770"/>
    </row>
    <row r="28100" spans="8:10" x14ac:dyDescent="0.35">
      <c r="H28100" s="676"/>
      <c r="I28100" s="676"/>
      <c r="J28100" s="770"/>
    </row>
    <row r="28101" spans="8:10" x14ac:dyDescent="0.35">
      <c r="H28101" s="676"/>
      <c r="I28101" s="676"/>
      <c r="J28101" s="770"/>
    </row>
    <row r="28102" spans="8:10" x14ac:dyDescent="0.35">
      <c r="H28102" s="676"/>
      <c r="I28102" s="676"/>
      <c r="J28102" s="770"/>
    </row>
    <row r="28103" spans="8:10" x14ac:dyDescent="0.35">
      <c r="H28103" s="676"/>
      <c r="I28103" s="676"/>
      <c r="J28103" s="770"/>
    </row>
    <row r="28104" spans="8:10" x14ac:dyDescent="0.35">
      <c r="H28104" s="676"/>
      <c r="I28104" s="676"/>
      <c r="J28104" s="770"/>
    </row>
    <row r="28105" spans="8:10" x14ac:dyDescent="0.35">
      <c r="H28105" s="676"/>
      <c r="I28105" s="676"/>
      <c r="J28105" s="770"/>
    </row>
    <row r="28106" spans="8:10" x14ac:dyDescent="0.35">
      <c r="H28106" s="676"/>
      <c r="I28106" s="676"/>
      <c r="J28106" s="770"/>
    </row>
    <row r="28107" spans="8:10" x14ac:dyDescent="0.35">
      <c r="H28107" s="676"/>
      <c r="I28107" s="676"/>
      <c r="J28107" s="770"/>
    </row>
    <row r="28108" spans="8:10" x14ac:dyDescent="0.35">
      <c r="H28108" s="676"/>
      <c r="I28108" s="676"/>
      <c r="J28108" s="770"/>
    </row>
    <row r="28109" spans="8:10" x14ac:dyDescent="0.35">
      <c r="H28109" s="676"/>
      <c r="I28109" s="676"/>
      <c r="J28109" s="770"/>
    </row>
    <row r="28110" spans="8:10" x14ac:dyDescent="0.35">
      <c r="H28110" s="676"/>
      <c r="I28110" s="676"/>
      <c r="J28110" s="770"/>
    </row>
    <row r="28111" spans="8:10" x14ac:dyDescent="0.35">
      <c r="H28111" s="676"/>
      <c r="I28111" s="676"/>
      <c r="J28111" s="770"/>
    </row>
    <row r="28112" spans="8:10" x14ac:dyDescent="0.35">
      <c r="H28112" s="676"/>
      <c r="I28112" s="676"/>
      <c r="J28112" s="770"/>
    </row>
    <row r="28113" spans="8:10" x14ac:dyDescent="0.35">
      <c r="H28113" s="676"/>
      <c r="I28113" s="676"/>
      <c r="J28113" s="770"/>
    </row>
    <row r="28114" spans="8:10" x14ac:dyDescent="0.35">
      <c r="H28114" s="676"/>
      <c r="I28114" s="676"/>
      <c r="J28114" s="770"/>
    </row>
    <row r="28115" spans="8:10" x14ac:dyDescent="0.35">
      <c r="H28115" s="676"/>
      <c r="I28115" s="676"/>
      <c r="J28115" s="770"/>
    </row>
    <row r="28116" spans="8:10" x14ac:dyDescent="0.35">
      <c r="H28116" s="676"/>
      <c r="I28116" s="676"/>
      <c r="J28116" s="770"/>
    </row>
    <row r="28117" spans="8:10" x14ac:dyDescent="0.35">
      <c r="H28117" s="676"/>
      <c r="I28117" s="676"/>
      <c r="J28117" s="770"/>
    </row>
    <row r="28118" spans="8:10" x14ac:dyDescent="0.35">
      <c r="H28118" s="676"/>
      <c r="I28118" s="676"/>
      <c r="J28118" s="770"/>
    </row>
    <row r="28119" spans="8:10" x14ac:dyDescent="0.35">
      <c r="H28119" s="676"/>
      <c r="I28119" s="676"/>
      <c r="J28119" s="770"/>
    </row>
    <row r="28120" spans="8:10" x14ac:dyDescent="0.35">
      <c r="H28120" s="676"/>
      <c r="I28120" s="676"/>
      <c r="J28120" s="770"/>
    </row>
    <row r="28121" spans="8:10" x14ac:dyDescent="0.35">
      <c r="H28121" s="676"/>
      <c r="I28121" s="676"/>
      <c r="J28121" s="770"/>
    </row>
    <row r="28122" spans="8:10" x14ac:dyDescent="0.35">
      <c r="H28122" s="676"/>
      <c r="I28122" s="676"/>
      <c r="J28122" s="770"/>
    </row>
    <row r="28123" spans="8:10" x14ac:dyDescent="0.35">
      <c r="H28123" s="676"/>
      <c r="I28123" s="676"/>
      <c r="J28123" s="770"/>
    </row>
    <row r="28124" spans="8:10" x14ac:dyDescent="0.35">
      <c r="H28124" s="676"/>
      <c r="I28124" s="676"/>
      <c r="J28124" s="770"/>
    </row>
    <row r="28125" spans="8:10" x14ac:dyDescent="0.35">
      <c r="H28125" s="676"/>
      <c r="I28125" s="676"/>
      <c r="J28125" s="770"/>
    </row>
    <row r="28126" spans="8:10" x14ac:dyDescent="0.35">
      <c r="H28126" s="676"/>
      <c r="I28126" s="676"/>
      <c r="J28126" s="770"/>
    </row>
    <row r="28127" spans="8:10" x14ac:dyDescent="0.35">
      <c r="H28127" s="676"/>
      <c r="I28127" s="676"/>
      <c r="J28127" s="770"/>
    </row>
    <row r="28128" spans="8:10" x14ac:dyDescent="0.35">
      <c r="H28128" s="676"/>
      <c r="I28128" s="676"/>
      <c r="J28128" s="770"/>
    </row>
    <row r="28129" spans="8:10" x14ac:dyDescent="0.35">
      <c r="H28129" s="676"/>
      <c r="I28129" s="676"/>
      <c r="J28129" s="770"/>
    </row>
    <row r="28130" spans="8:10" x14ac:dyDescent="0.35">
      <c r="H28130" s="676"/>
      <c r="I28130" s="676"/>
      <c r="J28130" s="770"/>
    </row>
    <row r="28131" spans="8:10" x14ac:dyDescent="0.35">
      <c r="H28131" s="676"/>
      <c r="I28131" s="676"/>
      <c r="J28131" s="770"/>
    </row>
    <row r="28132" spans="8:10" x14ac:dyDescent="0.35">
      <c r="H28132" s="676"/>
      <c r="I28132" s="676"/>
      <c r="J28132" s="770"/>
    </row>
    <row r="28133" spans="8:10" x14ac:dyDescent="0.35">
      <c r="H28133" s="676"/>
      <c r="I28133" s="676"/>
      <c r="J28133" s="770"/>
    </row>
    <row r="28134" spans="8:10" x14ac:dyDescent="0.35">
      <c r="H28134" s="676"/>
      <c r="I28134" s="676"/>
      <c r="J28134" s="770"/>
    </row>
    <row r="28135" spans="8:10" x14ac:dyDescent="0.35">
      <c r="H28135" s="676"/>
      <c r="I28135" s="676"/>
      <c r="J28135" s="770"/>
    </row>
    <row r="28136" spans="8:10" x14ac:dyDescent="0.35">
      <c r="H28136" s="676"/>
      <c r="I28136" s="676"/>
      <c r="J28136" s="770"/>
    </row>
    <row r="28137" spans="8:10" x14ac:dyDescent="0.35">
      <c r="H28137" s="676"/>
      <c r="I28137" s="676"/>
      <c r="J28137" s="770"/>
    </row>
    <row r="28138" spans="8:10" x14ac:dyDescent="0.35">
      <c r="H28138" s="676"/>
      <c r="I28138" s="676"/>
      <c r="J28138" s="770"/>
    </row>
    <row r="28139" spans="8:10" x14ac:dyDescent="0.35">
      <c r="H28139" s="676"/>
      <c r="I28139" s="676"/>
      <c r="J28139" s="770"/>
    </row>
    <row r="28140" spans="8:10" x14ac:dyDescent="0.35">
      <c r="H28140" s="676"/>
      <c r="I28140" s="676"/>
      <c r="J28140" s="770"/>
    </row>
    <row r="28141" spans="8:10" x14ac:dyDescent="0.35">
      <c r="H28141" s="676"/>
      <c r="I28141" s="676"/>
      <c r="J28141" s="770"/>
    </row>
    <row r="28142" spans="8:10" x14ac:dyDescent="0.35">
      <c r="H28142" s="676"/>
      <c r="I28142" s="676"/>
      <c r="J28142" s="770"/>
    </row>
    <row r="28143" spans="8:10" x14ac:dyDescent="0.35">
      <c r="H28143" s="676"/>
      <c r="I28143" s="676"/>
      <c r="J28143" s="770"/>
    </row>
    <row r="28144" spans="8:10" x14ac:dyDescent="0.35">
      <c r="H28144" s="676"/>
      <c r="I28144" s="676"/>
      <c r="J28144" s="770"/>
    </row>
    <row r="28145" spans="8:10" x14ac:dyDescent="0.35">
      <c r="H28145" s="676"/>
      <c r="I28145" s="676"/>
      <c r="J28145" s="770"/>
    </row>
    <row r="28146" spans="8:10" x14ac:dyDescent="0.35">
      <c r="H28146" s="676"/>
      <c r="I28146" s="676"/>
      <c r="J28146" s="770"/>
    </row>
    <row r="28147" spans="8:10" x14ac:dyDescent="0.35">
      <c r="H28147" s="676"/>
      <c r="I28147" s="676"/>
      <c r="J28147" s="770"/>
    </row>
    <row r="28148" spans="8:10" x14ac:dyDescent="0.35">
      <c r="H28148" s="676"/>
      <c r="I28148" s="676"/>
      <c r="J28148" s="770"/>
    </row>
    <row r="28149" spans="8:10" x14ac:dyDescent="0.35">
      <c r="H28149" s="676"/>
      <c r="I28149" s="676"/>
      <c r="J28149" s="770"/>
    </row>
    <row r="28150" spans="8:10" x14ac:dyDescent="0.35">
      <c r="H28150" s="676"/>
      <c r="I28150" s="676"/>
      <c r="J28150" s="770"/>
    </row>
    <row r="28151" spans="8:10" x14ac:dyDescent="0.35">
      <c r="H28151" s="676"/>
      <c r="I28151" s="676"/>
      <c r="J28151" s="770"/>
    </row>
    <row r="28152" spans="8:10" x14ac:dyDescent="0.35">
      <c r="H28152" s="676"/>
      <c r="I28152" s="676"/>
      <c r="J28152" s="770"/>
    </row>
    <row r="28153" spans="8:10" x14ac:dyDescent="0.35">
      <c r="H28153" s="676"/>
      <c r="I28153" s="676"/>
      <c r="J28153" s="770"/>
    </row>
    <row r="28154" spans="8:10" x14ac:dyDescent="0.35">
      <c r="H28154" s="676"/>
      <c r="I28154" s="676"/>
      <c r="J28154" s="770"/>
    </row>
    <row r="28155" spans="8:10" x14ac:dyDescent="0.35">
      <c r="H28155" s="676"/>
      <c r="I28155" s="676"/>
      <c r="J28155" s="770"/>
    </row>
    <row r="28156" spans="8:10" x14ac:dyDescent="0.35">
      <c r="H28156" s="676"/>
      <c r="I28156" s="676"/>
      <c r="J28156" s="770"/>
    </row>
    <row r="28157" spans="8:10" x14ac:dyDescent="0.35">
      <c r="H28157" s="676"/>
      <c r="I28157" s="676"/>
      <c r="J28157" s="770"/>
    </row>
    <row r="28158" spans="8:10" x14ac:dyDescent="0.35">
      <c r="H28158" s="676"/>
      <c r="I28158" s="676"/>
      <c r="J28158" s="770"/>
    </row>
    <row r="28159" spans="8:10" x14ac:dyDescent="0.35">
      <c r="H28159" s="676"/>
      <c r="I28159" s="676"/>
      <c r="J28159" s="770"/>
    </row>
    <row r="28160" spans="8:10" x14ac:dyDescent="0.35">
      <c r="H28160" s="676"/>
      <c r="I28160" s="676"/>
      <c r="J28160" s="770"/>
    </row>
    <row r="28161" spans="8:10" x14ac:dyDescent="0.35">
      <c r="H28161" s="676"/>
      <c r="I28161" s="676"/>
      <c r="J28161" s="770"/>
    </row>
    <row r="28162" spans="8:10" x14ac:dyDescent="0.35">
      <c r="H28162" s="676"/>
      <c r="I28162" s="676"/>
      <c r="J28162" s="770"/>
    </row>
    <row r="28163" spans="8:10" x14ac:dyDescent="0.35">
      <c r="H28163" s="676"/>
      <c r="I28163" s="676"/>
      <c r="J28163" s="770"/>
    </row>
    <row r="28164" spans="8:10" x14ac:dyDescent="0.35">
      <c r="H28164" s="676"/>
      <c r="I28164" s="676"/>
      <c r="J28164" s="770"/>
    </row>
    <row r="28165" spans="8:10" x14ac:dyDescent="0.35">
      <c r="H28165" s="676"/>
      <c r="I28165" s="676"/>
      <c r="J28165" s="770"/>
    </row>
    <row r="28166" spans="8:10" x14ac:dyDescent="0.35">
      <c r="H28166" s="676"/>
      <c r="I28166" s="676"/>
      <c r="J28166" s="770"/>
    </row>
    <row r="28167" spans="8:10" x14ac:dyDescent="0.35">
      <c r="H28167" s="676"/>
      <c r="I28167" s="676"/>
      <c r="J28167" s="770"/>
    </row>
    <row r="28168" spans="8:10" x14ac:dyDescent="0.35">
      <c r="H28168" s="676"/>
      <c r="I28168" s="676"/>
      <c r="J28168" s="770"/>
    </row>
    <row r="28169" spans="8:10" x14ac:dyDescent="0.35">
      <c r="H28169" s="676"/>
      <c r="I28169" s="676"/>
      <c r="J28169" s="770"/>
    </row>
    <row r="28170" spans="8:10" x14ac:dyDescent="0.35">
      <c r="H28170" s="676"/>
      <c r="I28170" s="676"/>
      <c r="J28170" s="770"/>
    </row>
    <row r="28171" spans="8:10" x14ac:dyDescent="0.35">
      <c r="H28171" s="676"/>
      <c r="I28171" s="676"/>
      <c r="J28171" s="770"/>
    </row>
    <row r="28172" spans="8:10" x14ac:dyDescent="0.35">
      <c r="H28172" s="676"/>
      <c r="I28172" s="676"/>
      <c r="J28172" s="770"/>
    </row>
    <row r="28173" spans="8:10" x14ac:dyDescent="0.35">
      <c r="H28173" s="676"/>
      <c r="I28173" s="676"/>
      <c r="J28173" s="770"/>
    </row>
    <row r="28174" spans="8:10" x14ac:dyDescent="0.35">
      <c r="H28174" s="676"/>
      <c r="I28174" s="676"/>
      <c r="J28174" s="770"/>
    </row>
    <row r="28175" spans="8:10" x14ac:dyDescent="0.35">
      <c r="H28175" s="676"/>
      <c r="I28175" s="676"/>
      <c r="J28175" s="770"/>
    </row>
    <row r="28176" spans="8:10" x14ac:dyDescent="0.35">
      <c r="H28176" s="676"/>
      <c r="I28176" s="676"/>
      <c r="J28176" s="770"/>
    </row>
    <row r="28177" spans="8:10" x14ac:dyDescent="0.35">
      <c r="H28177" s="676"/>
      <c r="I28177" s="676"/>
      <c r="J28177" s="770"/>
    </row>
    <row r="28178" spans="8:10" x14ac:dyDescent="0.35">
      <c r="H28178" s="676"/>
      <c r="I28178" s="676"/>
      <c r="J28178" s="770"/>
    </row>
    <row r="28179" spans="8:10" x14ac:dyDescent="0.35">
      <c r="H28179" s="676"/>
      <c r="I28179" s="676"/>
      <c r="J28179" s="770"/>
    </row>
    <row r="28180" spans="8:10" x14ac:dyDescent="0.35">
      <c r="H28180" s="676"/>
      <c r="I28180" s="676"/>
      <c r="J28180" s="770"/>
    </row>
    <row r="28181" spans="8:10" x14ac:dyDescent="0.35">
      <c r="H28181" s="676"/>
      <c r="I28181" s="676"/>
      <c r="J28181" s="770"/>
    </row>
    <row r="28182" spans="8:10" x14ac:dyDescent="0.35">
      <c r="H28182" s="676"/>
      <c r="I28182" s="676"/>
      <c r="J28182" s="770"/>
    </row>
    <row r="28183" spans="8:10" x14ac:dyDescent="0.35">
      <c r="H28183" s="676"/>
      <c r="I28183" s="676"/>
      <c r="J28183" s="770"/>
    </row>
    <row r="28184" spans="8:10" x14ac:dyDescent="0.35">
      <c r="H28184" s="676"/>
      <c r="I28184" s="676"/>
      <c r="J28184" s="770"/>
    </row>
    <row r="28185" spans="8:10" x14ac:dyDescent="0.35">
      <c r="H28185" s="676"/>
      <c r="I28185" s="676"/>
      <c r="J28185" s="770"/>
    </row>
    <row r="28186" spans="8:10" x14ac:dyDescent="0.35">
      <c r="H28186" s="676"/>
      <c r="I28186" s="676"/>
      <c r="J28186" s="770"/>
    </row>
    <row r="28187" spans="8:10" x14ac:dyDescent="0.35">
      <c r="H28187" s="676"/>
      <c r="I28187" s="676"/>
      <c r="J28187" s="770"/>
    </row>
    <row r="28188" spans="8:10" x14ac:dyDescent="0.35">
      <c r="H28188" s="676"/>
      <c r="I28188" s="676"/>
      <c r="J28188" s="770"/>
    </row>
    <row r="28189" spans="8:10" x14ac:dyDescent="0.35">
      <c r="H28189" s="676"/>
      <c r="I28189" s="676"/>
      <c r="J28189" s="770"/>
    </row>
    <row r="28190" spans="8:10" x14ac:dyDescent="0.35">
      <c r="H28190" s="676"/>
      <c r="I28190" s="676"/>
      <c r="J28190" s="770"/>
    </row>
    <row r="28191" spans="8:10" x14ac:dyDescent="0.35">
      <c r="H28191" s="676"/>
      <c r="I28191" s="676"/>
      <c r="J28191" s="770"/>
    </row>
    <row r="28192" spans="8:10" x14ac:dyDescent="0.35">
      <c r="H28192" s="676"/>
      <c r="I28192" s="676"/>
      <c r="J28192" s="770"/>
    </row>
    <row r="28193" spans="8:10" x14ac:dyDescent="0.35">
      <c r="H28193" s="676"/>
      <c r="I28193" s="676"/>
      <c r="J28193" s="770"/>
    </row>
    <row r="28194" spans="8:10" x14ac:dyDescent="0.35">
      <c r="H28194" s="676"/>
      <c r="I28194" s="676"/>
      <c r="J28194" s="770"/>
    </row>
    <row r="28195" spans="8:10" x14ac:dyDescent="0.35">
      <c r="H28195" s="676"/>
      <c r="I28195" s="676"/>
      <c r="J28195" s="770"/>
    </row>
    <row r="28196" spans="8:10" x14ac:dyDescent="0.35">
      <c r="H28196" s="676"/>
      <c r="I28196" s="676"/>
      <c r="J28196" s="770"/>
    </row>
    <row r="28197" spans="8:10" x14ac:dyDescent="0.35">
      <c r="H28197" s="676"/>
      <c r="I28197" s="676"/>
      <c r="J28197" s="770"/>
    </row>
    <row r="28198" spans="8:10" x14ac:dyDescent="0.35">
      <c r="H28198" s="676"/>
      <c r="I28198" s="676"/>
      <c r="J28198" s="770"/>
    </row>
    <row r="28199" spans="8:10" x14ac:dyDescent="0.35">
      <c r="H28199" s="676"/>
      <c r="I28199" s="676"/>
      <c r="J28199" s="770"/>
    </row>
    <row r="28200" spans="8:10" x14ac:dyDescent="0.35">
      <c r="H28200" s="676"/>
      <c r="I28200" s="676"/>
      <c r="J28200" s="770"/>
    </row>
    <row r="28201" spans="8:10" x14ac:dyDescent="0.35">
      <c r="H28201" s="676"/>
      <c r="I28201" s="676"/>
      <c r="J28201" s="770"/>
    </row>
    <row r="28202" spans="8:10" x14ac:dyDescent="0.35">
      <c r="H28202" s="676"/>
      <c r="I28202" s="676"/>
      <c r="J28202" s="770"/>
    </row>
    <row r="28203" spans="8:10" x14ac:dyDescent="0.35">
      <c r="H28203" s="676"/>
      <c r="I28203" s="676"/>
      <c r="J28203" s="770"/>
    </row>
    <row r="28204" spans="8:10" x14ac:dyDescent="0.35">
      <c r="H28204" s="676"/>
      <c r="I28204" s="676"/>
      <c r="J28204" s="770"/>
    </row>
    <row r="28205" spans="8:10" x14ac:dyDescent="0.35">
      <c r="H28205" s="676"/>
      <c r="I28205" s="676"/>
      <c r="J28205" s="770"/>
    </row>
    <row r="28206" spans="8:10" x14ac:dyDescent="0.35">
      <c r="H28206" s="676"/>
      <c r="I28206" s="676"/>
      <c r="J28206" s="770"/>
    </row>
    <row r="28207" spans="8:10" x14ac:dyDescent="0.35">
      <c r="H28207" s="676"/>
      <c r="I28207" s="676"/>
      <c r="J28207" s="770"/>
    </row>
    <row r="28208" spans="8:10" x14ac:dyDescent="0.35">
      <c r="H28208" s="676"/>
      <c r="I28208" s="676"/>
      <c r="J28208" s="770"/>
    </row>
    <row r="28209" spans="8:10" x14ac:dyDescent="0.35">
      <c r="H28209" s="676"/>
      <c r="I28209" s="676"/>
      <c r="J28209" s="770"/>
    </row>
    <row r="28210" spans="8:10" x14ac:dyDescent="0.35">
      <c r="H28210" s="676"/>
      <c r="I28210" s="676"/>
      <c r="J28210" s="770"/>
    </row>
    <row r="28211" spans="8:10" x14ac:dyDescent="0.35">
      <c r="H28211" s="676"/>
      <c r="I28211" s="676"/>
      <c r="J28211" s="770"/>
    </row>
    <row r="28212" spans="8:10" x14ac:dyDescent="0.35">
      <c r="H28212" s="676"/>
      <c r="I28212" s="676"/>
      <c r="J28212" s="770"/>
    </row>
    <row r="28213" spans="8:10" x14ac:dyDescent="0.35">
      <c r="H28213" s="676"/>
      <c r="I28213" s="676"/>
      <c r="J28213" s="770"/>
    </row>
    <row r="28214" spans="8:10" x14ac:dyDescent="0.35">
      <c r="H28214" s="676"/>
      <c r="I28214" s="676"/>
      <c r="J28214" s="770"/>
    </row>
    <row r="28215" spans="8:10" x14ac:dyDescent="0.35">
      <c r="H28215" s="676"/>
      <c r="I28215" s="676"/>
      <c r="J28215" s="770"/>
    </row>
    <row r="28216" spans="8:10" x14ac:dyDescent="0.35">
      <c r="H28216" s="676"/>
      <c r="I28216" s="676"/>
      <c r="J28216" s="770"/>
    </row>
    <row r="28217" spans="8:10" x14ac:dyDescent="0.35">
      <c r="H28217" s="676"/>
      <c r="I28217" s="676"/>
      <c r="J28217" s="770"/>
    </row>
    <row r="28218" spans="8:10" x14ac:dyDescent="0.35">
      <c r="H28218" s="676"/>
      <c r="I28218" s="676"/>
      <c r="J28218" s="770"/>
    </row>
    <row r="28219" spans="8:10" x14ac:dyDescent="0.35">
      <c r="H28219" s="676"/>
      <c r="I28219" s="676"/>
      <c r="J28219" s="770"/>
    </row>
    <row r="28220" spans="8:10" x14ac:dyDescent="0.35">
      <c r="H28220" s="676"/>
      <c r="I28220" s="676"/>
      <c r="J28220" s="770"/>
    </row>
    <row r="28221" spans="8:10" x14ac:dyDescent="0.35">
      <c r="H28221" s="676"/>
      <c r="I28221" s="676"/>
      <c r="J28221" s="770"/>
    </row>
    <row r="28222" spans="8:10" x14ac:dyDescent="0.35">
      <c r="H28222" s="676"/>
      <c r="I28222" s="676"/>
      <c r="J28222" s="770"/>
    </row>
    <row r="28223" spans="8:10" x14ac:dyDescent="0.35">
      <c r="H28223" s="676"/>
      <c r="I28223" s="676"/>
      <c r="J28223" s="770"/>
    </row>
    <row r="28224" spans="8:10" x14ac:dyDescent="0.35">
      <c r="H28224" s="676"/>
      <c r="I28224" s="676"/>
      <c r="J28224" s="770"/>
    </row>
    <row r="28225" spans="8:10" x14ac:dyDescent="0.35">
      <c r="H28225" s="676"/>
      <c r="I28225" s="676"/>
      <c r="J28225" s="770"/>
    </row>
    <row r="28226" spans="8:10" x14ac:dyDescent="0.35">
      <c r="H28226" s="676"/>
      <c r="I28226" s="676"/>
      <c r="J28226" s="770"/>
    </row>
    <row r="28227" spans="8:10" x14ac:dyDescent="0.35">
      <c r="H28227" s="676"/>
      <c r="I28227" s="676"/>
      <c r="J28227" s="770"/>
    </row>
    <row r="28228" spans="8:10" x14ac:dyDescent="0.35">
      <c r="H28228" s="676"/>
      <c r="I28228" s="676"/>
      <c r="J28228" s="770"/>
    </row>
    <row r="28229" spans="8:10" x14ac:dyDescent="0.35">
      <c r="H28229" s="676"/>
      <c r="I28229" s="676"/>
      <c r="J28229" s="770"/>
    </row>
    <row r="28230" spans="8:10" x14ac:dyDescent="0.35">
      <c r="H28230" s="676"/>
      <c r="I28230" s="676"/>
      <c r="J28230" s="770"/>
    </row>
    <row r="28231" spans="8:10" x14ac:dyDescent="0.35">
      <c r="H28231" s="676"/>
      <c r="I28231" s="676"/>
      <c r="J28231" s="770"/>
    </row>
    <row r="28232" spans="8:10" x14ac:dyDescent="0.35">
      <c r="H28232" s="676"/>
      <c r="I28232" s="676"/>
      <c r="J28232" s="770"/>
    </row>
    <row r="28233" spans="8:10" x14ac:dyDescent="0.35">
      <c r="H28233" s="676"/>
      <c r="I28233" s="676"/>
      <c r="J28233" s="770"/>
    </row>
    <row r="28234" spans="8:10" x14ac:dyDescent="0.35">
      <c r="H28234" s="676"/>
      <c r="I28234" s="676"/>
      <c r="J28234" s="770"/>
    </row>
    <row r="28235" spans="8:10" x14ac:dyDescent="0.35">
      <c r="H28235" s="676"/>
      <c r="I28235" s="676"/>
      <c r="J28235" s="770"/>
    </row>
    <row r="28236" spans="8:10" x14ac:dyDescent="0.35">
      <c r="H28236" s="676"/>
      <c r="I28236" s="676"/>
      <c r="J28236" s="770"/>
    </row>
    <row r="28237" spans="8:10" x14ac:dyDescent="0.35">
      <c r="H28237" s="676"/>
      <c r="I28237" s="676"/>
      <c r="J28237" s="770"/>
    </row>
    <row r="28238" spans="8:10" x14ac:dyDescent="0.35">
      <c r="H28238" s="676"/>
      <c r="I28238" s="676"/>
      <c r="J28238" s="770"/>
    </row>
    <row r="28239" spans="8:10" x14ac:dyDescent="0.35">
      <c r="H28239" s="676"/>
      <c r="I28239" s="676"/>
      <c r="J28239" s="770"/>
    </row>
    <row r="28240" spans="8:10" x14ac:dyDescent="0.35">
      <c r="H28240" s="676"/>
      <c r="I28240" s="676"/>
      <c r="J28240" s="770"/>
    </row>
    <row r="28241" spans="8:10" x14ac:dyDescent="0.35">
      <c r="H28241" s="676"/>
      <c r="I28241" s="676"/>
      <c r="J28241" s="770"/>
    </row>
    <row r="28242" spans="8:10" x14ac:dyDescent="0.35">
      <c r="H28242" s="676"/>
      <c r="I28242" s="676"/>
      <c r="J28242" s="770"/>
    </row>
    <row r="28243" spans="8:10" x14ac:dyDescent="0.35">
      <c r="H28243" s="676"/>
      <c r="I28243" s="676"/>
      <c r="J28243" s="770"/>
    </row>
    <row r="28244" spans="8:10" x14ac:dyDescent="0.35">
      <c r="H28244" s="676"/>
      <c r="I28244" s="676"/>
      <c r="J28244" s="770"/>
    </row>
    <row r="28245" spans="8:10" x14ac:dyDescent="0.35">
      <c r="H28245" s="676"/>
      <c r="I28245" s="676"/>
      <c r="J28245" s="770"/>
    </row>
    <row r="28246" spans="8:10" x14ac:dyDescent="0.35">
      <c r="H28246" s="676"/>
      <c r="I28246" s="676"/>
      <c r="J28246" s="770"/>
    </row>
    <row r="28247" spans="8:10" x14ac:dyDescent="0.35">
      <c r="H28247" s="676"/>
      <c r="I28247" s="676"/>
      <c r="J28247" s="770"/>
    </row>
    <row r="28248" spans="8:10" x14ac:dyDescent="0.35">
      <c r="H28248" s="676"/>
      <c r="I28248" s="676"/>
      <c r="J28248" s="770"/>
    </row>
    <row r="28249" spans="8:10" x14ac:dyDescent="0.35">
      <c r="H28249" s="676"/>
      <c r="I28249" s="676"/>
      <c r="J28249" s="770"/>
    </row>
    <row r="28250" spans="8:10" x14ac:dyDescent="0.35">
      <c r="H28250" s="676"/>
      <c r="I28250" s="676"/>
      <c r="J28250" s="770"/>
    </row>
    <row r="28251" spans="8:10" x14ac:dyDescent="0.35">
      <c r="H28251" s="676"/>
      <c r="I28251" s="676"/>
      <c r="J28251" s="770"/>
    </row>
    <row r="28252" spans="8:10" x14ac:dyDescent="0.35">
      <c r="H28252" s="676"/>
      <c r="I28252" s="676"/>
      <c r="J28252" s="770"/>
    </row>
    <row r="28253" spans="8:10" x14ac:dyDescent="0.35">
      <c r="H28253" s="676"/>
      <c r="I28253" s="676"/>
      <c r="J28253" s="770"/>
    </row>
    <row r="28254" spans="8:10" x14ac:dyDescent="0.35">
      <c r="H28254" s="676"/>
      <c r="I28254" s="676"/>
      <c r="J28254" s="770"/>
    </row>
    <row r="28255" spans="8:10" x14ac:dyDescent="0.35">
      <c r="H28255" s="676"/>
      <c r="I28255" s="676"/>
      <c r="J28255" s="770"/>
    </row>
    <row r="28256" spans="8:10" x14ac:dyDescent="0.35">
      <c r="H28256" s="676"/>
      <c r="I28256" s="676"/>
      <c r="J28256" s="770"/>
    </row>
    <row r="28257" spans="8:10" x14ac:dyDescent="0.35">
      <c r="H28257" s="676"/>
      <c r="I28257" s="676"/>
      <c r="J28257" s="770"/>
    </row>
    <row r="28258" spans="8:10" x14ac:dyDescent="0.35">
      <c r="H28258" s="676"/>
      <c r="I28258" s="676"/>
      <c r="J28258" s="770"/>
    </row>
    <row r="28259" spans="8:10" x14ac:dyDescent="0.35">
      <c r="H28259" s="676"/>
      <c r="I28259" s="676"/>
      <c r="J28259" s="770"/>
    </row>
    <row r="28260" spans="8:10" x14ac:dyDescent="0.35">
      <c r="H28260" s="676"/>
      <c r="I28260" s="676"/>
      <c r="J28260" s="770"/>
    </row>
    <row r="28261" spans="8:10" x14ac:dyDescent="0.35">
      <c r="H28261" s="676"/>
      <c r="I28261" s="676"/>
      <c r="J28261" s="770"/>
    </row>
    <row r="28262" spans="8:10" x14ac:dyDescent="0.35">
      <c r="H28262" s="676"/>
      <c r="I28262" s="676"/>
      <c r="J28262" s="770"/>
    </row>
    <row r="28263" spans="8:10" x14ac:dyDescent="0.35">
      <c r="H28263" s="676"/>
      <c r="I28263" s="676"/>
      <c r="J28263" s="770"/>
    </row>
    <row r="28264" spans="8:10" x14ac:dyDescent="0.35">
      <c r="H28264" s="676"/>
      <c r="I28264" s="676"/>
      <c r="J28264" s="770"/>
    </row>
    <row r="28265" spans="8:10" x14ac:dyDescent="0.35">
      <c r="H28265" s="676"/>
      <c r="I28265" s="676"/>
      <c r="J28265" s="770"/>
    </row>
    <row r="28266" spans="8:10" x14ac:dyDescent="0.35">
      <c r="H28266" s="676"/>
      <c r="I28266" s="676"/>
      <c r="J28266" s="770"/>
    </row>
    <row r="28267" spans="8:10" x14ac:dyDescent="0.35">
      <c r="H28267" s="676"/>
      <c r="I28267" s="676"/>
      <c r="J28267" s="770"/>
    </row>
    <row r="28268" spans="8:10" x14ac:dyDescent="0.35">
      <c r="H28268" s="676"/>
      <c r="I28268" s="676"/>
      <c r="J28268" s="770"/>
    </row>
    <row r="28269" spans="8:10" x14ac:dyDescent="0.35">
      <c r="H28269" s="676"/>
      <c r="I28269" s="676"/>
      <c r="J28269" s="770"/>
    </row>
    <row r="28270" spans="8:10" x14ac:dyDescent="0.35">
      <c r="H28270" s="676"/>
      <c r="I28270" s="676"/>
      <c r="J28270" s="770"/>
    </row>
    <row r="28271" spans="8:10" x14ac:dyDescent="0.35">
      <c r="H28271" s="676"/>
      <c r="I28271" s="676"/>
      <c r="J28271" s="770"/>
    </row>
    <row r="28272" spans="8:10" x14ac:dyDescent="0.35">
      <c r="H28272" s="676"/>
      <c r="I28272" s="676"/>
      <c r="J28272" s="770"/>
    </row>
    <row r="28273" spans="8:10" x14ac:dyDescent="0.35">
      <c r="H28273" s="676"/>
      <c r="I28273" s="676"/>
      <c r="J28273" s="770"/>
    </row>
    <row r="28274" spans="8:10" x14ac:dyDescent="0.35">
      <c r="H28274" s="676"/>
      <c r="I28274" s="676"/>
      <c r="J28274" s="770"/>
    </row>
    <row r="28275" spans="8:10" x14ac:dyDescent="0.35">
      <c r="H28275" s="676"/>
      <c r="I28275" s="676"/>
      <c r="J28275" s="770"/>
    </row>
    <row r="28276" spans="8:10" x14ac:dyDescent="0.35">
      <c r="H28276" s="676"/>
      <c r="I28276" s="676"/>
      <c r="J28276" s="770"/>
    </row>
    <row r="28277" spans="8:10" x14ac:dyDescent="0.35">
      <c r="H28277" s="676"/>
      <c r="I28277" s="676"/>
      <c r="J28277" s="770"/>
    </row>
    <row r="28278" spans="8:10" x14ac:dyDescent="0.35">
      <c r="H28278" s="676"/>
      <c r="I28278" s="676"/>
      <c r="J28278" s="770"/>
    </row>
    <row r="28279" spans="8:10" x14ac:dyDescent="0.35">
      <c r="H28279" s="676"/>
      <c r="I28279" s="676"/>
      <c r="J28279" s="770"/>
    </row>
    <row r="28280" spans="8:10" x14ac:dyDescent="0.35">
      <c r="H28280" s="676"/>
      <c r="I28280" s="676"/>
      <c r="J28280" s="770"/>
    </row>
    <row r="28281" spans="8:10" x14ac:dyDescent="0.35">
      <c r="H28281" s="676"/>
      <c r="I28281" s="676"/>
      <c r="J28281" s="770"/>
    </row>
    <row r="28282" spans="8:10" x14ac:dyDescent="0.35">
      <c r="H28282" s="676"/>
      <c r="I28282" s="676"/>
      <c r="J28282" s="770"/>
    </row>
    <row r="28283" spans="8:10" x14ac:dyDescent="0.35">
      <c r="H28283" s="676"/>
      <c r="I28283" s="676"/>
      <c r="J28283" s="770"/>
    </row>
    <row r="28284" spans="8:10" x14ac:dyDescent="0.35">
      <c r="H28284" s="676"/>
      <c r="I28284" s="676"/>
      <c r="J28284" s="770"/>
    </row>
    <row r="28285" spans="8:10" x14ac:dyDescent="0.35">
      <c r="H28285" s="676"/>
      <c r="I28285" s="676"/>
      <c r="J28285" s="770"/>
    </row>
    <row r="28286" spans="8:10" x14ac:dyDescent="0.35">
      <c r="H28286" s="676"/>
      <c r="I28286" s="676"/>
      <c r="J28286" s="770"/>
    </row>
    <row r="28287" spans="8:10" x14ac:dyDescent="0.35">
      <c r="H28287" s="676"/>
      <c r="I28287" s="676"/>
      <c r="J28287" s="770"/>
    </row>
    <row r="28288" spans="8:10" x14ac:dyDescent="0.35">
      <c r="H28288" s="676"/>
      <c r="I28288" s="676"/>
      <c r="J28288" s="770"/>
    </row>
    <row r="28289" spans="8:10" x14ac:dyDescent="0.35">
      <c r="H28289" s="676"/>
      <c r="I28289" s="676"/>
      <c r="J28289" s="770"/>
    </row>
    <row r="28290" spans="8:10" x14ac:dyDescent="0.35">
      <c r="H28290" s="676"/>
      <c r="I28290" s="676"/>
      <c r="J28290" s="770"/>
    </row>
    <row r="28291" spans="8:10" x14ac:dyDescent="0.35">
      <c r="H28291" s="676"/>
      <c r="I28291" s="676"/>
      <c r="J28291" s="770"/>
    </row>
    <row r="28292" spans="8:10" x14ac:dyDescent="0.35">
      <c r="H28292" s="676"/>
      <c r="I28292" s="676"/>
      <c r="J28292" s="770"/>
    </row>
    <row r="28293" spans="8:10" x14ac:dyDescent="0.35">
      <c r="H28293" s="676"/>
      <c r="I28293" s="676"/>
      <c r="J28293" s="770"/>
    </row>
    <row r="28294" spans="8:10" x14ac:dyDescent="0.35">
      <c r="H28294" s="676"/>
      <c r="I28294" s="676"/>
      <c r="J28294" s="770"/>
    </row>
    <row r="28295" spans="8:10" x14ac:dyDescent="0.35">
      <c r="H28295" s="676"/>
      <c r="I28295" s="676"/>
      <c r="J28295" s="770"/>
    </row>
    <row r="28296" spans="8:10" x14ac:dyDescent="0.35">
      <c r="H28296" s="676"/>
      <c r="I28296" s="676"/>
      <c r="J28296" s="770"/>
    </row>
    <row r="28297" spans="8:10" x14ac:dyDescent="0.35">
      <c r="H28297" s="676"/>
      <c r="I28297" s="676"/>
      <c r="J28297" s="770"/>
    </row>
    <row r="28298" spans="8:10" x14ac:dyDescent="0.35">
      <c r="H28298" s="676"/>
      <c r="I28298" s="676"/>
      <c r="J28298" s="770"/>
    </row>
    <row r="28299" spans="8:10" x14ac:dyDescent="0.35">
      <c r="H28299" s="676"/>
      <c r="I28299" s="676"/>
      <c r="J28299" s="770"/>
    </row>
    <row r="28300" spans="8:10" x14ac:dyDescent="0.35">
      <c r="H28300" s="676"/>
      <c r="I28300" s="676"/>
      <c r="J28300" s="770"/>
    </row>
    <row r="28301" spans="8:10" x14ac:dyDescent="0.35">
      <c r="H28301" s="676"/>
      <c r="I28301" s="676"/>
      <c r="J28301" s="770"/>
    </row>
    <row r="28302" spans="8:10" x14ac:dyDescent="0.35">
      <c r="H28302" s="676"/>
      <c r="I28302" s="676"/>
      <c r="J28302" s="770"/>
    </row>
    <row r="28303" spans="8:10" x14ac:dyDescent="0.35">
      <c r="H28303" s="676"/>
      <c r="I28303" s="676"/>
      <c r="J28303" s="770"/>
    </row>
    <row r="28304" spans="8:10" x14ac:dyDescent="0.35">
      <c r="H28304" s="676"/>
      <c r="I28304" s="676"/>
      <c r="J28304" s="770"/>
    </row>
    <row r="28305" spans="8:10" x14ac:dyDescent="0.35">
      <c r="H28305" s="676"/>
      <c r="I28305" s="676"/>
      <c r="J28305" s="770"/>
    </row>
    <row r="28306" spans="8:10" x14ac:dyDescent="0.35">
      <c r="H28306" s="676"/>
      <c r="I28306" s="676"/>
      <c r="J28306" s="770"/>
    </row>
    <row r="28307" spans="8:10" x14ac:dyDescent="0.35">
      <c r="H28307" s="676"/>
      <c r="I28307" s="676"/>
      <c r="J28307" s="770"/>
    </row>
    <row r="28308" spans="8:10" x14ac:dyDescent="0.35">
      <c r="H28308" s="676"/>
      <c r="I28308" s="676"/>
      <c r="J28308" s="770"/>
    </row>
    <row r="28309" spans="8:10" x14ac:dyDescent="0.35">
      <c r="H28309" s="676"/>
      <c r="I28309" s="676"/>
      <c r="J28309" s="770"/>
    </row>
    <row r="28310" spans="8:10" x14ac:dyDescent="0.35">
      <c r="H28310" s="676"/>
      <c r="I28310" s="676"/>
      <c r="J28310" s="770"/>
    </row>
    <row r="28311" spans="8:10" x14ac:dyDescent="0.35">
      <c r="H28311" s="676"/>
      <c r="I28311" s="676"/>
      <c r="J28311" s="770"/>
    </row>
    <row r="28312" spans="8:10" x14ac:dyDescent="0.35">
      <c r="H28312" s="676"/>
      <c r="I28312" s="676"/>
      <c r="J28312" s="770"/>
    </row>
    <row r="28313" spans="8:10" x14ac:dyDescent="0.35">
      <c r="H28313" s="676"/>
      <c r="I28313" s="676"/>
      <c r="J28313" s="770"/>
    </row>
    <row r="28314" spans="8:10" x14ac:dyDescent="0.35">
      <c r="H28314" s="676"/>
      <c r="I28314" s="676"/>
      <c r="J28314" s="770"/>
    </row>
    <row r="28315" spans="8:10" x14ac:dyDescent="0.35">
      <c r="H28315" s="676"/>
      <c r="I28315" s="676"/>
      <c r="J28315" s="770"/>
    </row>
    <row r="28316" spans="8:10" x14ac:dyDescent="0.35">
      <c r="H28316" s="676"/>
      <c r="I28316" s="676"/>
      <c r="J28316" s="770"/>
    </row>
    <row r="28317" spans="8:10" x14ac:dyDescent="0.35">
      <c r="H28317" s="676"/>
      <c r="I28317" s="676"/>
      <c r="J28317" s="770"/>
    </row>
    <row r="28318" spans="8:10" x14ac:dyDescent="0.35">
      <c r="H28318" s="676"/>
      <c r="I28318" s="676"/>
      <c r="J28318" s="770"/>
    </row>
    <row r="28319" spans="8:10" x14ac:dyDescent="0.35">
      <c r="H28319" s="676"/>
      <c r="I28319" s="676"/>
      <c r="J28319" s="770"/>
    </row>
    <row r="28320" spans="8:10" x14ac:dyDescent="0.35">
      <c r="H28320" s="676"/>
      <c r="I28320" s="676"/>
      <c r="J28320" s="770"/>
    </row>
    <row r="28321" spans="8:10" x14ac:dyDescent="0.35">
      <c r="H28321" s="676"/>
      <c r="I28321" s="676"/>
      <c r="J28321" s="770"/>
    </row>
    <row r="28322" spans="8:10" x14ac:dyDescent="0.35">
      <c r="H28322" s="676"/>
      <c r="I28322" s="676"/>
      <c r="J28322" s="770"/>
    </row>
    <row r="28323" spans="8:10" x14ac:dyDescent="0.35">
      <c r="H28323" s="676"/>
      <c r="I28323" s="676"/>
      <c r="J28323" s="770"/>
    </row>
    <row r="28324" spans="8:10" x14ac:dyDescent="0.35">
      <c r="H28324" s="676"/>
      <c r="I28324" s="676"/>
      <c r="J28324" s="770"/>
    </row>
    <row r="28325" spans="8:10" x14ac:dyDescent="0.35">
      <c r="H28325" s="676"/>
      <c r="I28325" s="676"/>
      <c r="J28325" s="770"/>
    </row>
    <row r="28326" spans="8:10" x14ac:dyDescent="0.35">
      <c r="H28326" s="676"/>
      <c r="I28326" s="676"/>
      <c r="J28326" s="770"/>
    </row>
    <row r="28327" spans="8:10" x14ac:dyDescent="0.35">
      <c r="H28327" s="676"/>
      <c r="I28327" s="676"/>
      <c r="J28327" s="770"/>
    </row>
    <row r="28328" spans="8:10" x14ac:dyDescent="0.35">
      <c r="H28328" s="676"/>
      <c r="I28328" s="676"/>
      <c r="J28328" s="770"/>
    </row>
    <row r="28329" spans="8:10" x14ac:dyDescent="0.35">
      <c r="H28329" s="676"/>
      <c r="I28329" s="676"/>
      <c r="J28329" s="770"/>
    </row>
    <row r="28330" spans="8:10" x14ac:dyDescent="0.35">
      <c r="H28330" s="676"/>
      <c r="I28330" s="676"/>
      <c r="J28330" s="770"/>
    </row>
    <row r="28331" spans="8:10" x14ac:dyDescent="0.35">
      <c r="H28331" s="676"/>
      <c r="I28331" s="676"/>
      <c r="J28331" s="770"/>
    </row>
    <row r="28332" spans="8:10" x14ac:dyDescent="0.35">
      <c r="H28332" s="676"/>
      <c r="I28332" s="676"/>
      <c r="J28332" s="770"/>
    </row>
    <row r="28333" spans="8:10" x14ac:dyDescent="0.35">
      <c r="H28333" s="676"/>
      <c r="I28333" s="676"/>
      <c r="J28333" s="770"/>
    </row>
    <row r="28334" spans="8:10" x14ac:dyDescent="0.35">
      <c r="H28334" s="676"/>
      <c r="I28334" s="676"/>
      <c r="J28334" s="770"/>
    </row>
    <row r="28335" spans="8:10" x14ac:dyDescent="0.35">
      <c r="H28335" s="676"/>
      <c r="I28335" s="676"/>
      <c r="J28335" s="770"/>
    </row>
    <row r="28336" spans="8:10" x14ac:dyDescent="0.35">
      <c r="H28336" s="676"/>
      <c r="I28336" s="676"/>
      <c r="J28336" s="770"/>
    </row>
    <row r="28337" spans="8:10" x14ac:dyDescent="0.35">
      <c r="H28337" s="676"/>
      <c r="I28337" s="676"/>
      <c r="J28337" s="770"/>
    </row>
    <row r="28338" spans="8:10" x14ac:dyDescent="0.35">
      <c r="H28338" s="676"/>
      <c r="I28338" s="676"/>
      <c r="J28338" s="770"/>
    </row>
    <row r="28339" spans="8:10" x14ac:dyDescent="0.35">
      <c r="H28339" s="676"/>
      <c r="I28339" s="676"/>
      <c r="J28339" s="770"/>
    </row>
    <row r="28340" spans="8:10" x14ac:dyDescent="0.35">
      <c r="H28340" s="676"/>
      <c r="I28340" s="676"/>
      <c r="J28340" s="770"/>
    </row>
    <row r="28341" spans="8:10" x14ac:dyDescent="0.35">
      <c r="H28341" s="676"/>
      <c r="I28341" s="676"/>
      <c r="J28341" s="770"/>
    </row>
    <row r="28342" spans="8:10" x14ac:dyDescent="0.35">
      <c r="H28342" s="676"/>
      <c r="I28342" s="676"/>
      <c r="J28342" s="770"/>
    </row>
    <row r="28343" spans="8:10" x14ac:dyDescent="0.35">
      <c r="H28343" s="676"/>
      <c r="I28343" s="676"/>
      <c r="J28343" s="770"/>
    </row>
    <row r="28344" spans="8:10" x14ac:dyDescent="0.35">
      <c r="H28344" s="676"/>
      <c r="I28344" s="676"/>
      <c r="J28344" s="770"/>
    </row>
    <row r="28345" spans="8:10" x14ac:dyDescent="0.35">
      <c r="H28345" s="676"/>
      <c r="I28345" s="676"/>
      <c r="J28345" s="770"/>
    </row>
    <row r="28346" spans="8:10" x14ac:dyDescent="0.35">
      <c r="H28346" s="676"/>
      <c r="I28346" s="676"/>
      <c r="J28346" s="770"/>
    </row>
    <row r="28347" spans="8:10" x14ac:dyDescent="0.35">
      <c r="H28347" s="676"/>
      <c r="I28347" s="676"/>
      <c r="J28347" s="770"/>
    </row>
    <row r="28348" spans="8:10" x14ac:dyDescent="0.35">
      <c r="H28348" s="676"/>
      <c r="I28348" s="676"/>
      <c r="J28348" s="770"/>
    </row>
    <row r="28349" spans="8:10" x14ac:dyDescent="0.35">
      <c r="H28349" s="676"/>
      <c r="I28349" s="676"/>
      <c r="J28349" s="770"/>
    </row>
    <row r="28350" spans="8:10" x14ac:dyDescent="0.35">
      <c r="H28350" s="676"/>
      <c r="I28350" s="676"/>
      <c r="J28350" s="770"/>
    </row>
    <row r="28351" spans="8:10" x14ac:dyDescent="0.35">
      <c r="H28351" s="676"/>
      <c r="I28351" s="676"/>
      <c r="J28351" s="770"/>
    </row>
    <row r="28352" spans="8:10" x14ac:dyDescent="0.35">
      <c r="H28352" s="676"/>
      <c r="I28352" s="676"/>
      <c r="J28352" s="770"/>
    </row>
    <row r="28353" spans="8:10" x14ac:dyDescent="0.35">
      <c r="H28353" s="676"/>
      <c r="I28353" s="676"/>
      <c r="J28353" s="770"/>
    </row>
    <row r="28354" spans="8:10" x14ac:dyDescent="0.35">
      <c r="H28354" s="676"/>
      <c r="I28354" s="676"/>
      <c r="J28354" s="770"/>
    </row>
    <row r="28355" spans="8:10" x14ac:dyDescent="0.35">
      <c r="H28355" s="676"/>
      <c r="I28355" s="676"/>
      <c r="J28355" s="770"/>
    </row>
    <row r="28356" spans="8:10" x14ac:dyDescent="0.35">
      <c r="H28356" s="676"/>
      <c r="I28356" s="676"/>
      <c r="J28356" s="770"/>
    </row>
    <row r="28357" spans="8:10" x14ac:dyDescent="0.35">
      <c r="H28357" s="676"/>
      <c r="I28357" s="676"/>
      <c r="J28357" s="770"/>
    </row>
    <row r="28358" spans="8:10" x14ac:dyDescent="0.35">
      <c r="H28358" s="676"/>
      <c r="I28358" s="676"/>
      <c r="J28358" s="770"/>
    </row>
    <row r="28359" spans="8:10" x14ac:dyDescent="0.35">
      <c r="H28359" s="676"/>
      <c r="I28359" s="676"/>
      <c r="J28359" s="770"/>
    </row>
    <row r="28360" spans="8:10" x14ac:dyDescent="0.35">
      <c r="H28360" s="676"/>
      <c r="I28360" s="676"/>
      <c r="J28360" s="770"/>
    </row>
    <row r="28361" spans="8:10" x14ac:dyDescent="0.35">
      <c r="H28361" s="676"/>
      <c r="I28361" s="676"/>
      <c r="J28361" s="770"/>
    </row>
    <row r="28362" spans="8:10" x14ac:dyDescent="0.35">
      <c r="H28362" s="676"/>
      <c r="I28362" s="676"/>
      <c r="J28362" s="770"/>
    </row>
    <row r="28363" spans="8:10" x14ac:dyDescent="0.35">
      <c r="H28363" s="676"/>
      <c r="I28363" s="676"/>
      <c r="J28363" s="770"/>
    </row>
    <row r="28364" spans="8:10" x14ac:dyDescent="0.35">
      <c r="H28364" s="676"/>
      <c r="I28364" s="676"/>
      <c r="J28364" s="770"/>
    </row>
    <row r="28365" spans="8:10" x14ac:dyDescent="0.35">
      <c r="H28365" s="676"/>
      <c r="I28365" s="676"/>
      <c r="J28365" s="770"/>
    </row>
    <row r="28366" spans="8:10" x14ac:dyDescent="0.35">
      <c r="H28366" s="676"/>
      <c r="I28366" s="676"/>
      <c r="J28366" s="770"/>
    </row>
    <row r="28367" spans="8:10" x14ac:dyDescent="0.35">
      <c r="H28367" s="676"/>
      <c r="I28367" s="676"/>
      <c r="J28367" s="770"/>
    </row>
    <row r="28368" spans="8:10" x14ac:dyDescent="0.35">
      <c r="H28368" s="676"/>
      <c r="I28368" s="676"/>
      <c r="J28368" s="770"/>
    </row>
    <row r="28369" spans="8:10" x14ac:dyDescent="0.35">
      <c r="H28369" s="676"/>
      <c r="I28369" s="676"/>
      <c r="J28369" s="770"/>
    </row>
    <row r="28370" spans="8:10" x14ac:dyDescent="0.35">
      <c r="H28370" s="676"/>
      <c r="I28370" s="676"/>
      <c r="J28370" s="770"/>
    </row>
    <row r="28371" spans="8:10" x14ac:dyDescent="0.35">
      <c r="H28371" s="676"/>
      <c r="I28371" s="676"/>
      <c r="J28371" s="770"/>
    </row>
    <row r="28372" spans="8:10" x14ac:dyDescent="0.35">
      <c r="H28372" s="676"/>
      <c r="I28372" s="676"/>
      <c r="J28372" s="770"/>
    </row>
    <row r="28373" spans="8:10" x14ac:dyDescent="0.35">
      <c r="H28373" s="676"/>
      <c r="I28373" s="676"/>
      <c r="J28373" s="770"/>
    </row>
    <row r="28374" spans="8:10" x14ac:dyDescent="0.35">
      <c r="H28374" s="676"/>
      <c r="I28374" s="676"/>
      <c r="J28374" s="770"/>
    </row>
    <row r="28375" spans="8:10" x14ac:dyDescent="0.35">
      <c r="H28375" s="676"/>
      <c r="I28375" s="676"/>
      <c r="J28375" s="770"/>
    </row>
    <row r="28376" spans="8:10" x14ac:dyDescent="0.35">
      <c r="H28376" s="676"/>
      <c r="I28376" s="676"/>
      <c r="J28376" s="770"/>
    </row>
    <row r="28377" spans="8:10" x14ac:dyDescent="0.35">
      <c r="H28377" s="676"/>
      <c r="I28377" s="676"/>
      <c r="J28377" s="770"/>
    </row>
    <row r="28378" spans="8:10" x14ac:dyDescent="0.35">
      <c r="H28378" s="676"/>
      <c r="I28378" s="676"/>
      <c r="J28378" s="770"/>
    </row>
    <row r="28379" spans="8:10" x14ac:dyDescent="0.35">
      <c r="H28379" s="676"/>
      <c r="I28379" s="676"/>
      <c r="J28379" s="770"/>
    </row>
    <row r="28380" spans="8:10" x14ac:dyDescent="0.35">
      <c r="H28380" s="676"/>
      <c r="I28380" s="676"/>
      <c r="J28380" s="770"/>
    </row>
    <row r="28381" spans="8:10" x14ac:dyDescent="0.35">
      <c r="H28381" s="676"/>
      <c r="I28381" s="676"/>
      <c r="J28381" s="770"/>
    </row>
    <row r="28382" spans="8:10" x14ac:dyDescent="0.35">
      <c r="H28382" s="676"/>
      <c r="I28382" s="676"/>
      <c r="J28382" s="770"/>
    </row>
    <row r="28383" spans="8:10" x14ac:dyDescent="0.35">
      <c r="H28383" s="676"/>
      <c r="I28383" s="676"/>
      <c r="J28383" s="770"/>
    </row>
    <row r="28384" spans="8:10" x14ac:dyDescent="0.35">
      <c r="H28384" s="676"/>
      <c r="I28384" s="676"/>
      <c r="J28384" s="770"/>
    </row>
    <row r="28385" spans="8:10" x14ac:dyDescent="0.35">
      <c r="H28385" s="676"/>
      <c r="I28385" s="676"/>
      <c r="J28385" s="770"/>
    </row>
    <row r="28386" spans="8:10" x14ac:dyDescent="0.35">
      <c r="H28386" s="676"/>
      <c r="I28386" s="676"/>
      <c r="J28386" s="770"/>
    </row>
    <row r="28387" spans="8:10" x14ac:dyDescent="0.35">
      <c r="H28387" s="676"/>
      <c r="I28387" s="676"/>
      <c r="J28387" s="770"/>
    </row>
    <row r="28388" spans="8:10" x14ac:dyDescent="0.35">
      <c r="H28388" s="676"/>
      <c r="I28388" s="676"/>
      <c r="J28388" s="770"/>
    </row>
    <row r="28389" spans="8:10" x14ac:dyDescent="0.35">
      <c r="H28389" s="676"/>
      <c r="I28389" s="676"/>
      <c r="J28389" s="770"/>
    </row>
    <row r="28390" spans="8:10" x14ac:dyDescent="0.35">
      <c r="H28390" s="676"/>
      <c r="I28390" s="676"/>
      <c r="J28390" s="770"/>
    </row>
    <row r="28391" spans="8:10" x14ac:dyDescent="0.35">
      <c r="H28391" s="676"/>
      <c r="I28391" s="676"/>
      <c r="J28391" s="770"/>
    </row>
    <row r="28392" spans="8:10" x14ac:dyDescent="0.35">
      <c r="H28392" s="676"/>
      <c r="I28392" s="676"/>
      <c r="J28392" s="770"/>
    </row>
    <row r="28393" spans="8:10" x14ac:dyDescent="0.35">
      <c r="H28393" s="676"/>
      <c r="I28393" s="676"/>
      <c r="J28393" s="770"/>
    </row>
    <row r="28394" spans="8:10" x14ac:dyDescent="0.35">
      <c r="H28394" s="676"/>
      <c r="I28394" s="676"/>
      <c r="J28394" s="770"/>
    </row>
    <row r="28395" spans="8:10" x14ac:dyDescent="0.35">
      <c r="H28395" s="676"/>
      <c r="I28395" s="676"/>
      <c r="J28395" s="770"/>
    </row>
    <row r="28396" spans="8:10" x14ac:dyDescent="0.35">
      <c r="H28396" s="676"/>
      <c r="I28396" s="676"/>
      <c r="J28396" s="770"/>
    </row>
    <row r="28397" spans="8:10" x14ac:dyDescent="0.35">
      <c r="H28397" s="676"/>
      <c r="I28397" s="676"/>
      <c r="J28397" s="770"/>
    </row>
    <row r="28398" spans="8:10" x14ac:dyDescent="0.35">
      <c r="H28398" s="676"/>
      <c r="I28398" s="676"/>
      <c r="J28398" s="770"/>
    </row>
    <row r="28399" spans="8:10" x14ac:dyDescent="0.35">
      <c r="H28399" s="676"/>
      <c r="I28399" s="676"/>
      <c r="J28399" s="770"/>
    </row>
    <row r="28400" spans="8:10" x14ac:dyDescent="0.35">
      <c r="H28400" s="676"/>
      <c r="I28400" s="676"/>
      <c r="J28400" s="770"/>
    </row>
    <row r="28401" spans="8:10" x14ac:dyDescent="0.35">
      <c r="H28401" s="676"/>
      <c r="I28401" s="676"/>
      <c r="J28401" s="770"/>
    </row>
    <row r="28402" spans="8:10" x14ac:dyDescent="0.35">
      <c r="H28402" s="676"/>
      <c r="I28402" s="676"/>
      <c r="J28402" s="770"/>
    </row>
    <row r="28403" spans="8:10" x14ac:dyDescent="0.35">
      <c r="H28403" s="676"/>
      <c r="I28403" s="676"/>
      <c r="J28403" s="770"/>
    </row>
    <row r="28404" spans="8:10" x14ac:dyDescent="0.35">
      <c r="H28404" s="676"/>
      <c r="I28404" s="676"/>
      <c r="J28404" s="770"/>
    </row>
    <row r="28405" spans="8:10" x14ac:dyDescent="0.35">
      <c r="H28405" s="676"/>
      <c r="I28405" s="676"/>
      <c r="J28405" s="770"/>
    </row>
    <row r="28406" spans="8:10" x14ac:dyDescent="0.35">
      <c r="H28406" s="676"/>
      <c r="I28406" s="676"/>
      <c r="J28406" s="770"/>
    </row>
    <row r="28407" spans="8:10" x14ac:dyDescent="0.35">
      <c r="H28407" s="676"/>
      <c r="I28407" s="676"/>
      <c r="J28407" s="770"/>
    </row>
    <row r="28408" spans="8:10" x14ac:dyDescent="0.35">
      <c r="H28408" s="676"/>
      <c r="I28408" s="676"/>
      <c r="J28408" s="770"/>
    </row>
    <row r="28409" spans="8:10" x14ac:dyDescent="0.35">
      <c r="H28409" s="676"/>
      <c r="I28409" s="676"/>
      <c r="J28409" s="770"/>
    </row>
    <row r="28410" spans="8:10" x14ac:dyDescent="0.35">
      <c r="H28410" s="676"/>
      <c r="I28410" s="676"/>
      <c r="J28410" s="770"/>
    </row>
    <row r="28411" spans="8:10" x14ac:dyDescent="0.35">
      <c r="H28411" s="676"/>
      <c r="I28411" s="676"/>
      <c r="J28411" s="770"/>
    </row>
    <row r="28412" spans="8:10" x14ac:dyDescent="0.35">
      <c r="H28412" s="676"/>
      <c r="I28412" s="676"/>
      <c r="J28412" s="770"/>
    </row>
    <row r="28413" spans="8:10" x14ac:dyDescent="0.35">
      <c r="H28413" s="676"/>
      <c r="I28413" s="676"/>
      <c r="J28413" s="770"/>
    </row>
    <row r="28414" spans="8:10" x14ac:dyDescent="0.35">
      <c r="H28414" s="676"/>
      <c r="I28414" s="676"/>
      <c r="J28414" s="770"/>
    </row>
    <row r="28415" spans="8:10" x14ac:dyDescent="0.35">
      <c r="H28415" s="676"/>
      <c r="I28415" s="676"/>
      <c r="J28415" s="770"/>
    </row>
    <row r="28416" spans="8:10" x14ac:dyDescent="0.35">
      <c r="H28416" s="676"/>
      <c r="I28416" s="676"/>
      <c r="J28416" s="770"/>
    </row>
    <row r="28417" spans="8:10" x14ac:dyDescent="0.35">
      <c r="H28417" s="676"/>
      <c r="I28417" s="676"/>
      <c r="J28417" s="770"/>
    </row>
    <row r="28418" spans="8:10" x14ac:dyDescent="0.35">
      <c r="H28418" s="676"/>
      <c r="I28418" s="676"/>
      <c r="J28418" s="770"/>
    </row>
    <row r="28419" spans="8:10" x14ac:dyDescent="0.35">
      <c r="H28419" s="676"/>
      <c r="I28419" s="676"/>
      <c r="J28419" s="770"/>
    </row>
    <row r="28420" spans="8:10" x14ac:dyDescent="0.35">
      <c r="H28420" s="676"/>
      <c r="I28420" s="676"/>
      <c r="J28420" s="770"/>
    </row>
    <row r="28421" spans="8:10" x14ac:dyDescent="0.35">
      <c r="H28421" s="676"/>
      <c r="I28421" s="676"/>
      <c r="J28421" s="770"/>
    </row>
    <row r="28422" spans="8:10" x14ac:dyDescent="0.35">
      <c r="H28422" s="676"/>
      <c r="I28422" s="676"/>
      <c r="J28422" s="770"/>
    </row>
    <row r="28423" spans="8:10" x14ac:dyDescent="0.35">
      <c r="H28423" s="676"/>
      <c r="I28423" s="676"/>
      <c r="J28423" s="770"/>
    </row>
    <row r="28424" spans="8:10" x14ac:dyDescent="0.35">
      <c r="H28424" s="676"/>
      <c r="I28424" s="676"/>
      <c r="J28424" s="770"/>
    </row>
    <row r="28425" spans="8:10" x14ac:dyDescent="0.35">
      <c r="H28425" s="676"/>
      <c r="I28425" s="676"/>
      <c r="J28425" s="770"/>
    </row>
    <row r="28426" spans="8:10" x14ac:dyDescent="0.35">
      <c r="H28426" s="676"/>
      <c r="I28426" s="676"/>
      <c r="J28426" s="770"/>
    </row>
    <row r="28427" spans="8:10" x14ac:dyDescent="0.35">
      <c r="H28427" s="676"/>
      <c r="I28427" s="676"/>
      <c r="J28427" s="770"/>
    </row>
    <row r="28428" spans="8:10" x14ac:dyDescent="0.35">
      <c r="H28428" s="676"/>
      <c r="I28428" s="676"/>
      <c r="J28428" s="770"/>
    </row>
    <row r="28429" spans="8:10" x14ac:dyDescent="0.35">
      <c r="H28429" s="676"/>
      <c r="I28429" s="676"/>
      <c r="J28429" s="770"/>
    </row>
    <row r="28430" spans="8:10" x14ac:dyDescent="0.35">
      <c r="H28430" s="676"/>
      <c r="I28430" s="676"/>
      <c r="J28430" s="770"/>
    </row>
    <row r="28431" spans="8:10" x14ac:dyDescent="0.35">
      <c r="H28431" s="676"/>
      <c r="I28431" s="676"/>
      <c r="J28431" s="770"/>
    </row>
    <row r="28432" spans="8:10" x14ac:dyDescent="0.35">
      <c r="H28432" s="676"/>
      <c r="I28432" s="676"/>
      <c r="J28432" s="770"/>
    </row>
    <row r="28433" spans="8:10" x14ac:dyDescent="0.35">
      <c r="H28433" s="676"/>
      <c r="I28433" s="676"/>
      <c r="J28433" s="770"/>
    </row>
    <row r="28434" spans="8:10" x14ac:dyDescent="0.35">
      <c r="H28434" s="676"/>
      <c r="I28434" s="676"/>
      <c r="J28434" s="770"/>
    </row>
    <row r="28435" spans="8:10" x14ac:dyDescent="0.35">
      <c r="H28435" s="676"/>
      <c r="I28435" s="676"/>
      <c r="J28435" s="770"/>
    </row>
    <row r="28436" spans="8:10" x14ac:dyDescent="0.35">
      <c r="H28436" s="676"/>
      <c r="I28436" s="676"/>
      <c r="J28436" s="770"/>
    </row>
    <row r="28437" spans="8:10" x14ac:dyDescent="0.35">
      <c r="H28437" s="676"/>
      <c r="I28437" s="676"/>
      <c r="J28437" s="770"/>
    </row>
    <row r="28438" spans="8:10" x14ac:dyDescent="0.35">
      <c r="H28438" s="676"/>
      <c r="I28438" s="676"/>
      <c r="J28438" s="770"/>
    </row>
    <row r="28439" spans="8:10" x14ac:dyDescent="0.35">
      <c r="H28439" s="676"/>
      <c r="I28439" s="676"/>
      <c r="J28439" s="770"/>
    </row>
    <row r="28440" spans="8:10" x14ac:dyDescent="0.35">
      <c r="H28440" s="676"/>
      <c r="I28440" s="676"/>
      <c r="J28440" s="770"/>
    </row>
    <row r="28441" spans="8:10" x14ac:dyDescent="0.35">
      <c r="H28441" s="676"/>
      <c r="I28441" s="676"/>
      <c r="J28441" s="770"/>
    </row>
    <row r="28442" spans="8:10" x14ac:dyDescent="0.35">
      <c r="H28442" s="676"/>
      <c r="I28442" s="676"/>
      <c r="J28442" s="770"/>
    </row>
    <row r="28443" spans="8:10" x14ac:dyDescent="0.35">
      <c r="H28443" s="676"/>
      <c r="I28443" s="676"/>
      <c r="J28443" s="770"/>
    </row>
    <row r="28444" spans="8:10" x14ac:dyDescent="0.35">
      <c r="H28444" s="676"/>
      <c r="I28444" s="676"/>
      <c r="J28444" s="770"/>
    </row>
    <row r="28445" spans="8:10" x14ac:dyDescent="0.35">
      <c r="H28445" s="676"/>
      <c r="I28445" s="676"/>
      <c r="J28445" s="770"/>
    </row>
    <row r="28446" spans="8:10" x14ac:dyDescent="0.35">
      <c r="H28446" s="676"/>
      <c r="I28446" s="676"/>
      <c r="J28446" s="770"/>
    </row>
    <row r="28447" spans="8:10" x14ac:dyDescent="0.35">
      <c r="H28447" s="676"/>
      <c r="I28447" s="676"/>
      <c r="J28447" s="770"/>
    </row>
    <row r="28448" spans="8:10" x14ac:dyDescent="0.35">
      <c r="H28448" s="676"/>
      <c r="I28448" s="676"/>
      <c r="J28448" s="770"/>
    </row>
    <row r="28449" spans="8:10" x14ac:dyDescent="0.35">
      <c r="H28449" s="676"/>
      <c r="I28449" s="676"/>
      <c r="J28449" s="770"/>
    </row>
    <row r="28450" spans="8:10" x14ac:dyDescent="0.35">
      <c r="H28450" s="676"/>
      <c r="I28450" s="676"/>
      <c r="J28450" s="770"/>
    </row>
    <row r="28451" spans="8:10" x14ac:dyDescent="0.35">
      <c r="H28451" s="676"/>
      <c r="I28451" s="676"/>
      <c r="J28451" s="770"/>
    </row>
    <row r="28452" spans="8:10" x14ac:dyDescent="0.35">
      <c r="H28452" s="676"/>
      <c r="I28452" s="676"/>
      <c r="J28452" s="770"/>
    </row>
    <row r="28453" spans="8:10" x14ac:dyDescent="0.35">
      <c r="H28453" s="676"/>
      <c r="I28453" s="676"/>
      <c r="J28453" s="770"/>
    </row>
    <row r="28454" spans="8:10" x14ac:dyDescent="0.35">
      <c r="H28454" s="676"/>
      <c r="I28454" s="676"/>
      <c r="J28454" s="770"/>
    </row>
    <row r="28455" spans="8:10" x14ac:dyDescent="0.35">
      <c r="H28455" s="676"/>
      <c r="I28455" s="676"/>
      <c r="J28455" s="770"/>
    </row>
    <row r="28456" spans="8:10" x14ac:dyDescent="0.35">
      <c r="H28456" s="676"/>
      <c r="I28456" s="676"/>
      <c r="J28456" s="770"/>
    </row>
    <row r="28457" spans="8:10" x14ac:dyDescent="0.35">
      <c r="H28457" s="676"/>
      <c r="I28457" s="676"/>
      <c r="J28457" s="770"/>
    </row>
    <row r="28458" spans="8:10" x14ac:dyDescent="0.35">
      <c r="H28458" s="676"/>
      <c r="I28458" s="676"/>
      <c r="J28458" s="770"/>
    </row>
    <row r="28459" spans="8:10" x14ac:dyDescent="0.35">
      <c r="H28459" s="676"/>
      <c r="I28459" s="676"/>
      <c r="J28459" s="770"/>
    </row>
    <row r="28460" spans="8:10" x14ac:dyDescent="0.35">
      <c r="H28460" s="676"/>
      <c r="I28460" s="676"/>
      <c r="J28460" s="770"/>
    </row>
    <row r="28461" spans="8:10" x14ac:dyDescent="0.35">
      <c r="H28461" s="676"/>
      <c r="I28461" s="676"/>
      <c r="J28461" s="770"/>
    </row>
    <row r="28462" spans="8:10" x14ac:dyDescent="0.35">
      <c r="H28462" s="676"/>
      <c r="I28462" s="676"/>
      <c r="J28462" s="770"/>
    </row>
    <row r="28463" spans="8:10" x14ac:dyDescent="0.35">
      <c r="H28463" s="676"/>
      <c r="I28463" s="676"/>
      <c r="J28463" s="770"/>
    </row>
    <row r="28464" spans="8:10" x14ac:dyDescent="0.35">
      <c r="H28464" s="676"/>
      <c r="I28464" s="676"/>
      <c r="J28464" s="770"/>
    </row>
    <row r="28465" spans="8:10" x14ac:dyDescent="0.35">
      <c r="H28465" s="676"/>
      <c r="I28465" s="676"/>
      <c r="J28465" s="770"/>
    </row>
    <row r="28466" spans="8:10" x14ac:dyDescent="0.35">
      <c r="H28466" s="676"/>
      <c r="I28466" s="676"/>
      <c r="J28466" s="770"/>
    </row>
    <row r="28467" spans="8:10" x14ac:dyDescent="0.35">
      <c r="H28467" s="676"/>
      <c r="I28467" s="676"/>
      <c r="J28467" s="770"/>
    </row>
    <row r="28468" spans="8:10" x14ac:dyDescent="0.35">
      <c r="H28468" s="676"/>
      <c r="I28468" s="676"/>
      <c r="J28468" s="770"/>
    </row>
    <row r="28469" spans="8:10" x14ac:dyDescent="0.35">
      <c r="H28469" s="676"/>
      <c r="I28469" s="676"/>
      <c r="J28469" s="770"/>
    </row>
    <row r="28470" spans="8:10" x14ac:dyDescent="0.35">
      <c r="H28470" s="676"/>
      <c r="I28470" s="676"/>
      <c r="J28470" s="770"/>
    </row>
    <row r="28471" spans="8:10" x14ac:dyDescent="0.35">
      <c r="H28471" s="676"/>
      <c r="I28471" s="676"/>
      <c r="J28471" s="770"/>
    </row>
    <row r="28472" spans="8:10" x14ac:dyDescent="0.35">
      <c r="H28472" s="676"/>
      <c r="I28472" s="676"/>
      <c r="J28472" s="770"/>
    </row>
    <row r="28473" spans="8:10" x14ac:dyDescent="0.35">
      <c r="H28473" s="676"/>
      <c r="I28473" s="676"/>
      <c r="J28473" s="770"/>
    </row>
    <row r="28474" spans="8:10" x14ac:dyDescent="0.35">
      <c r="H28474" s="676"/>
      <c r="I28474" s="676"/>
      <c r="J28474" s="770"/>
    </row>
    <row r="28475" spans="8:10" x14ac:dyDescent="0.35">
      <c r="H28475" s="676"/>
      <c r="I28475" s="676"/>
      <c r="J28475" s="770"/>
    </row>
    <row r="28476" spans="8:10" x14ac:dyDescent="0.35">
      <c r="H28476" s="676"/>
      <c r="I28476" s="676"/>
      <c r="J28476" s="770"/>
    </row>
    <row r="28477" spans="8:10" x14ac:dyDescent="0.35">
      <c r="H28477" s="676"/>
      <c r="I28477" s="676"/>
      <c r="J28477" s="770"/>
    </row>
    <row r="28478" spans="8:10" x14ac:dyDescent="0.35">
      <c r="H28478" s="676"/>
      <c r="I28478" s="676"/>
      <c r="J28478" s="770"/>
    </row>
    <row r="28479" spans="8:10" x14ac:dyDescent="0.35">
      <c r="H28479" s="676"/>
      <c r="I28479" s="676"/>
      <c r="J28479" s="770"/>
    </row>
    <row r="28480" spans="8:10" x14ac:dyDescent="0.35">
      <c r="H28480" s="676"/>
      <c r="I28480" s="676"/>
      <c r="J28480" s="770"/>
    </row>
    <row r="28481" spans="8:10" x14ac:dyDescent="0.35">
      <c r="H28481" s="676"/>
      <c r="I28481" s="676"/>
      <c r="J28481" s="770"/>
    </row>
    <row r="28482" spans="8:10" x14ac:dyDescent="0.35">
      <c r="H28482" s="676"/>
      <c r="I28482" s="676"/>
      <c r="J28482" s="770"/>
    </row>
    <row r="28483" spans="8:10" x14ac:dyDescent="0.35">
      <c r="H28483" s="676"/>
      <c r="I28483" s="676"/>
      <c r="J28483" s="770"/>
    </row>
    <row r="28484" spans="8:10" x14ac:dyDescent="0.35">
      <c r="H28484" s="676"/>
      <c r="I28484" s="676"/>
      <c r="J28484" s="770"/>
    </row>
    <row r="28485" spans="8:10" x14ac:dyDescent="0.35">
      <c r="H28485" s="676"/>
      <c r="I28485" s="676"/>
      <c r="J28485" s="770"/>
    </row>
    <row r="28486" spans="8:10" x14ac:dyDescent="0.35">
      <c r="H28486" s="676"/>
      <c r="I28486" s="676"/>
      <c r="J28486" s="770"/>
    </row>
    <row r="28487" spans="8:10" x14ac:dyDescent="0.35">
      <c r="H28487" s="676"/>
      <c r="I28487" s="676"/>
      <c r="J28487" s="770"/>
    </row>
    <row r="28488" spans="8:10" x14ac:dyDescent="0.35">
      <c r="H28488" s="676"/>
      <c r="I28488" s="676"/>
      <c r="J28488" s="770"/>
    </row>
    <row r="28489" spans="8:10" x14ac:dyDescent="0.35">
      <c r="H28489" s="676"/>
      <c r="I28489" s="676"/>
      <c r="J28489" s="770"/>
    </row>
    <row r="28490" spans="8:10" x14ac:dyDescent="0.35">
      <c r="H28490" s="676"/>
      <c r="I28490" s="676"/>
      <c r="J28490" s="770"/>
    </row>
    <row r="28491" spans="8:10" x14ac:dyDescent="0.35">
      <c r="H28491" s="676"/>
      <c r="I28491" s="676"/>
      <c r="J28491" s="770"/>
    </row>
    <row r="28492" spans="8:10" x14ac:dyDescent="0.35">
      <c r="H28492" s="676"/>
      <c r="I28492" s="676"/>
      <c r="J28492" s="770"/>
    </row>
    <row r="28493" spans="8:10" x14ac:dyDescent="0.35">
      <c r="H28493" s="676"/>
      <c r="I28493" s="676"/>
      <c r="J28493" s="770"/>
    </row>
    <row r="28494" spans="8:10" x14ac:dyDescent="0.35">
      <c r="H28494" s="676"/>
      <c r="I28494" s="676"/>
      <c r="J28494" s="770"/>
    </row>
    <row r="28495" spans="8:10" x14ac:dyDescent="0.35">
      <c r="H28495" s="676"/>
      <c r="I28495" s="676"/>
      <c r="J28495" s="770"/>
    </row>
    <row r="28496" spans="8:10" x14ac:dyDescent="0.35">
      <c r="H28496" s="676"/>
      <c r="I28496" s="676"/>
      <c r="J28496" s="770"/>
    </row>
    <row r="28497" spans="8:10" x14ac:dyDescent="0.35">
      <c r="H28497" s="676"/>
      <c r="I28497" s="676"/>
      <c r="J28497" s="770"/>
    </row>
    <row r="28498" spans="8:10" x14ac:dyDescent="0.35">
      <c r="H28498" s="676"/>
      <c r="I28498" s="676"/>
      <c r="J28498" s="770"/>
    </row>
    <row r="28499" spans="8:10" x14ac:dyDescent="0.35">
      <c r="H28499" s="676"/>
      <c r="I28499" s="676"/>
      <c r="J28499" s="770"/>
    </row>
    <row r="28500" spans="8:10" x14ac:dyDescent="0.35">
      <c r="H28500" s="676"/>
      <c r="I28500" s="676"/>
      <c r="J28500" s="770"/>
    </row>
    <row r="28501" spans="8:10" x14ac:dyDescent="0.35">
      <c r="H28501" s="676"/>
      <c r="I28501" s="676"/>
      <c r="J28501" s="770"/>
    </row>
    <row r="28502" spans="8:10" x14ac:dyDescent="0.35">
      <c r="H28502" s="676"/>
      <c r="I28502" s="676"/>
      <c r="J28502" s="770"/>
    </row>
    <row r="28503" spans="8:10" x14ac:dyDescent="0.35">
      <c r="H28503" s="676"/>
      <c r="I28503" s="676"/>
      <c r="J28503" s="770"/>
    </row>
    <row r="28504" spans="8:10" x14ac:dyDescent="0.35">
      <c r="H28504" s="676"/>
      <c r="I28504" s="676"/>
      <c r="J28504" s="770"/>
    </row>
    <row r="28505" spans="8:10" x14ac:dyDescent="0.35">
      <c r="H28505" s="676"/>
      <c r="I28505" s="676"/>
      <c r="J28505" s="770"/>
    </row>
    <row r="28506" spans="8:10" x14ac:dyDescent="0.35">
      <c r="H28506" s="676"/>
      <c r="I28506" s="676"/>
      <c r="J28506" s="770"/>
    </row>
    <row r="28507" spans="8:10" x14ac:dyDescent="0.35">
      <c r="H28507" s="676"/>
      <c r="I28507" s="676"/>
      <c r="J28507" s="770"/>
    </row>
    <row r="28508" spans="8:10" x14ac:dyDescent="0.35">
      <c r="H28508" s="676"/>
      <c r="I28508" s="676"/>
      <c r="J28508" s="770"/>
    </row>
    <row r="28509" spans="8:10" x14ac:dyDescent="0.35">
      <c r="H28509" s="676"/>
      <c r="I28509" s="676"/>
      <c r="J28509" s="770"/>
    </row>
    <row r="28510" spans="8:10" x14ac:dyDescent="0.35">
      <c r="H28510" s="676"/>
      <c r="I28510" s="676"/>
      <c r="J28510" s="770"/>
    </row>
    <row r="28511" spans="8:10" x14ac:dyDescent="0.35">
      <c r="H28511" s="676"/>
      <c r="I28511" s="676"/>
      <c r="J28511" s="770"/>
    </row>
    <row r="28512" spans="8:10" x14ac:dyDescent="0.35">
      <c r="H28512" s="676"/>
      <c r="I28512" s="676"/>
      <c r="J28512" s="770"/>
    </row>
    <row r="28513" spans="8:10" x14ac:dyDescent="0.35">
      <c r="H28513" s="676"/>
      <c r="I28513" s="676"/>
      <c r="J28513" s="770"/>
    </row>
    <row r="28514" spans="8:10" x14ac:dyDescent="0.35">
      <c r="H28514" s="676"/>
      <c r="I28514" s="676"/>
      <c r="J28514" s="770"/>
    </row>
    <row r="28515" spans="8:10" x14ac:dyDescent="0.35">
      <c r="H28515" s="676"/>
      <c r="I28515" s="676"/>
      <c r="J28515" s="770"/>
    </row>
    <row r="28516" spans="8:10" x14ac:dyDescent="0.35">
      <c r="H28516" s="676"/>
      <c r="I28516" s="676"/>
      <c r="J28516" s="770"/>
    </row>
    <row r="28517" spans="8:10" x14ac:dyDescent="0.35">
      <c r="H28517" s="676"/>
      <c r="I28517" s="676"/>
      <c r="J28517" s="770"/>
    </row>
    <row r="28518" spans="8:10" x14ac:dyDescent="0.35">
      <c r="H28518" s="676"/>
      <c r="I28518" s="676"/>
      <c r="J28518" s="770"/>
    </row>
    <row r="28519" spans="8:10" x14ac:dyDescent="0.35">
      <c r="H28519" s="676"/>
      <c r="I28519" s="676"/>
      <c r="J28519" s="770"/>
    </row>
    <row r="28520" spans="8:10" x14ac:dyDescent="0.35">
      <c r="H28520" s="676"/>
      <c r="I28520" s="676"/>
      <c r="J28520" s="770"/>
    </row>
    <row r="28521" spans="8:10" x14ac:dyDescent="0.35">
      <c r="H28521" s="676"/>
      <c r="I28521" s="676"/>
      <c r="J28521" s="770"/>
    </row>
    <row r="28522" spans="8:10" x14ac:dyDescent="0.35">
      <c r="H28522" s="676"/>
      <c r="I28522" s="676"/>
      <c r="J28522" s="770"/>
    </row>
    <row r="28523" spans="8:10" x14ac:dyDescent="0.35">
      <c r="H28523" s="676"/>
      <c r="I28523" s="676"/>
      <c r="J28523" s="770"/>
    </row>
    <row r="28524" spans="8:10" x14ac:dyDescent="0.35">
      <c r="H28524" s="676"/>
      <c r="I28524" s="676"/>
      <c r="J28524" s="770"/>
    </row>
    <row r="28525" spans="8:10" x14ac:dyDescent="0.35">
      <c r="H28525" s="676"/>
      <c r="I28525" s="676"/>
      <c r="J28525" s="770"/>
    </row>
    <row r="28526" spans="8:10" x14ac:dyDescent="0.35">
      <c r="H28526" s="676"/>
      <c r="I28526" s="676"/>
      <c r="J28526" s="770"/>
    </row>
    <row r="28527" spans="8:10" x14ac:dyDescent="0.35">
      <c r="H28527" s="676"/>
      <c r="I28527" s="676"/>
      <c r="J28527" s="770"/>
    </row>
    <row r="28528" spans="8:10" x14ac:dyDescent="0.35">
      <c r="H28528" s="676"/>
      <c r="I28528" s="676"/>
      <c r="J28528" s="770"/>
    </row>
    <row r="28529" spans="8:10" x14ac:dyDescent="0.35">
      <c r="H28529" s="676"/>
      <c r="I28529" s="676"/>
      <c r="J28529" s="770"/>
    </row>
    <row r="28530" spans="8:10" x14ac:dyDescent="0.35">
      <c r="H28530" s="676"/>
      <c r="I28530" s="676"/>
      <c r="J28530" s="770"/>
    </row>
    <row r="28531" spans="8:10" x14ac:dyDescent="0.35">
      <c r="H28531" s="676"/>
      <c r="I28531" s="676"/>
      <c r="J28531" s="770"/>
    </row>
    <row r="28532" spans="8:10" x14ac:dyDescent="0.35">
      <c r="H28532" s="676"/>
      <c r="I28532" s="676"/>
      <c r="J28532" s="770"/>
    </row>
    <row r="28533" spans="8:10" x14ac:dyDescent="0.35">
      <c r="H28533" s="676"/>
      <c r="I28533" s="676"/>
      <c r="J28533" s="770"/>
    </row>
    <row r="28534" spans="8:10" x14ac:dyDescent="0.35">
      <c r="H28534" s="676"/>
      <c r="I28534" s="676"/>
      <c r="J28534" s="770"/>
    </row>
    <row r="28535" spans="8:10" x14ac:dyDescent="0.35">
      <c r="H28535" s="676"/>
      <c r="I28535" s="676"/>
      <c r="J28535" s="770"/>
    </row>
    <row r="28536" spans="8:10" x14ac:dyDescent="0.35">
      <c r="H28536" s="676"/>
      <c r="I28536" s="676"/>
      <c r="J28536" s="770"/>
    </row>
    <row r="28537" spans="8:10" x14ac:dyDescent="0.35">
      <c r="H28537" s="676"/>
      <c r="I28537" s="676"/>
      <c r="J28537" s="770"/>
    </row>
    <row r="28538" spans="8:10" x14ac:dyDescent="0.35">
      <c r="H28538" s="676"/>
      <c r="I28538" s="676"/>
      <c r="J28538" s="770"/>
    </row>
    <row r="28539" spans="8:10" x14ac:dyDescent="0.35">
      <c r="H28539" s="676"/>
      <c r="I28539" s="676"/>
      <c r="J28539" s="770"/>
    </row>
    <row r="28540" spans="8:10" x14ac:dyDescent="0.35">
      <c r="H28540" s="676"/>
      <c r="I28540" s="676"/>
      <c r="J28540" s="770"/>
    </row>
    <row r="28541" spans="8:10" x14ac:dyDescent="0.35">
      <c r="H28541" s="676"/>
      <c r="I28541" s="676"/>
      <c r="J28541" s="770"/>
    </row>
    <row r="28542" spans="8:10" x14ac:dyDescent="0.35">
      <c r="H28542" s="676"/>
      <c r="I28542" s="676"/>
      <c r="J28542" s="770"/>
    </row>
    <row r="28543" spans="8:10" x14ac:dyDescent="0.35">
      <c r="H28543" s="676"/>
      <c r="I28543" s="676"/>
      <c r="J28543" s="770"/>
    </row>
    <row r="28544" spans="8:10" x14ac:dyDescent="0.35">
      <c r="H28544" s="676"/>
      <c r="I28544" s="676"/>
      <c r="J28544" s="770"/>
    </row>
    <row r="28545" spans="8:10" x14ac:dyDescent="0.35">
      <c r="H28545" s="676"/>
      <c r="I28545" s="676"/>
      <c r="J28545" s="770"/>
    </row>
    <row r="28546" spans="8:10" x14ac:dyDescent="0.35">
      <c r="H28546" s="676"/>
      <c r="I28546" s="676"/>
      <c r="J28546" s="770"/>
    </row>
    <row r="28547" spans="8:10" x14ac:dyDescent="0.35">
      <c r="H28547" s="676"/>
      <c r="I28547" s="676"/>
      <c r="J28547" s="770"/>
    </row>
    <row r="28548" spans="8:10" x14ac:dyDescent="0.35">
      <c r="H28548" s="676"/>
      <c r="I28548" s="676"/>
      <c r="J28548" s="770"/>
    </row>
    <row r="28549" spans="8:10" x14ac:dyDescent="0.35">
      <c r="H28549" s="676"/>
      <c r="I28549" s="676"/>
      <c r="J28549" s="770"/>
    </row>
    <row r="28550" spans="8:10" x14ac:dyDescent="0.35">
      <c r="H28550" s="676"/>
      <c r="I28550" s="676"/>
      <c r="J28550" s="770"/>
    </row>
    <row r="28551" spans="8:10" x14ac:dyDescent="0.35">
      <c r="H28551" s="676"/>
      <c r="I28551" s="676"/>
      <c r="J28551" s="770"/>
    </row>
    <row r="28552" spans="8:10" x14ac:dyDescent="0.35">
      <c r="H28552" s="676"/>
      <c r="I28552" s="676"/>
      <c r="J28552" s="770"/>
    </row>
    <row r="28553" spans="8:10" x14ac:dyDescent="0.35">
      <c r="H28553" s="676"/>
      <c r="I28553" s="676"/>
      <c r="J28553" s="770"/>
    </row>
    <row r="28554" spans="8:10" x14ac:dyDescent="0.35">
      <c r="H28554" s="676"/>
      <c r="I28554" s="676"/>
      <c r="J28554" s="770"/>
    </row>
    <row r="28555" spans="8:10" x14ac:dyDescent="0.35">
      <c r="H28555" s="676"/>
      <c r="I28555" s="676"/>
      <c r="J28555" s="770"/>
    </row>
    <row r="28556" spans="8:10" x14ac:dyDescent="0.35">
      <c r="H28556" s="676"/>
      <c r="I28556" s="676"/>
      <c r="J28556" s="770"/>
    </row>
    <row r="28557" spans="8:10" x14ac:dyDescent="0.35">
      <c r="H28557" s="676"/>
      <c r="I28557" s="676"/>
      <c r="J28557" s="770"/>
    </row>
    <row r="28558" spans="8:10" x14ac:dyDescent="0.35">
      <c r="H28558" s="676"/>
      <c r="I28558" s="676"/>
      <c r="J28558" s="770"/>
    </row>
    <row r="28559" spans="8:10" x14ac:dyDescent="0.35">
      <c r="H28559" s="676"/>
      <c r="I28559" s="676"/>
      <c r="J28559" s="770"/>
    </row>
    <row r="28560" spans="8:10" x14ac:dyDescent="0.35">
      <c r="H28560" s="676"/>
      <c r="I28560" s="676"/>
      <c r="J28560" s="770"/>
    </row>
    <row r="28561" spans="8:10" x14ac:dyDescent="0.35">
      <c r="H28561" s="676"/>
      <c r="I28561" s="676"/>
      <c r="J28561" s="770"/>
    </row>
    <row r="28562" spans="8:10" x14ac:dyDescent="0.35">
      <c r="H28562" s="676"/>
      <c r="I28562" s="676"/>
      <c r="J28562" s="770"/>
    </row>
    <row r="28563" spans="8:10" x14ac:dyDescent="0.35">
      <c r="H28563" s="676"/>
      <c r="I28563" s="676"/>
      <c r="J28563" s="770"/>
    </row>
    <row r="28564" spans="8:10" x14ac:dyDescent="0.35">
      <c r="H28564" s="676"/>
      <c r="I28564" s="676"/>
      <c r="J28564" s="770"/>
    </row>
    <row r="28565" spans="8:10" x14ac:dyDescent="0.35">
      <c r="H28565" s="676"/>
      <c r="I28565" s="676"/>
      <c r="J28565" s="770"/>
    </row>
    <row r="28566" spans="8:10" x14ac:dyDescent="0.35">
      <c r="H28566" s="676"/>
      <c r="I28566" s="676"/>
      <c r="J28566" s="770"/>
    </row>
    <row r="28567" spans="8:10" x14ac:dyDescent="0.35">
      <c r="H28567" s="676"/>
      <c r="I28567" s="676"/>
      <c r="J28567" s="770"/>
    </row>
    <row r="28568" spans="8:10" x14ac:dyDescent="0.35">
      <c r="H28568" s="676"/>
      <c r="I28568" s="676"/>
      <c r="J28568" s="770"/>
    </row>
    <row r="28569" spans="8:10" x14ac:dyDescent="0.35">
      <c r="H28569" s="676"/>
      <c r="I28569" s="676"/>
      <c r="J28569" s="770"/>
    </row>
    <row r="28570" spans="8:10" x14ac:dyDescent="0.35">
      <c r="H28570" s="676"/>
      <c r="I28570" s="676"/>
      <c r="J28570" s="770"/>
    </row>
    <row r="28571" spans="8:10" x14ac:dyDescent="0.35">
      <c r="H28571" s="676"/>
      <c r="I28571" s="676"/>
      <c r="J28571" s="770"/>
    </row>
    <row r="28572" spans="8:10" x14ac:dyDescent="0.35">
      <c r="H28572" s="676"/>
      <c r="I28572" s="676"/>
      <c r="J28572" s="770"/>
    </row>
    <row r="28573" spans="8:10" x14ac:dyDescent="0.35">
      <c r="H28573" s="676"/>
      <c r="I28573" s="676"/>
      <c r="J28573" s="770"/>
    </row>
    <row r="28574" spans="8:10" x14ac:dyDescent="0.35">
      <c r="H28574" s="676"/>
      <c r="I28574" s="676"/>
      <c r="J28574" s="770"/>
    </row>
    <row r="28575" spans="8:10" x14ac:dyDescent="0.35">
      <c r="H28575" s="676"/>
      <c r="I28575" s="676"/>
      <c r="J28575" s="770"/>
    </row>
    <row r="28576" spans="8:10" x14ac:dyDescent="0.35">
      <c r="H28576" s="676"/>
      <c r="I28576" s="676"/>
      <c r="J28576" s="770"/>
    </row>
    <row r="28577" spans="8:10" x14ac:dyDescent="0.35">
      <c r="H28577" s="676"/>
      <c r="I28577" s="676"/>
      <c r="J28577" s="770"/>
    </row>
    <row r="28578" spans="8:10" x14ac:dyDescent="0.35">
      <c r="H28578" s="676"/>
      <c r="I28578" s="676"/>
      <c r="J28578" s="770"/>
    </row>
    <row r="28579" spans="8:10" x14ac:dyDescent="0.35">
      <c r="H28579" s="676"/>
      <c r="I28579" s="676"/>
      <c r="J28579" s="770"/>
    </row>
    <row r="28580" spans="8:10" x14ac:dyDescent="0.35">
      <c r="H28580" s="676"/>
      <c r="I28580" s="676"/>
      <c r="J28580" s="770"/>
    </row>
    <row r="28581" spans="8:10" x14ac:dyDescent="0.35">
      <c r="H28581" s="676"/>
      <c r="I28581" s="676"/>
      <c r="J28581" s="770"/>
    </row>
    <row r="28582" spans="8:10" x14ac:dyDescent="0.35">
      <c r="H28582" s="676"/>
      <c r="I28582" s="676"/>
      <c r="J28582" s="770"/>
    </row>
    <row r="28583" spans="8:10" x14ac:dyDescent="0.35">
      <c r="H28583" s="676"/>
      <c r="I28583" s="676"/>
      <c r="J28583" s="770"/>
    </row>
    <row r="28584" spans="8:10" x14ac:dyDescent="0.35">
      <c r="H28584" s="676"/>
      <c r="I28584" s="676"/>
      <c r="J28584" s="770"/>
    </row>
    <row r="28585" spans="8:10" x14ac:dyDescent="0.35">
      <c r="H28585" s="676"/>
      <c r="I28585" s="676"/>
      <c r="J28585" s="770"/>
    </row>
    <row r="28586" spans="8:10" x14ac:dyDescent="0.35">
      <c r="H28586" s="676"/>
      <c r="I28586" s="676"/>
      <c r="J28586" s="770"/>
    </row>
    <row r="28587" spans="8:10" x14ac:dyDescent="0.35">
      <c r="H28587" s="676"/>
      <c r="I28587" s="676"/>
      <c r="J28587" s="770"/>
    </row>
    <row r="28588" spans="8:10" x14ac:dyDescent="0.35">
      <c r="H28588" s="676"/>
      <c r="I28588" s="676"/>
      <c r="J28588" s="770"/>
    </row>
    <row r="28589" spans="8:10" x14ac:dyDescent="0.35">
      <c r="H28589" s="676"/>
      <c r="I28589" s="676"/>
      <c r="J28589" s="770"/>
    </row>
    <row r="28590" spans="8:10" x14ac:dyDescent="0.35">
      <c r="H28590" s="676"/>
      <c r="I28590" s="676"/>
      <c r="J28590" s="770"/>
    </row>
    <row r="28591" spans="8:10" x14ac:dyDescent="0.35">
      <c r="H28591" s="676"/>
      <c r="I28591" s="676"/>
      <c r="J28591" s="770"/>
    </row>
    <row r="28592" spans="8:10" x14ac:dyDescent="0.35">
      <c r="H28592" s="676"/>
      <c r="I28592" s="676"/>
      <c r="J28592" s="770"/>
    </row>
    <row r="28593" spans="8:10" x14ac:dyDescent="0.35">
      <c r="H28593" s="676"/>
      <c r="I28593" s="676"/>
      <c r="J28593" s="770"/>
    </row>
    <row r="28594" spans="8:10" x14ac:dyDescent="0.35">
      <c r="H28594" s="676"/>
      <c r="I28594" s="676"/>
      <c r="J28594" s="770"/>
    </row>
    <row r="28595" spans="8:10" x14ac:dyDescent="0.35">
      <c r="H28595" s="676"/>
      <c r="I28595" s="676"/>
      <c r="J28595" s="770"/>
    </row>
    <row r="28596" spans="8:10" x14ac:dyDescent="0.35">
      <c r="H28596" s="676"/>
      <c r="I28596" s="676"/>
      <c r="J28596" s="770"/>
    </row>
    <row r="28597" spans="8:10" x14ac:dyDescent="0.35">
      <c r="H28597" s="676"/>
      <c r="I28597" s="676"/>
      <c r="J28597" s="770"/>
    </row>
    <row r="28598" spans="8:10" x14ac:dyDescent="0.35">
      <c r="H28598" s="676"/>
      <c r="I28598" s="676"/>
      <c r="J28598" s="770"/>
    </row>
    <row r="28599" spans="8:10" x14ac:dyDescent="0.35">
      <c r="H28599" s="676"/>
      <c r="I28599" s="676"/>
      <c r="J28599" s="770"/>
    </row>
    <row r="28600" spans="8:10" x14ac:dyDescent="0.35">
      <c r="H28600" s="676"/>
      <c r="I28600" s="676"/>
      <c r="J28600" s="770"/>
    </row>
    <row r="28601" spans="8:10" x14ac:dyDescent="0.35">
      <c r="H28601" s="676"/>
      <c r="I28601" s="676"/>
      <c r="J28601" s="770"/>
    </row>
    <row r="28602" spans="8:10" x14ac:dyDescent="0.35">
      <c r="H28602" s="676"/>
      <c r="I28602" s="676"/>
      <c r="J28602" s="770"/>
    </row>
    <row r="28603" spans="8:10" x14ac:dyDescent="0.35">
      <c r="H28603" s="676"/>
      <c r="I28603" s="676"/>
      <c r="J28603" s="770"/>
    </row>
    <row r="28604" spans="8:10" x14ac:dyDescent="0.35">
      <c r="H28604" s="676"/>
      <c r="I28604" s="676"/>
      <c r="J28604" s="770"/>
    </row>
    <row r="28605" spans="8:10" x14ac:dyDescent="0.35">
      <c r="H28605" s="676"/>
      <c r="I28605" s="676"/>
      <c r="J28605" s="770"/>
    </row>
    <row r="28606" spans="8:10" x14ac:dyDescent="0.35">
      <c r="H28606" s="676"/>
      <c r="I28606" s="676"/>
      <c r="J28606" s="770"/>
    </row>
    <row r="28607" spans="8:10" x14ac:dyDescent="0.35">
      <c r="H28607" s="676"/>
      <c r="I28607" s="676"/>
      <c r="J28607" s="770"/>
    </row>
    <row r="28608" spans="8:10" x14ac:dyDescent="0.35">
      <c r="H28608" s="676"/>
      <c r="I28608" s="676"/>
      <c r="J28608" s="770"/>
    </row>
    <row r="28609" spans="8:10" x14ac:dyDescent="0.35">
      <c r="H28609" s="676"/>
      <c r="I28609" s="676"/>
      <c r="J28609" s="770"/>
    </row>
    <row r="28610" spans="8:10" x14ac:dyDescent="0.35">
      <c r="H28610" s="676"/>
      <c r="I28610" s="676"/>
      <c r="J28610" s="770"/>
    </row>
    <row r="28611" spans="8:10" x14ac:dyDescent="0.35">
      <c r="H28611" s="676"/>
      <c r="I28611" s="676"/>
      <c r="J28611" s="770"/>
    </row>
    <row r="28612" spans="8:10" x14ac:dyDescent="0.35">
      <c r="H28612" s="676"/>
      <c r="I28612" s="676"/>
      <c r="J28612" s="770"/>
    </row>
    <row r="28613" spans="8:10" x14ac:dyDescent="0.35">
      <c r="H28613" s="676"/>
      <c r="I28613" s="676"/>
      <c r="J28613" s="770"/>
    </row>
    <row r="28614" spans="8:10" x14ac:dyDescent="0.35">
      <c r="H28614" s="676"/>
      <c r="I28614" s="676"/>
      <c r="J28614" s="770"/>
    </row>
    <row r="28615" spans="8:10" x14ac:dyDescent="0.35">
      <c r="H28615" s="676"/>
      <c r="I28615" s="676"/>
      <c r="J28615" s="770"/>
    </row>
    <row r="28616" spans="8:10" x14ac:dyDescent="0.35">
      <c r="H28616" s="676"/>
      <c r="I28616" s="676"/>
      <c r="J28616" s="770"/>
    </row>
    <row r="28617" spans="8:10" x14ac:dyDescent="0.35">
      <c r="H28617" s="676"/>
      <c r="I28617" s="676"/>
      <c r="J28617" s="770"/>
    </row>
    <row r="28618" spans="8:10" x14ac:dyDescent="0.35">
      <c r="H28618" s="676"/>
      <c r="I28618" s="676"/>
      <c r="J28618" s="770"/>
    </row>
    <row r="28619" spans="8:10" x14ac:dyDescent="0.35">
      <c r="H28619" s="676"/>
      <c r="I28619" s="676"/>
      <c r="J28619" s="770"/>
    </row>
    <row r="28620" spans="8:10" x14ac:dyDescent="0.35">
      <c r="H28620" s="676"/>
      <c r="I28620" s="676"/>
      <c r="J28620" s="770"/>
    </row>
    <row r="28621" spans="8:10" x14ac:dyDescent="0.35">
      <c r="H28621" s="676"/>
      <c r="I28621" s="676"/>
      <c r="J28621" s="770"/>
    </row>
    <row r="28622" spans="8:10" x14ac:dyDescent="0.35">
      <c r="H28622" s="676"/>
      <c r="I28622" s="676"/>
      <c r="J28622" s="770"/>
    </row>
    <row r="28623" spans="8:10" x14ac:dyDescent="0.35">
      <c r="H28623" s="676"/>
      <c r="I28623" s="676"/>
      <c r="J28623" s="770"/>
    </row>
    <row r="28624" spans="8:10" x14ac:dyDescent="0.35">
      <c r="H28624" s="676"/>
      <c r="I28624" s="676"/>
      <c r="J28624" s="770"/>
    </row>
    <row r="28625" spans="8:10" x14ac:dyDescent="0.35">
      <c r="H28625" s="676"/>
      <c r="I28625" s="676"/>
      <c r="J28625" s="770"/>
    </row>
    <row r="28626" spans="8:10" x14ac:dyDescent="0.35">
      <c r="H28626" s="676"/>
      <c r="I28626" s="676"/>
      <c r="J28626" s="770"/>
    </row>
    <row r="28627" spans="8:10" x14ac:dyDescent="0.35">
      <c r="H28627" s="676"/>
      <c r="I28627" s="676"/>
      <c r="J28627" s="770"/>
    </row>
    <row r="28628" spans="8:10" x14ac:dyDescent="0.35">
      <c r="H28628" s="676"/>
      <c r="I28628" s="676"/>
      <c r="J28628" s="770"/>
    </row>
    <row r="28629" spans="8:10" x14ac:dyDescent="0.35">
      <c r="H28629" s="676"/>
      <c r="I28629" s="676"/>
      <c r="J28629" s="770"/>
    </row>
    <row r="28630" spans="8:10" x14ac:dyDescent="0.35">
      <c r="H28630" s="676"/>
      <c r="I28630" s="676"/>
      <c r="J28630" s="770"/>
    </row>
    <row r="28631" spans="8:10" x14ac:dyDescent="0.35">
      <c r="H28631" s="676"/>
      <c r="I28631" s="676"/>
      <c r="J28631" s="770"/>
    </row>
    <row r="28632" spans="8:10" x14ac:dyDescent="0.35">
      <c r="H28632" s="676"/>
      <c r="I28632" s="676"/>
      <c r="J28632" s="770"/>
    </row>
    <row r="28633" spans="8:10" x14ac:dyDescent="0.35">
      <c r="H28633" s="676"/>
      <c r="I28633" s="676"/>
      <c r="J28633" s="770"/>
    </row>
    <row r="28634" spans="8:10" x14ac:dyDescent="0.35">
      <c r="H28634" s="676"/>
      <c r="I28634" s="676"/>
      <c r="J28634" s="770"/>
    </row>
    <row r="28635" spans="8:10" x14ac:dyDescent="0.35">
      <c r="H28635" s="676"/>
      <c r="I28635" s="676"/>
      <c r="J28635" s="770"/>
    </row>
    <row r="28636" spans="8:10" x14ac:dyDescent="0.35">
      <c r="H28636" s="676"/>
      <c r="I28636" s="676"/>
      <c r="J28636" s="770"/>
    </row>
    <row r="28637" spans="8:10" x14ac:dyDescent="0.35">
      <c r="H28637" s="676"/>
      <c r="I28637" s="676"/>
      <c r="J28637" s="770"/>
    </row>
    <row r="28638" spans="8:10" x14ac:dyDescent="0.35">
      <c r="H28638" s="676"/>
      <c r="I28638" s="676"/>
      <c r="J28638" s="770"/>
    </row>
    <row r="28639" spans="8:10" x14ac:dyDescent="0.35">
      <c r="H28639" s="676"/>
      <c r="I28639" s="676"/>
      <c r="J28639" s="770"/>
    </row>
    <row r="28640" spans="8:10" x14ac:dyDescent="0.35">
      <c r="H28640" s="676"/>
      <c r="I28640" s="676"/>
      <c r="J28640" s="770"/>
    </row>
    <row r="28641" spans="8:10" x14ac:dyDescent="0.35">
      <c r="H28641" s="676"/>
      <c r="I28641" s="676"/>
      <c r="J28641" s="770"/>
    </row>
    <row r="28642" spans="8:10" x14ac:dyDescent="0.35">
      <c r="H28642" s="676"/>
      <c r="I28642" s="676"/>
      <c r="J28642" s="770"/>
    </row>
    <row r="28643" spans="8:10" x14ac:dyDescent="0.35">
      <c r="H28643" s="676"/>
      <c r="I28643" s="676"/>
      <c r="J28643" s="770"/>
    </row>
    <row r="28644" spans="8:10" x14ac:dyDescent="0.35">
      <c r="H28644" s="676"/>
      <c r="I28644" s="676"/>
      <c r="J28644" s="770"/>
    </row>
    <row r="28645" spans="8:10" x14ac:dyDescent="0.35">
      <c r="H28645" s="676"/>
      <c r="I28645" s="676"/>
      <c r="J28645" s="770"/>
    </row>
    <row r="28646" spans="8:10" x14ac:dyDescent="0.35">
      <c r="H28646" s="676"/>
      <c r="I28646" s="676"/>
      <c r="J28646" s="770"/>
    </row>
    <row r="28647" spans="8:10" x14ac:dyDescent="0.35">
      <c r="H28647" s="676"/>
      <c r="I28647" s="676"/>
      <c r="J28647" s="770"/>
    </row>
    <row r="28648" spans="8:10" x14ac:dyDescent="0.35">
      <c r="H28648" s="676"/>
      <c r="I28648" s="676"/>
      <c r="J28648" s="770"/>
    </row>
    <row r="28649" spans="8:10" x14ac:dyDescent="0.35">
      <c r="H28649" s="676"/>
      <c r="I28649" s="676"/>
      <c r="J28649" s="770"/>
    </row>
    <row r="28650" spans="8:10" x14ac:dyDescent="0.35">
      <c r="H28650" s="676"/>
      <c r="I28650" s="676"/>
      <c r="J28650" s="770"/>
    </row>
    <row r="28651" spans="8:10" x14ac:dyDescent="0.35">
      <c r="H28651" s="676"/>
      <c r="I28651" s="676"/>
      <c r="J28651" s="770"/>
    </row>
    <row r="28652" spans="8:10" x14ac:dyDescent="0.35">
      <c r="H28652" s="676"/>
      <c r="I28652" s="676"/>
      <c r="J28652" s="770"/>
    </row>
    <row r="28653" spans="8:10" x14ac:dyDescent="0.35">
      <c r="H28653" s="676"/>
      <c r="I28653" s="676"/>
      <c r="J28653" s="770"/>
    </row>
    <row r="28654" spans="8:10" x14ac:dyDescent="0.35">
      <c r="H28654" s="676"/>
      <c r="I28654" s="676"/>
      <c r="J28654" s="770"/>
    </row>
    <row r="28655" spans="8:10" x14ac:dyDescent="0.35">
      <c r="H28655" s="676"/>
      <c r="I28655" s="676"/>
      <c r="J28655" s="770"/>
    </row>
    <row r="28656" spans="8:10" x14ac:dyDescent="0.35">
      <c r="H28656" s="676"/>
      <c r="I28656" s="676"/>
      <c r="J28656" s="770"/>
    </row>
    <row r="28657" spans="8:10" x14ac:dyDescent="0.35">
      <c r="H28657" s="676"/>
      <c r="I28657" s="676"/>
      <c r="J28657" s="770"/>
    </row>
    <row r="28658" spans="8:10" x14ac:dyDescent="0.35">
      <c r="H28658" s="676"/>
      <c r="I28658" s="676"/>
      <c r="J28658" s="770"/>
    </row>
    <row r="28659" spans="8:10" x14ac:dyDescent="0.35">
      <c r="H28659" s="676"/>
      <c r="I28659" s="676"/>
      <c r="J28659" s="770"/>
    </row>
    <row r="28660" spans="8:10" x14ac:dyDescent="0.35">
      <c r="H28660" s="676"/>
      <c r="I28660" s="676"/>
      <c r="J28660" s="770"/>
    </row>
    <row r="28661" spans="8:10" x14ac:dyDescent="0.35">
      <c r="H28661" s="676"/>
      <c r="I28661" s="676"/>
      <c r="J28661" s="770"/>
    </row>
    <row r="28662" spans="8:10" x14ac:dyDescent="0.35">
      <c r="H28662" s="676"/>
      <c r="I28662" s="676"/>
      <c r="J28662" s="770"/>
    </row>
    <row r="28663" spans="8:10" x14ac:dyDescent="0.35">
      <c r="H28663" s="676"/>
      <c r="I28663" s="676"/>
      <c r="J28663" s="770"/>
    </row>
    <row r="28664" spans="8:10" x14ac:dyDescent="0.35">
      <c r="H28664" s="676"/>
      <c r="I28664" s="676"/>
      <c r="J28664" s="770"/>
    </row>
    <row r="28665" spans="8:10" x14ac:dyDescent="0.35">
      <c r="H28665" s="676"/>
      <c r="I28665" s="676"/>
      <c r="J28665" s="770"/>
    </row>
    <row r="28666" spans="8:10" x14ac:dyDescent="0.35">
      <c r="H28666" s="676"/>
      <c r="I28666" s="676"/>
      <c r="J28666" s="770"/>
    </row>
    <row r="28667" spans="8:10" x14ac:dyDescent="0.35">
      <c r="H28667" s="676"/>
      <c r="I28667" s="676"/>
      <c r="J28667" s="770"/>
    </row>
    <row r="28668" spans="8:10" x14ac:dyDescent="0.35">
      <c r="H28668" s="676"/>
      <c r="I28668" s="676"/>
      <c r="J28668" s="770"/>
    </row>
    <row r="28669" spans="8:10" x14ac:dyDescent="0.35">
      <c r="H28669" s="676"/>
      <c r="I28669" s="676"/>
      <c r="J28669" s="770"/>
    </row>
    <row r="28670" spans="8:10" x14ac:dyDescent="0.35">
      <c r="H28670" s="676"/>
      <c r="I28670" s="676"/>
      <c r="J28670" s="770"/>
    </row>
    <row r="28671" spans="8:10" x14ac:dyDescent="0.35">
      <c r="H28671" s="676"/>
      <c r="I28671" s="676"/>
      <c r="J28671" s="770"/>
    </row>
    <row r="28672" spans="8:10" x14ac:dyDescent="0.35">
      <c r="H28672" s="676"/>
      <c r="I28672" s="676"/>
      <c r="J28672" s="770"/>
    </row>
    <row r="28673" spans="8:10" x14ac:dyDescent="0.35">
      <c r="H28673" s="676"/>
      <c r="I28673" s="676"/>
      <c r="J28673" s="770"/>
    </row>
    <row r="28674" spans="8:10" x14ac:dyDescent="0.35">
      <c r="H28674" s="676"/>
      <c r="I28674" s="676"/>
      <c r="J28674" s="770"/>
    </row>
    <row r="28675" spans="8:10" x14ac:dyDescent="0.35">
      <c r="H28675" s="676"/>
      <c r="I28675" s="676"/>
      <c r="J28675" s="770"/>
    </row>
    <row r="28676" spans="8:10" x14ac:dyDescent="0.35">
      <c r="H28676" s="676"/>
      <c r="I28676" s="676"/>
      <c r="J28676" s="770"/>
    </row>
    <row r="28677" spans="8:10" x14ac:dyDescent="0.35">
      <c r="H28677" s="676"/>
      <c r="I28677" s="676"/>
      <c r="J28677" s="770"/>
    </row>
    <row r="28678" spans="8:10" x14ac:dyDescent="0.35">
      <c r="H28678" s="676"/>
      <c r="I28678" s="676"/>
      <c r="J28678" s="770"/>
    </row>
    <row r="28679" spans="8:10" x14ac:dyDescent="0.35">
      <c r="H28679" s="676"/>
      <c r="I28679" s="676"/>
      <c r="J28679" s="770"/>
    </row>
    <row r="28680" spans="8:10" x14ac:dyDescent="0.35">
      <c r="H28680" s="676"/>
      <c r="I28680" s="676"/>
      <c r="J28680" s="770"/>
    </row>
    <row r="28681" spans="8:10" x14ac:dyDescent="0.35">
      <c r="H28681" s="676"/>
      <c r="I28681" s="676"/>
      <c r="J28681" s="770"/>
    </row>
    <row r="28682" spans="8:10" x14ac:dyDescent="0.35">
      <c r="H28682" s="676"/>
      <c r="I28682" s="676"/>
      <c r="J28682" s="770"/>
    </row>
    <row r="28683" spans="8:10" x14ac:dyDescent="0.35">
      <c r="H28683" s="676"/>
      <c r="I28683" s="676"/>
      <c r="J28683" s="770"/>
    </row>
    <row r="28684" spans="8:10" x14ac:dyDescent="0.35">
      <c r="H28684" s="676"/>
      <c r="I28684" s="676"/>
      <c r="J28684" s="770"/>
    </row>
    <row r="28685" spans="8:10" x14ac:dyDescent="0.35">
      <c r="H28685" s="676"/>
      <c r="I28685" s="676"/>
      <c r="J28685" s="770"/>
    </row>
    <row r="28686" spans="8:10" x14ac:dyDescent="0.35">
      <c r="H28686" s="676"/>
      <c r="I28686" s="676"/>
      <c r="J28686" s="770"/>
    </row>
    <row r="28687" spans="8:10" x14ac:dyDescent="0.35">
      <c r="H28687" s="676"/>
      <c r="I28687" s="676"/>
      <c r="J28687" s="770"/>
    </row>
    <row r="28688" spans="8:10" x14ac:dyDescent="0.35">
      <c r="H28688" s="676"/>
      <c r="I28688" s="676"/>
      <c r="J28688" s="770"/>
    </row>
    <row r="28689" spans="8:10" x14ac:dyDescent="0.35">
      <c r="H28689" s="676"/>
      <c r="I28689" s="676"/>
      <c r="J28689" s="770"/>
    </row>
    <row r="28690" spans="8:10" x14ac:dyDescent="0.35">
      <c r="H28690" s="676"/>
      <c r="I28690" s="676"/>
      <c r="J28690" s="770"/>
    </row>
    <row r="28691" spans="8:10" x14ac:dyDescent="0.35">
      <c r="H28691" s="676"/>
      <c r="I28691" s="676"/>
      <c r="J28691" s="770"/>
    </row>
    <row r="28692" spans="8:10" x14ac:dyDescent="0.35">
      <c r="H28692" s="676"/>
      <c r="I28692" s="676"/>
      <c r="J28692" s="770"/>
    </row>
    <row r="28693" spans="8:10" x14ac:dyDescent="0.35">
      <c r="H28693" s="676"/>
      <c r="I28693" s="676"/>
      <c r="J28693" s="770"/>
    </row>
    <row r="28694" spans="8:10" x14ac:dyDescent="0.35">
      <c r="H28694" s="676"/>
      <c r="I28694" s="676"/>
      <c r="J28694" s="770"/>
    </row>
    <row r="28695" spans="8:10" x14ac:dyDescent="0.35">
      <c r="H28695" s="676"/>
      <c r="I28695" s="676"/>
      <c r="J28695" s="770"/>
    </row>
    <row r="28696" spans="8:10" x14ac:dyDescent="0.35">
      <c r="H28696" s="676"/>
      <c r="I28696" s="676"/>
      <c r="J28696" s="770"/>
    </row>
    <row r="28697" spans="8:10" x14ac:dyDescent="0.35">
      <c r="H28697" s="676"/>
      <c r="I28697" s="676"/>
      <c r="J28697" s="770"/>
    </row>
    <row r="28698" spans="8:10" x14ac:dyDescent="0.35">
      <c r="H28698" s="676"/>
      <c r="I28698" s="676"/>
      <c r="J28698" s="770"/>
    </row>
    <row r="28699" spans="8:10" x14ac:dyDescent="0.35">
      <c r="H28699" s="676"/>
      <c r="I28699" s="676"/>
      <c r="J28699" s="770"/>
    </row>
    <row r="28700" spans="8:10" x14ac:dyDescent="0.35">
      <c r="H28700" s="676"/>
      <c r="I28700" s="676"/>
      <c r="J28700" s="770"/>
    </row>
    <row r="28701" spans="8:10" x14ac:dyDescent="0.35">
      <c r="H28701" s="676"/>
      <c r="I28701" s="676"/>
      <c r="J28701" s="770"/>
    </row>
    <row r="28702" spans="8:10" x14ac:dyDescent="0.35">
      <c r="H28702" s="676"/>
      <c r="I28702" s="676"/>
      <c r="J28702" s="770"/>
    </row>
    <row r="28703" spans="8:10" x14ac:dyDescent="0.35">
      <c r="H28703" s="676"/>
      <c r="I28703" s="676"/>
      <c r="J28703" s="770"/>
    </row>
    <row r="28704" spans="8:10" x14ac:dyDescent="0.35">
      <c r="H28704" s="676"/>
      <c r="I28704" s="676"/>
      <c r="J28704" s="770"/>
    </row>
    <row r="28705" spans="8:10" x14ac:dyDescent="0.35">
      <c r="H28705" s="676"/>
      <c r="I28705" s="676"/>
      <c r="J28705" s="770"/>
    </row>
    <row r="28706" spans="8:10" x14ac:dyDescent="0.35">
      <c r="H28706" s="676"/>
      <c r="I28706" s="676"/>
      <c r="J28706" s="770"/>
    </row>
    <row r="28707" spans="8:10" x14ac:dyDescent="0.35">
      <c r="H28707" s="676"/>
      <c r="I28707" s="676"/>
      <c r="J28707" s="770"/>
    </row>
    <row r="28708" spans="8:10" x14ac:dyDescent="0.35">
      <c r="H28708" s="676"/>
      <c r="I28708" s="676"/>
      <c r="J28708" s="770"/>
    </row>
    <row r="28709" spans="8:10" x14ac:dyDescent="0.35">
      <c r="H28709" s="676"/>
      <c r="I28709" s="676"/>
      <c r="J28709" s="770"/>
    </row>
    <row r="28710" spans="8:10" x14ac:dyDescent="0.35">
      <c r="H28710" s="676"/>
      <c r="I28710" s="676"/>
      <c r="J28710" s="770"/>
    </row>
    <row r="28711" spans="8:10" x14ac:dyDescent="0.35">
      <c r="H28711" s="676"/>
      <c r="I28711" s="676"/>
      <c r="J28711" s="770"/>
    </row>
    <row r="28712" spans="8:10" x14ac:dyDescent="0.35">
      <c r="H28712" s="676"/>
      <c r="I28712" s="676"/>
      <c r="J28712" s="770"/>
    </row>
    <row r="28713" spans="8:10" x14ac:dyDescent="0.35">
      <c r="H28713" s="676"/>
      <c r="I28713" s="676"/>
      <c r="J28713" s="770"/>
    </row>
    <row r="28714" spans="8:10" x14ac:dyDescent="0.35">
      <c r="H28714" s="676"/>
      <c r="I28714" s="676"/>
      <c r="J28714" s="770"/>
    </row>
    <row r="28715" spans="8:10" x14ac:dyDescent="0.35">
      <c r="H28715" s="676"/>
      <c r="I28715" s="676"/>
      <c r="J28715" s="770"/>
    </row>
    <row r="28716" spans="8:10" x14ac:dyDescent="0.35">
      <c r="H28716" s="676"/>
      <c r="I28716" s="676"/>
      <c r="J28716" s="770"/>
    </row>
    <row r="28717" spans="8:10" x14ac:dyDescent="0.35">
      <c r="H28717" s="676"/>
      <c r="I28717" s="676"/>
      <c r="J28717" s="770"/>
    </row>
    <row r="28718" spans="8:10" x14ac:dyDescent="0.35">
      <c r="H28718" s="676"/>
      <c r="I28718" s="676"/>
      <c r="J28718" s="770"/>
    </row>
    <row r="28719" spans="8:10" x14ac:dyDescent="0.35">
      <c r="H28719" s="676"/>
      <c r="I28719" s="676"/>
      <c r="J28719" s="770"/>
    </row>
    <row r="28720" spans="8:10" x14ac:dyDescent="0.35">
      <c r="H28720" s="676"/>
      <c r="I28720" s="676"/>
      <c r="J28720" s="770"/>
    </row>
    <row r="28721" spans="8:10" x14ac:dyDescent="0.35">
      <c r="H28721" s="676"/>
      <c r="I28721" s="676"/>
      <c r="J28721" s="770"/>
    </row>
    <row r="28722" spans="8:10" x14ac:dyDescent="0.35">
      <c r="H28722" s="676"/>
      <c r="I28722" s="676"/>
      <c r="J28722" s="770"/>
    </row>
    <row r="28723" spans="8:10" x14ac:dyDescent="0.35">
      <c r="H28723" s="676"/>
      <c r="I28723" s="676"/>
      <c r="J28723" s="770"/>
    </row>
    <row r="28724" spans="8:10" x14ac:dyDescent="0.35">
      <c r="H28724" s="676"/>
      <c r="I28724" s="676"/>
      <c r="J28724" s="770"/>
    </row>
    <row r="28725" spans="8:10" x14ac:dyDescent="0.35">
      <c r="H28725" s="676"/>
      <c r="I28725" s="676"/>
      <c r="J28725" s="770"/>
    </row>
    <row r="28726" spans="8:10" x14ac:dyDescent="0.35">
      <c r="H28726" s="676"/>
      <c r="I28726" s="676"/>
      <c r="J28726" s="770"/>
    </row>
    <row r="28727" spans="8:10" x14ac:dyDescent="0.35">
      <c r="H28727" s="676"/>
      <c r="I28727" s="676"/>
      <c r="J28727" s="770"/>
    </row>
    <row r="28728" spans="8:10" x14ac:dyDescent="0.35">
      <c r="H28728" s="676"/>
      <c r="I28728" s="676"/>
      <c r="J28728" s="770"/>
    </row>
    <row r="28729" spans="8:10" x14ac:dyDescent="0.35">
      <c r="H28729" s="676"/>
      <c r="I28729" s="676"/>
      <c r="J28729" s="770"/>
    </row>
    <row r="28730" spans="8:10" x14ac:dyDescent="0.35">
      <c r="H28730" s="676"/>
      <c r="I28730" s="676"/>
      <c r="J28730" s="770"/>
    </row>
    <row r="28731" spans="8:10" x14ac:dyDescent="0.35">
      <c r="H28731" s="676"/>
      <c r="I28731" s="676"/>
      <c r="J28731" s="770"/>
    </row>
    <row r="28732" spans="8:10" x14ac:dyDescent="0.35">
      <c r="H28732" s="676"/>
      <c r="I28732" s="676"/>
      <c r="J28732" s="770"/>
    </row>
    <row r="28733" spans="8:10" x14ac:dyDescent="0.35">
      <c r="H28733" s="676"/>
      <c r="I28733" s="676"/>
      <c r="J28733" s="770"/>
    </row>
    <row r="28734" spans="8:10" x14ac:dyDescent="0.35">
      <c r="H28734" s="676"/>
      <c r="I28734" s="676"/>
      <c r="J28734" s="770"/>
    </row>
    <row r="28735" spans="8:10" x14ac:dyDescent="0.35">
      <c r="H28735" s="676"/>
      <c r="I28735" s="676"/>
      <c r="J28735" s="770"/>
    </row>
    <row r="28736" spans="8:10" x14ac:dyDescent="0.35">
      <c r="H28736" s="676"/>
      <c r="I28736" s="676"/>
      <c r="J28736" s="770"/>
    </row>
    <row r="28737" spans="8:10" x14ac:dyDescent="0.35">
      <c r="H28737" s="676"/>
      <c r="I28737" s="676"/>
      <c r="J28737" s="770"/>
    </row>
    <row r="28738" spans="8:10" x14ac:dyDescent="0.35">
      <c r="H28738" s="676"/>
      <c r="I28738" s="676"/>
      <c r="J28738" s="770"/>
    </row>
    <row r="28739" spans="8:10" x14ac:dyDescent="0.35">
      <c r="H28739" s="676"/>
      <c r="I28739" s="676"/>
      <c r="J28739" s="770"/>
    </row>
    <row r="28740" spans="8:10" x14ac:dyDescent="0.35">
      <c r="H28740" s="676"/>
      <c r="I28740" s="676"/>
      <c r="J28740" s="770"/>
    </row>
    <row r="28741" spans="8:10" x14ac:dyDescent="0.35">
      <c r="H28741" s="676"/>
      <c r="I28741" s="676"/>
      <c r="J28741" s="770"/>
    </row>
    <row r="28742" spans="8:10" x14ac:dyDescent="0.35">
      <c r="H28742" s="676"/>
      <c r="I28742" s="676"/>
      <c r="J28742" s="770"/>
    </row>
    <row r="28743" spans="8:10" x14ac:dyDescent="0.35">
      <c r="H28743" s="676"/>
      <c r="I28743" s="676"/>
      <c r="J28743" s="770"/>
    </row>
    <row r="28744" spans="8:10" x14ac:dyDescent="0.35">
      <c r="H28744" s="676"/>
      <c r="I28744" s="676"/>
      <c r="J28744" s="770"/>
    </row>
    <row r="28745" spans="8:10" x14ac:dyDescent="0.35">
      <c r="H28745" s="676"/>
      <c r="I28745" s="676"/>
      <c r="J28745" s="770"/>
    </row>
    <row r="28746" spans="8:10" x14ac:dyDescent="0.35">
      <c r="H28746" s="676"/>
      <c r="I28746" s="676"/>
      <c r="J28746" s="770"/>
    </row>
    <row r="28747" spans="8:10" x14ac:dyDescent="0.35">
      <c r="H28747" s="676"/>
      <c r="I28747" s="676"/>
      <c r="J28747" s="770"/>
    </row>
    <row r="28748" spans="8:10" x14ac:dyDescent="0.35">
      <c r="H28748" s="676"/>
      <c r="I28748" s="676"/>
      <c r="J28748" s="770"/>
    </row>
    <row r="28749" spans="8:10" x14ac:dyDescent="0.35">
      <c r="H28749" s="676"/>
      <c r="I28749" s="676"/>
      <c r="J28749" s="770"/>
    </row>
    <row r="28750" spans="8:10" x14ac:dyDescent="0.35">
      <c r="H28750" s="676"/>
      <c r="I28750" s="676"/>
      <c r="J28750" s="770"/>
    </row>
    <row r="28751" spans="8:10" x14ac:dyDescent="0.35">
      <c r="H28751" s="676"/>
      <c r="I28751" s="676"/>
      <c r="J28751" s="770"/>
    </row>
    <row r="28752" spans="8:10" x14ac:dyDescent="0.35">
      <c r="H28752" s="676"/>
      <c r="I28752" s="676"/>
      <c r="J28752" s="770"/>
    </row>
    <row r="28753" spans="8:10" x14ac:dyDescent="0.35">
      <c r="H28753" s="676"/>
      <c r="I28753" s="676"/>
      <c r="J28753" s="770"/>
    </row>
    <row r="28754" spans="8:10" x14ac:dyDescent="0.35">
      <c r="H28754" s="676"/>
      <c r="I28754" s="676"/>
      <c r="J28754" s="770"/>
    </row>
    <row r="28755" spans="8:10" x14ac:dyDescent="0.35">
      <c r="H28755" s="676"/>
      <c r="I28755" s="676"/>
      <c r="J28755" s="770"/>
    </row>
    <row r="28756" spans="8:10" x14ac:dyDescent="0.35">
      <c r="H28756" s="676"/>
      <c r="I28756" s="676"/>
      <c r="J28756" s="770"/>
    </row>
    <row r="28757" spans="8:10" x14ac:dyDescent="0.35">
      <c r="H28757" s="676"/>
      <c r="I28757" s="676"/>
      <c r="J28757" s="770"/>
    </row>
    <row r="28758" spans="8:10" x14ac:dyDescent="0.35">
      <c r="H28758" s="676"/>
      <c r="I28758" s="676"/>
      <c r="J28758" s="770"/>
    </row>
    <row r="28759" spans="8:10" x14ac:dyDescent="0.35">
      <c r="H28759" s="676"/>
      <c r="I28759" s="676"/>
      <c r="J28759" s="770"/>
    </row>
    <row r="28760" spans="8:10" x14ac:dyDescent="0.35">
      <c r="H28760" s="676"/>
      <c r="I28760" s="676"/>
      <c r="J28760" s="770"/>
    </row>
    <row r="28761" spans="8:10" x14ac:dyDescent="0.35">
      <c r="H28761" s="676"/>
      <c r="I28761" s="676"/>
      <c r="J28761" s="770"/>
    </row>
    <row r="28762" spans="8:10" x14ac:dyDescent="0.35">
      <c r="H28762" s="676"/>
      <c r="I28762" s="676"/>
      <c r="J28762" s="770"/>
    </row>
    <row r="28763" spans="8:10" x14ac:dyDescent="0.35">
      <c r="H28763" s="676"/>
      <c r="I28763" s="676"/>
      <c r="J28763" s="770"/>
    </row>
    <row r="28764" spans="8:10" x14ac:dyDescent="0.35">
      <c r="H28764" s="676"/>
      <c r="I28764" s="676"/>
      <c r="J28764" s="770"/>
    </row>
    <row r="28765" spans="8:10" x14ac:dyDescent="0.35">
      <c r="H28765" s="676"/>
      <c r="I28765" s="676"/>
      <c r="J28765" s="770"/>
    </row>
    <row r="28766" spans="8:10" x14ac:dyDescent="0.35">
      <c r="H28766" s="676"/>
      <c r="I28766" s="676"/>
      <c r="J28766" s="770"/>
    </row>
    <row r="28767" spans="8:10" x14ac:dyDescent="0.35">
      <c r="H28767" s="676"/>
      <c r="I28767" s="676"/>
      <c r="J28767" s="770"/>
    </row>
    <row r="28768" spans="8:10" x14ac:dyDescent="0.35">
      <c r="H28768" s="676"/>
      <c r="I28768" s="676"/>
      <c r="J28768" s="770"/>
    </row>
    <row r="28769" spans="8:10" x14ac:dyDescent="0.35">
      <c r="H28769" s="676"/>
      <c r="I28769" s="676"/>
      <c r="J28769" s="770"/>
    </row>
    <row r="28770" spans="8:10" x14ac:dyDescent="0.35">
      <c r="H28770" s="676"/>
      <c r="I28770" s="676"/>
      <c r="J28770" s="770"/>
    </row>
    <row r="28771" spans="8:10" x14ac:dyDescent="0.35">
      <c r="H28771" s="676"/>
      <c r="I28771" s="676"/>
      <c r="J28771" s="770"/>
    </row>
    <row r="28772" spans="8:10" x14ac:dyDescent="0.35">
      <c r="H28772" s="676"/>
      <c r="I28772" s="676"/>
      <c r="J28772" s="770"/>
    </row>
    <row r="28773" spans="8:10" x14ac:dyDescent="0.35">
      <c r="H28773" s="676"/>
      <c r="I28773" s="676"/>
      <c r="J28773" s="770"/>
    </row>
    <row r="28774" spans="8:10" x14ac:dyDescent="0.35">
      <c r="H28774" s="676"/>
      <c r="I28774" s="676"/>
      <c r="J28774" s="770"/>
    </row>
    <row r="28775" spans="8:10" x14ac:dyDescent="0.35">
      <c r="H28775" s="676"/>
      <c r="I28775" s="676"/>
      <c r="J28775" s="770"/>
    </row>
    <row r="28776" spans="8:10" x14ac:dyDescent="0.35">
      <c r="H28776" s="676"/>
      <c r="I28776" s="676"/>
      <c r="J28776" s="770"/>
    </row>
    <row r="28777" spans="8:10" x14ac:dyDescent="0.35">
      <c r="H28777" s="676"/>
      <c r="I28777" s="676"/>
      <c r="J28777" s="770"/>
    </row>
    <row r="28778" spans="8:10" x14ac:dyDescent="0.35">
      <c r="H28778" s="676"/>
      <c r="I28778" s="676"/>
      <c r="J28778" s="770"/>
    </row>
    <row r="28779" spans="8:10" x14ac:dyDescent="0.35">
      <c r="H28779" s="676"/>
      <c r="I28779" s="676"/>
      <c r="J28779" s="770"/>
    </row>
    <row r="28780" spans="8:10" x14ac:dyDescent="0.35">
      <c r="H28780" s="676"/>
      <c r="I28780" s="676"/>
      <c r="J28780" s="770"/>
    </row>
    <row r="28781" spans="8:10" x14ac:dyDescent="0.35">
      <c r="H28781" s="676"/>
      <c r="I28781" s="676"/>
      <c r="J28781" s="770"/>
    </row>
    <row r="28782" spans="8:10" x14ac:dyDescent="0.35">
      <c r="H28782" s="676"/>
      <c r="I28782" s="676"/>
      <c r="J28782" s="770"/>
    </row>
    <row r="28783" spans="8:10" x14ac:dyDescent="0.35">
      <c r="H28783" s="676"/>
      <c r="I28783" s="676"/>
      <c r="J28783" s="770"/>
    </row>
    <row r="28784" spans="8:10" x14ac:dyDescent="0.35">
      <c r="H28784" s="676"/>
      <c r="I28784" s="676"/>
      <c r="J28784" s="770"/>
    </row>
    <row r="28785" spans="8:10" x14ac:dyDescent="0.35">
      <c r="H28785" s="676"/>
      <c r="I28785" s="676"/>
      <c r="J28785" s="770"/>
    </row>
    <row r="28786" spans="8:10" x14ac:dyDescent="0.35">
      <c r="H28786" s="676"/>
      <c r="I28786" s="676"/>
      <c r="J28786" s="770"/>
    </row>
    <row r="28787" spans="8:10" x14ac:dyDescent="0.35">
      <c r="H28787" s="676"/>
      <c r="I28787" s="676"/>
      <c r="J28787" s="770"/>
    </row>
    <row r="28788" spans="8:10" x14ac:dyDescent="0.35">
      <c r="H28788" s="676"/>
      <c r="I28788" s="676"/>
      <c r="J28788" s="770"/>
    </row>
    <row r="28789" spans="8:10" x14ac:dyDescent="0.35">
      <c r="H28789" s="676"/>
      <c r="I28789" s="676"/>
      <c r="J28789" s="770"/>
    </row>
    <row r="28790" spans="8:10" x14ac:dyDescent="0.35">
      <c r="H28790" s="676"/>
      <c r="I28790" s="676"/>
      <c r="J28790" s="770"/>
    </row>
    <row r="28791" spans="8:10" x14ac:dyDescent="0.35">
      <c r="H28791" s="676"/>
      <c r="I28791" s="676"/>
      <c r="J28791" s="770"/>
    </row>
    <row r="28792" spans="8:10" x14ac:dyDescent="0.35">
      <c r="H28792" s="676"/>
      <c r="I28792" s="676"/>
      <c r="J28792" s="770"/>
    </row>
    <row r="28793" spans="8:10" x14ac:dyDescent="0.35">
      <c r="H28793" s="676"/>
      <c r="I28793" s="676"/>
      <c r="J28793" s="770"/>
    </row>
    <row r="28794" spans="8:10" x14ac:dyDescent="0.35">
      <c r="H28794" s="676"/>
      <c r="I28794" s="676"/>
      <c r="J28794" s="770"/>
    </row>
    <row r="28795" spans="8:10" x14ac:dyDescent="0.35">
      <c r="H28795" s="676"/>
      <c r="I28795" s="676"/>
      <c r="J28795" s="770"/>
    </row>
    <row r="28796" spans="8:10" x14ac:dyDescent="0.35">
      <c r="H28796" s="676"/>
      <c r="I28796" s="676"/>
      <c r="J28796" s="770"/>
    </row>
    <row r="28797" spans="8:10" x14ac:dyDescent="0.35">
      <c r="H28797" s="676"/>
      <c r="I28797" s="676"/>
      <c r="J28797" s="770"/>
    </row>
    <row r="28798" spans="8:10" x14ac:dyDescent="0.35">
      <c r="H28798" s="676"/>
      <c r="I28798" s="676"/>
      <c r="J28798" s="770"/>
    </row>
    <row r="28799" spans="8:10" x14ac:dyDescent="0.35">
      <c r="H28799" s="676"/>
      <c r="I28799" s="676"/>
      <c r="J28799" s="770"/>
    </row>
    <row r="28800" spans="8:10" x14ac:dyDescent="0.35">
      <c r="H28800" s="676"/>
      <c r="I28800" s="676"/>
      <c r="J28800" s="770"/>
    </row>
    <row r="28801" spans="8:10" x14ac:dyDescent="0.35">
      <c r="H28801" s="676"/>
      <c r="I28801" s="676"/>
      <c r="J28801" s="770"/>
    </row>
    <row r="28802" spans="8:10" x14ac:dyDescent="0.35">
      <c r="H28802" s="676"/>
      <c r="I28802" s="676"/>
      <c r="J28802" s="770"/>
    </row>
    <row r="28803" spans="8:10" x14ac:dyDescent="0.35">
      <c r="H28803" s="676"/>
      <c r="I28803" s="676"/>
      <c r="J28803" s="770"/>
    </row>
    <row r="28804" spans="8:10" x14ac:dyDescent="0.35">
      <c r="H28804" s="676"/>
      <c r="I28804" s="676"/>
      <c r="J28804" s="770"/>
    </row>
    <row r="28805" spans="8:10" x14ac:dyDescent="0.35">
      <c r="H28805" s="676"/>
      <c r="I28805" s="676"/>
      <c r="J28805" s="770"/>
    </row>
    <row r="28806" spans="8:10" x14ac:dyDescent="0.35">
      <c r="H28806" s="676"/>
      <c r="I28806" s="676"/>
      <c r="J28806" s="770"/>
    </row>
    <row r="28807" spans="8:10" x14ac:dyDescent="0.35">
      <c r="H28807" s="676"/>
      <c r="I28807" s="676"/>
      <c r="J28807" s="770"/>
    </row>
    <row r="28808" spans="8:10" x14ac:dyDescent="0.35">
      <c r="H28808" s="676"/>
      <c r="I28808" s="676"/>
      <c r="J28808" s="770"/>
    </row>
    <row r="28809" spans="8:10" x14ac:dyDescent="0.35">
      <c r="H28809" s="676"/>
      <c r="I28809" s="676"/>
      <c r="J28809" s="770"/>
    </row>
    <row r="28810" spans="8:10" x14ac:dyDescent="0.35">
      <c r="H28810" s="676"/>
      <c r="I28810" s="676"/>
      <c r="J28810" s="770"/>
    </row>
    <row r="28811" spans="8:10" x14ac:dyDescent="0.35">
      <c r="H28811" s="676"/>
      <c r="I28811" s="676"/>
      <c r="J28811" s="770"/>
    </row>
    <row r="28812" spans="8:10" x14ac:dyDescent="0.35">
      <c r="H28812" s="676"/>
      <c r="I28812" s="676"/>
      <c r="J28812" s="770"/>
    </row>
    <row r="28813" spans="8:10" x14ac:dyDescent="0.35">
      <c r="H28813" s="676"/>
      <c r="I28813" s="676"/>
      <c r="J28813" s="770"/>
    </row>
    <row r="28814" spans="8:10" x14ac:dyDescent="0.35">
      <c r="H28814" s="676"/>
      <c r="I28814" s="676"/>
      <c r="J28814" s="770"/>
    </row>
    <row r="28815" spans="8:10" x14ac:dyDescent="0.35">
      <c r="H28815" s="676"/>
      <c r="I28815" s="676"/>
      <c r="J28815" s="770"/>
    </row>
    <row r="28816" spans="8:10" x14ac:dyDescent="0.35">
      <c r="H28816" s="676"/>
      <c r="I28816" s="676"/>
      <c r="J28816" s="770"/>
    </row>
    <row r="28817" spans="8:10" x14ac:dyDescent="0.35">
      <c r="H28817" s="676"/>
      <c r="I28817" s="676"/>
      <c r="J28817" s="770"/>
    </row>
    <row r="28818" spans="8:10" x14ac:dyDescent="0.35">
      <c r="H28818" s="676"/>
      <c r="I28818" s="676"/>
      <c r="J28818" s="770"/>
    </row>
    <row r="28819" spans="8:10" x14ac:dyDescent="0.35">
      <c r="H28819" s="676"/>
      <c r="I28819" s="676"/>
      <c r="J28819" s="770"/>
    </row>
    <row r="28820" spans="8:10" x14ac:dyDescent="0.35">
      <c r="H28820" s="676"/>
      <c r="I28820" s="676"/>
      <c r="J28820" s="770"/>
    </row>
    <row r="28821" spans="8:10" x14ac:dyDescent="0.35">
      <c r="H28821" s="676"/>
      <c r="I28821" s="676"/>
      <c r="J28821" s="770"/>
    </row>
    <row r="28822" spans="8:10" x14ac:dyDescent="0.35">
      <c r="H28822" s="676"/>
      <c r="I28822" s="676"/>
      <c r="J28822" s="770"/>
    </row>
    <row r="28823" spans="8:10" x14ac:dyDescent="0.35">
      <c r="H28823" s="676"/>
      <c r="I28823" s="676"/>
      <c r="J28823" s="770"/>
    </row>
    <row r="28824" spans="8:10" x14ac:dyDescent="0.35">
      <c r="H28824" s="676"/>
      <c r="I28824" s="676"/>
      <c r="J28824" s="770"/>
    </row>
    <row r="28825" spans="8:10" x14ac:dyDescent="0.35">
      <c r="H28825" s="676"/>
      <c r="I28825" s="676"/>
      <c r="J28825" s="770"/>
    </row>
    <row r="28826" spans="8:10" x14ac:dyDescent="0.35">
      <c r="H28826" s="676"/>
      <c r="I28826" s="676"/>
      <c r="J28826" s="770"/>
    </row>
    <row r="28827" spans="8:10" x14ac:dyDescent="0.35">
      <c r="H28827" s="676"/>
      <c r="I28827" s="676"/>
      <c r="J28827" s="770"/>
    </row>
    <row r="28828" spans="8:10" x14ac:dyDescent="0.35">
      <c r="H28828" s="676"/>
      <c r="I28828" s="676"/>
      <c r="J28828" s="770"/>
    </row>
    <row r="28829" spans="8:10" x14ac:dyDescent="0.35">
      <c r="H28829" s="676"/>
      <c r="I28829" s="676"/>
      <c r="J28829" s="770"/>
    </row>
    <row r="28830" spans="8:10" x14ac:dyDescent="0.35">
      <c r="H28830" s="676"/>
      <c r="I28830" s="676"/>
      <c r="J28830" s="770"/>
    </row>
    <row r="28831" spans="8:10" x14ac:dyDescent="0.35">
      <c r="H28831" s="676"/>
      <c r="I28831" s="676"/>
      <c r="J28831" s="770"/>
    </row>
    <row r="28832" spans="8:10" x14ac:dyDescent="0.35">
      <c r="H28832" s="676"/>
      <c r="I28832" s="676"/>
      <c r="J28832" s="770"/>
    </row>
    <row r="28833" spans="8:10" x14ac:dyDescent="0.35">
      <c r="H28833" s="676"/>
      <c r="I28833" s="676"/>
      <c r="J28833" s="770"/>
    </row>
    <row r="28834" spans="8:10" x14ac:dyDescent="0.35">
      <c r="H28834" s="676"/>
      <c r="I28834" s="676"/>
      <c r="J28834" s="770"/>
    </row>
    <row r="28835" spans="8:10" x14ac:dyDescent="0.35">
      <c r="H28835" s="676"/>
      <c r="I28835" s="676"/>
      <c r="J28835" s="770"/>
    </row>
    <row r="28836" spans="8:10" x14ac:dyDescent="0.35">
      <c r="H28836" s="676"/>
      <c r="I28836" s="676"/>
      <c r="J28836" s="770"/>
    </row>
    <row r="28837" spans="8:10" x14ac:dyDescent="0.35">
      <c r="H28837" s="676"/>
      <c r="I28837" s="676"/>
      <c r="J28837" s="770"/>
    </row>
    <row r="28838" spans="8:10" x14ac:dyDescent="0.35">
      <c r="H28838" s="676"/>
      <c r="I28838" s="676"/>
      <c r="J28838" s="770"/>
    </row>
    <row r="28839" spans="8:10" x14ac:dyDescent="0.35">
      <c r="H28839" s="676"/>
      <c r="I28839" s="676"/>
      <c r="J28839" s="770"/>
    </row>
    <row r="28840" spans="8:10" x14ac:dyDescent="0.35">
      <c r="H28840" s="676"/>
      <c r="I28840" s="676"/>
      <c r="J28840" s="770"/>
    </row>
    <row r="28841" spans="8:10" x14ac:dyDescent="0.35">
      <c r="H28841" s="676"/>
      <c r="I28841" s="676"/>
      <c r="J28841" s="770"/>
    </row>
    <row r="28842" spans="8:10" x14ac:dyDescent="0.35">
      <c r="H28842" s="676"/>
      <c r="I28842" s="676"/>
      <c r="J28842" s="770"/>
    </row>
    <row r="28843" spans="8:10" x14ac:dyDescent="0.35">
      <c r="H28843" s="676"/>
      <c r="I28843" s="676"/>
      <c r="J28843" s="770"/>
    </row>
    <row r="28844" spans="8:10" x14ac:dyDescent="0.35">
      <c r="H28844" s="676"/>
      <c r="I28844" s="676"/>
      <c r="J28844" s="770"/>
    </row>
    <row r="28845" spans="8:10" x14ac:dyDescent="0.35">
      <c r="H28845" s="676"/>
      <c r="I28845" s="676"/>
      <c r="J28845" s="770"/>
    </row>
    <row r="28846" spans="8:10" x14ac:dyDescent="0.35">
      <c r="H28846" s="676"/>
      <c r="I28846" s="676"/>
      <c r="J28846" s="770"/>
    </row>
    <row r="28847" spans="8:10" x14ac:dyDescent="0.35">
      <c r="H28847" s="676"/>
      <c r="I28847" s="676"/>
      <c r="J28847" s="770"/>
    </row>
    <row r="28848" spans="8:10" x14ac:dyDescent="0.35">
      <c r="H28848" s="676"/>
      <c r="I28848" s="676"/>
      <c r="J28848" s="770"/>
    </row>
    <row r="28849" spans="8:10" x14ac:dyDescent="0.35">
      <c r="H28849" s="676"/>
      <c r="I28849" s="676"/>
      <c r="J28849" s="770"/>
    </row>
    <row r="28850" spans="8:10" x14ac:dyDescent="0.35">
      <c r="H28850" s="676"/>
      <c r="I28850" s="676"/>
      <c r="J28850" s="770"/>
    </row>
    <row r="28851" spans="8:10" x14ac:dyDescent="0.35">
      <c r="H28851" s="676"/>
      <c r="I28851" s="676"/>
      <c r="J28851" s="770"/>
    </row>
    <row r="28852" spans="8:10" x14ac:dyDescent="0.35">
      <c r="H28852" s="676"/>
      <c r="I28852" s="676"/>
      <c r="J28852" s="770"/>
    </row>
    <row r="28853" spans="8:10" x14ac:dyDescent="0.35">
      <c r="H28853" s="676"/>
      <c r="I28853" s="676"/>
      <c r="J28853" s="770"/>
    </row>
    <row r="28854" spans="8:10" x14ac:dyDescent="0.35">
      <c r="H28854" s="676"/>
      <c r="I28854" s="676"/>
      <c r="J28854" s="770"/>
    </row>
    <row r="28855" spans="8:10" x14ac:dyDescent="0.35">
      <c r="H28855" s="676"/>
      <c r="I28855" s="676"/>
      <c r="J28855" s="770"/>
    </row>
    <row r="28856" spans="8:10" x14ac:dyDescent="0.35">
      <c r="H28856" s="676"/>
      <c r="I28856" s="676"/>
      <c r="J28856" s="770"/>
    </row>
    <row r="28857" spans="8:10" x14ac:dyDescent="0.35">
      <c r="H28857" s="676"/>
      <c r="I28857" s="676"/>
      <c r="J28857" s="770"/>
    </row>
    <row r="28858" spans="8:10" x14ac:dyDescent="0.35">
      <c r="H28858" s="676"/>
      <c r="I28858" s="676"/>
      <c r="J28858" s="770"/>
    </row>
    <row r="28859" spans="8:10" x14ac:dyDescent="0.35">
      <c r="H28859" s="676"/>
      <c r="I28859" s="676"/>
      <c r="J28859" s="770"/>
    </row>
    <row r="28860" spans="8:10" x14ac:dyDescent="0.35">
      <c r="H28860" s="676"/>
      <c r="I28860" s="676"/>
      <c r="J28860" s="770"/>
    </row>
    <row r="28861" spans="8:10" x14ac:dyDescent="0.35">
      <c r="H28861" s="676"/>
      <c r="I28861" s="676"/>
      <c r="J28861" s="770"/>
    </row>
    <row r="28862" spans="8:10" x14ac:dyDescent="0.35">
      <c r="H28862" s="676"/>
      <c r="I28862" s="676"/>
      <c r="J28862" s="770"/>
    </row>
    <row r="28863" spans="8:10" x14ac:dyDescent="0.35">
      <c r="H28863" s="676"/>
      <c r="I28863" s="676"/>
      <c r="J28863" s="770"/>
    </row>
    <row r="28864" spans="8:10" x14ac:dyDescent="0.35">
      <c r="H28864" s="676"/>
      <c r="I28864" s="676"/>
      <c r="J28864" s="770"/>
    </row>
    <row r="28865" spans="8:10" x14ac:dyDescent="0.35">
      <c r="H28865" s="676"/>
      <c r="I28865" s="676"/>
      <c r="J28865" s="770"/>
    </row>
    <row r="28866" spans="8:10" x14ac:dyDescent="0.35">
      <c r="H28866" s="676"/>
      <c r="I28866" s="676"/>
      <c r="J28866" s="770"/>
    </row>
    <row r="28867" spans="8:10" x14ac:dyDescent="0.35">
      <c r="H28867" s="676"/>
      <c r="I28867" s="676"/>
      <c r="J28867" s="770"/>
    </row>
    <row r="28868" spans="8:10" x14ac:dyDescent="0.35">
      <c r="H28868" s="676"/>
      <c r="I28868" s="676"/>
      <c r="J28868" s="770"/>
    </row>
    <row r="28869" spans="8:10" x14ac:dyDescent="0.35">
      <c r="H28869" s="676"/>
      <c r="I28869" s="676"/>
      <c r="J28869" s="770"/>
    </row>
    <row r="28870" spans="8:10" x14ac:dyDescent="0.35">
      <c r="H28870" s="676"/>
      <c r="I28870" s="676"/>
      <c r="J28870" s="770"/>
    </row>
    <row r="28871" spans="8:10" x14ac:dyDescent="0.35">
      <c r="H28871" s="676"/>
      <c r="I28871" s="676"/>
      <c r="J28871" s="770"/>
    </row>
    <row r="28872" spans="8:10" x14ac:dyDescent="0.35">
      <c r="H28872" s="676"/>
      <c r="I28872" s="676"/>
      <c r="J28872" s="770"/>
    </row>
    <row r="28873" spans="8:10" x14ac:dyDescent="0.35">
      <c r="H28873" s="676"/>
      <c r="I28873" s="676"/>
      <c r="J28873" s="770"/>
    </row>
    <row r="28874" spans="8:10" x14ac:dyDescent="0.35">
      <c r="H28874" s="676"/>
      <c r="I28874" s="676"/>
      <c r="J28874" s="770"/>
    </row>
    <row r="28875" spans="8:10" x14ac:dyDescent="0.35">
      <c r="H28875" s="676"/>
      <c r="I28875" s="676"/>
      <c r="J28875" s="770"/>
    </row>
    <row r="28876" spans="8:10" x14ac:dyDescent="0.35">
      <c r="H28876" s="676"/>
      <c r="I28876" s="676"/>
      <c r="J28876" s="770"/>
    </row>
    <row r="28877" spans="8:10" x14ac:dyDescent="0.35">
      <c r="H28877" s="676"/>
      <c r="I28877" s="676"/>
      <c r="J28877" s="770"/>
    </row>
    <row r="28878" spans="8:10" x14ac:dyDescent="0.35">
      <c r="H28878" s="676"/>
      <c r="I28878" s="676"/>
      <c r="J28878" s="770"/>
    </row>
    <row r="28879" spans="8:10" x14ac:dyDescent="0.35">
      <c r="H28879" s="676"/>
      <c r="I28879" s="676"/>
      <c r="J28879" s="770"/>
    </row>
    <row r="28880" spans="8:10" x14ac:dyDescent="0.35">
      <c r="H28880" s="676"/>
      <c r="I28880" s="676"/>
      <c r="J28880" s="770"/>
    </row>
    <row r="28881" spans="8:10" x14ac:dyDescent="0.35">
      <c r="H28881" s="676"/>
      <c r="I28881" s="676"/>
      <c r="J28881" s="770"/>
    </row>
    <row r="28882" spans="8:10" x14ac:dyDescent="0.35">
      <c r="H28882" s="676"/>
      <c r="I28882" s="676"/>
      <c r="J28882" s="770"/>
    </row>
    <row r="28883" spans="8:10" x14ac:dyDescent="0.35">
      <c r="H28883" s="676"/>
      <c r="I28883" s="676"/>
      <c r="J28883" s="770"/>
    </row>
    <row r="28884" spans="8:10" x14ac:dyDescent="0.35">
      <c r="H28884" s="676"/>
      <c r="I28884" s="676"/>
      <c r="J28884" s="770"/>
    </row>
    <row r="28885" spans="8:10" x14ac:dyDescent="0.35">
      <c r="H28885" s="676"/>
      <c r="I28885" s="676"/>
      <c r="J28885" s="770"/>
    </row>
    <row r="28886" spans="8:10" x14ac:dyDescent="0.35">
      <c r="H28886" s="676"/>
      <c r="I28886" s="676"/>
      <c r="J28886" s="770"/>
    </row>
    <row r="28887" spans="8:10" x14ac:dyDescent="0.35">
      <c r="H28887" s="676"/>
      <c r="I28887" s="676"/>
      <c r="J28887" s="770"/>
    </row>
    <row r="28888" spans="8:10" x14ac:dyDescent="0.35">
      <c r="H28888" s="676"/>
      <c r="I28888" s="676"/>
      <c r="J28888" s="770"/>
    </row>
    <row r="28889" spans="8:10" x14ac:dyDescent="0.35">
      <c r="H28889" s="676"/>
      <c r="I28889" s="676"/>
      <c r="J28889" s="770"/>
    </row>
    <row r="28890" spans="8:10" x14ac:dyDescent="0.35">
      <c r="H28890" s="676"/>
      <c r="I28890" s="676"/>
      <c r="J28890" s="770"/>
    </row>
    <row r="28891" spans="8:10" x14ac:dyDescent="0.35">
      <c r="H28891" s="676"/>
      <c r="I28891" s="676"/>
      <c r="J28891" s="770"/>
    </row>
    <row r="28892" spans="8:10" x14ac:dyDescent="0.35">
      <c r="H28892" s="676"/>
      <c r="I28892" s="676"/>
      <c r="J28892" s="770"/>
    </row>
    <row r="28893" spans="8:10" x14ac:dyDescent="0.35">
      <c r="H28893" s="676"/>
      <c r="I28893" s="676"/>
      <c r="J28893" s="770"/>
    </row>
    <row r="28894" spans="8:10" x14ac:dyDescent="0.35">
      <c r="H28894" s="676"/>
      <c r="I28894" s="676"/>
      <c r="J28894" s="770"/>
    </row>
    <row r="28895" spans="8:10" x14ac:dyDescent="0.35">
      <c r="H28895" s="676"/>
      <c r="I28895" s="676"/>
      <c r="J28895" s="770"/>
    </row>
    <row r="28896" spans="8:10" x14ac:dyDescent="0.35">
      <c r="H28896" s="676"/>
      <c r="I28896" s="676"/>
      <c r="J28896" s="770"/>
    </row>
    <row r="28897" spans="8:10" x14ac:dyDescent="0.35">
      <c r="H28897" s="676"/>
      <c r="I28897" s="676"/>
      <c r="J28897" s="770"/>
    </row>
    <row r="28898" spans="8:10" x14ac:dyDescent="0.35">
      <c r="H28898" s="676"/>
      <c r="I28898" s="676"/>
      <c r="J28898" s="770"/>
    </row>
    <row r="28899" spans="8:10" x14ac:dyDescent="0.35">
      <c r="H28899" s="676"/>
      <c r="I28899" s="676"/>
      <c r="J28899" s="770"/>
    </row>
    <row r="28900" spans="8:10" x14ac:dyDescent="0.35">
      <c r="H28900" s="676"/>
      <c r="I28900" s="676"/>
      <c r="J28900" s="770"/>
    </row>
    <row r="28901" spans="8:10" x14ac:dyDescent="0.35">
      <c r="H28901" s="676"/>
      <c r="I28901" s="676"/>
      <c r="J28901" s="770"/>
    </row>
    <row r="28902" spans="8:10" x14ac:dyDescent="0.35">
      <c r="H28902" s="676"/>
      <c r="I28902" s="676"/>
      <c r="J28902" s="770"/>
    </row>
    <row r="28903" spans="8:10" x14ac:dyDescent="0.35">
      <c r="H28903" s="676"/>
      <c r="I28903" s="676"/>
      <c r="J28903" s="770"/>
    </row>
    <row r="28904" spans="8:10" x14ac:dyDescent="0.35">
      <c r="H28904" s="676"/>
      <c r="I28904" s="676"/>
      <c r="J28904" s="770"/>
    </row>
    <row r="28905" spans="8:10" x14ac:dyDescent="0.35">
      <c r="H28905" s="676"/>
      <c r="I28905" s="676"/>
      <c r="J28905" s="770"/>
    </row>
    <row r="28906" spans="8:10" x14ac:dyDescent="0.35">
      <c r="H28906" s="676"/>
      <c r="I28906" s="676"/>
      <c r="J28906" s="770"/>
    </row>
    <row r="28907" spans="8:10" x14ac:dyDescent="0.35">
      <c r="H28907" s="676"/>
      <c r="I28907" s="676"/>
      <c r="J28907" s="770"/>
    </row>
    <row r="28908" spans="8:10" x14ac:dyDescent="0.35">
      <c r="H28908" s="676"/>
      <c r="I28908" s="676"/>
      <c r="J28908" s="770"/>
    </row>
    <row r="28909" spans="8:10" x14ac:dyDescent="0.35">
      <c r="H28909" s="676"/>
      <c r="I28909" s="676"/>
      <c r="J28909" s="770"/>
    </row>
    <row r="28910" spans="8:10" x14ac:dyDescent="0.35">
      <c r="H28910" s="676"/>
      <c r="I28910" s="676"/>
      <c r="J28910" s="770"/>
    </row>
    <row r="28911" spans="8:10" x14ac:dyDescent="0.35">
      <c r="H28911" s="676"/>
      <c r="I28911" s="676"/>
      <c r="J28911" s="770"/>
    </row>
    <row r="28912" spans="8:10" x14ac:dyDescent="0.35">
      <c r="H28912" s="676"/>
      <c r="I28912" s="676"/>
      <c r="J28912" s="770"/>
    </row>
    <row r="28913" spans="8:10" x14ac:dyDescent="0.35">
      <c r="H28913" s="676"/>
      <c r="I28913" s="676"/>
      <c r="J28913" s="770"/>
    </row>
    <row r="28914" spans="8:10" x14ac:dyDescent="0.35">
      <c r="H28914" s="676"/>
      <c r="I28914" s="676"/>
      <c r="J28914" s="770"/>
    </row>
    <row r="28915" spans="8:10" x14ac:dyDescent="0.35">
      <c r="H28915" s="676"/>
      <c r="I28915" s="676"/>
      <c r="J28915" s="770"/>
    </row>
    <row r="28916" spans="8:10" x14ac:dyDescent="0.35">
      <c r="H28916" s="676"/>
      <c r="I28916" s="676"/>
      <c r="J28916" s="770"/>
    </row>
    <row r="28917" spans="8:10" x14ac:dyDescent="0.35">
      <c r="H28917" s="676"/>
      <c r="I28917" s="676"/>
      <c r="J28917" s="770"/>
    </row>
    <row r="28918" spans="8:10" x14ac:dyDescent="0.35">
      <c r="H28918" s="676"/>
      <c r="I28918" s="676"/>
      <c r="J28918" s="770"/>
    </row>
    <row r="28919" spans="8:10" x14ac:dyDescent="0.35">
      <c r="H28919" s="676"/>
      <c r="I28919" s="676"/>
      <c r="J28919" s="770"/>
    </row>
    <row r="28920" spans="8:10" x14ac:dyDescent="0.35">
      <c r="H28920" s="676"/>
      <c r="I28920" s="676"/>
      <c r="J28920" s="770"/>
    </row>
    <row r="28921" spans="8:10" x14ac:dyDescent="0.35">
      <c r="H28921" s="676"/>
      <c r="I28921" s="676"/>
      <c r="J28921" s="770"/>
    </row>
    <row r="28922" spans="8:10" x14ac:dyDescent="0.35">
      <c r="H28922" s="676"/>
      <c r="I28922" s="676"/>
      <c r="J28922" s="770"/>
    </row>
    <row r="28923" spans="8:10" x14ac:dyDescent="0.35">
      <c r="H28923" s="676"/>
      <c r="I28923" s="676"/>
      <c r="J28923" s="770"/>
    </row>
    <row r="28924" spans="8:10" x14ac:dyDescent="0.35">
      <c r="H28924" s="676"/>
      <c r="I28924" s="676"/>
      <c r="J28924" s="770"/>
    </row>
    <row r="28925" spans="8:10" x14ac:dyDescent="0.35">
      <c r="H28925" s="676"/>
      <c r="I28925" s="676"/>
      <c r="J28925" s="770"/>
    </row>
    <row r="28926" spans="8:10" x14ac:dyDescent="0.35">
      <c r="H28926" s="676"/>
      <c r="I28926" s="676"/>
      <c r="J28926" s="770"/>
    </row>
    <row r="28927" spans="8:10" x14ac:dyDescent="0.35">
      <c r="H28927" s="676"/>
      <c r="I28927" s="676"/>
      <c r="J28927" s="770"/>
    </row>
    <row r="28928" spans="8:10" x14ac:dyDescent="0.35">
      <c r="H28928" s="676"/>
      <c r="I28928" s="676"/>
      <c r="J28928" s="770"/>
    </row>
    <row r="28929" spans="8:10" x14ac:dyDescent="0.35">
      <c r="H28929" s="676"/>
      <c r="I28929" s="676"/>
      <c r="J28929" s="770"/>
    </row>
    <row r="28930" spans="8:10" x14ac:dyDescent="0.35">
      <c r="H28930" s="676"/>
      <c r="I28930" s="676"/>
      <c r="J28930" s="770"/>
    </row>
    <row r="28931" spans="8:10" x14ac:dyDescent="0.35">
      <c r="H28931" s="676"/>
      <c r="I28931" s="676"/>
      <c r="J28931" s="770"/>
    </row>
    <row r="28932" spans="8:10" x14ac:dyDescent="0.35">
      <c r="H28932" s="676"/>
      <c r="I28932" s="676"/>
      <c r="J28932" s="770"/>
    </row>
    <row r="28933" spans="8:10" x14ac:dyDescent="0.35">
      <c r="H28933" s="676"/>
      <c r="I28933" s="676"/>
      <c r="J28933" s="770"/>
    </row>
    <row r="28934" spans="8:10" x14ac:dyDescent="0.35">
      <c r="H28934" s="676"/>
      <c r="I28934" s="676"/>
      <c r="J28934" s="770"/>
    </row>
    <row r="28935" spans="8:10" x14ac:dyDescent="0.35">
      <c r="H28935" s="676"/>
      <c r="I28935" s="676"/>
      <c r="J28935" s="770"/>
    </row>
    <row r="28936" spans="8:10" x14ac:dyDescent="0.35">
      <c r="H28936" s="676"/>
      <c r="I28936" s="676"/>
      <c r="J28936" s="770"/>
    </row>
    <row r="28937" spans="8:10" x14ac:dyDescent="0.35">
      <c r="H28937" s="676"/>
      <c r="I28937" s="676"/>
      <c r="J28937" s="770"/>
    </row>
    <row r="28938" spans="8:10" x14ac:dyDescent="0.35">
      <c r="H28938" s="676"/>
      <c r="I28938" s="676"/>
      <c r="J28938" s="770"/>
    </row>
    <row r="28939" spans="8:10" x14ac:dyDescent="0.35">
      <c r="H28939" s="676"/>
      <c r="I28939" s="676"/>
      <c r="J28939" s="770"/>
    </row>
    <row r="28940" spans="8:10" x14ac:dyDescent="0.35">
      <c r="H28940" s="676"/>
      <c r="I28940" s="676"/>
      <c r="J28940" s="770"/>
    </row>
    <row r="28941" spans="8:10" x14ac:dyDescent="0.35">
      <c r="H28941" s="676"/>
      <c r="I28941" s="676"/>
      <c r="J28941" s="770"/>
    </row>
    <row r="28942" spans="8:10" x14ac:dyDescent="0.35">
      <c r="H28942" s="676"/>
      <c r="I28942" s="676"/>
      <c r="J28942" s="770"/>
    </row>
    <row r="28943" spans="8:10" x14ac:dyDescent="0.35">
      <c r="H28943" s="676"/>
      <c r="I28943" s="676"/>
      <c r="J28943" s="770"/>
    </row>
    <row r="28944" spans="8:10" x14ac:dyDescent="0.35">
      <c r="H28944" s="676"/>
      <c r="I28944" s="676"/>
      <c r="J28944" s="770"/>
    </row>
    <row r="28945" spans="8:10" x14ac:dyDescent="0.35">
      <c r="H28945" s="676"/>
      <c r="I28945" s="676"/>
      <c r="J28945" s="770"/>
    </row>
    <row r="28946" spans="8:10" x14ac:dyDescent="0.35">
      <c r="H28946" s="676"/>
      <c r="I28946" s="676"/>
      <c r="J28946" s="770"/>
    </row>
    <row r="28947" spans="8:10" x14ac:dyDescent="0.35">
      <c r="H28947" s="676"/>
      <c r="I28947" s="676"/>
      <c r="J28947" s="770"/>
    </row>
    <row r="28948" spans="8:10" x14ac:dyDescent="0.35">
      <c r="H28948" s="676"/>
      <c r="I28948" s="676"/>
      <c r="J28948" s="770"/>
    </row>
    <row r="28949" spans="8:10" x14ac:dyDescent="0.35">
      <c r="H28949" s="676"/>
      <c r="I28949" s="676"/>
      <c r="J28949" s="770"/>
    </row>
    <row r="28950" spans="8:10" x14ac:dyDescent="0.35">
      <c r="H28950" s="676"/>
      <c r="I28950" s="676"/>
      <c r="J28950" s="770"/>
    </row>
    <row r="28951" spans="8:10" x14ac:dyDescent="0.35">
      <c r="H28951" s="676"/>
      <c r="I28951" s="676"/>
      <c r="J28951" s="770"/>
    </row>
    <row r="28952" spans="8:10" x14ac:dyDescent="0.35">
      <c r="H28952" s="676"/>
      <c r="I28952" s="676"/>
      <c r="J28952" s="770"/>
    </row>
    <row r="28953" spans="8:10" x14ac:dyDescent="0.35">
      <c r="H28953" s="676"/>
      <c r="I28953" s="676"/>
      <c r="J28953" s="770"/>
    </row>
    <row r="28954" spans="8:10" x14ac:dyDescent="0.35">
      <c r="H28954" s="676"/>
      <c r="I28954" s="676"/>
      <c r="J28954" s="770"/>
    </row>
    <row r="28955" spans="8:10" x14ac:dyDescent="0.35">
      <c r="H28955" s="676"/>
      <c r="I28955" s="676"/>
      <c r="J28955" s="770"/>
    </row>
    <row r="28956" spans="8:10" x14ac:dyDescent="0.35">
      <c r="H28956" s="676"/>
      <c r="I28956" s="676"/>
      <c r="J28956" s="770"/>
    </row>
    <row r="28957" spans="8:10" x14ac:dyDescent="0.35">
      <c r="H28957" s="676"/>
      <c r="I28957" s="676"/>
      <c r="J28957" s="770"/>
    </row>
    <row r="28958" spans="8:10" x14ac:dyDescent="0.35">
      <c r="H28958" s="676"/>
      <c r="I28958" s="676"/>
      <c r="J28958" s="770"/>
    </row>
    <row r="28959" spans="8:10" x14ac:dyDescent="0.35">
      <c r="H28959" s="676"/>
      <c r="I28959" s="676"/>
      <c r="J28959" s="770"/>
    </row>
    <row r="28960" spans="8:10" x14ac:dyDescent="0.35">
      <c r="H28960" s="676"/>
      <c r="I28960" s="676"/>
      <c r="J28960" s="770"/>
    </row>
    <row r="28961" spans="8:10" x14ac:dyDescent="0.35">
      <c r="H28961" s="676"/>
      <c r="I28961" s="676"/>
      <c r="J28961" s="770"/>
    </row>
    <row r="28962" spans="8:10" x14ac:dyDescent="0.35">
      <c r="H28962" s="676"/>
      <c r="I28962" s="676"/>
      <c r="J28962" s="770"/>
    </row>
    <row r="28963" spans="8:10" x14ac:dyDescent="0.35">
      <c r="H28963" s="676"/>
      <c r="I28963" s="676"/>
      <c r="J28963" s="770"/>
    </row>
    <row r="28964" spans="8:10" x14ac:dyDescent="0.35">
      <c r="H28964" s="676"/>
      <c r="I28964" s="676"/>
      <c r="J28964" s="770"/>
    </row>
    <row r="28965" spans="8:10" x14ac:dyDescent="0.35">
      <c r="H28965" s="676"/>
      <c r="I28965" s="676"/>
      <c r="J28965" s="770"/>
    </row>
    <row r="28966" spans="8:10" x14ac:dyDescent="0.35">
      <c r="H28966" s="676"/>
      <c r="I28966" s="676"/>
      <c r="J28966" s="770"/>
    </row>
    <row r="28967" spans="8:10" x14ac:dyDescent="0.35">
      <c r="H28967" s="676"/>
      <c r="I28967" s="676"/>
      <c r="J28967" s="770"/>
    </row>
    <row r="28968" spans="8:10" x14ac:dyDescent="0.35">
      <c r="H28968" s="676"/>
      <c r="I28968" s="676"/>
      <c r="J28968" s="770"/>
    </row>
    <row r="28969" spans="8:10" x14ac:dyDescent="0.35">
      <c r="H28969" s="676"/>
      <c r="I28969" s="676"/>
      <c r="J28969" s="770"/>
    </row>
    <row r="28970" spans="8:10" x14ac:dyDescent="0.35">
      <c r="H28970" s="676"/>
      <c r="I28970" s="676"/>
      <c r="J28970" s="770"/>
    </row>
    <row r="28971" spans="8:10" x14ac:dyDescent="0.35">
      <c r="H28971" s="676"/>
      <c r="I28971" s="676"/>
      <c r="J28971" s="770"/>
    </row>
    <row r="28972" spans="8:10" x14ac:dyDescent="0.35">
      <c r="H28972" s="676"/>
      <c r="I28972" s="676"/>
      <c r="J28972" s="770"/>
    </row>
    <row r="28973" spans="8:10" x14ac:dyDescent="0.35">
      <c r="H28973" s="676"/>
      <c r="I28973" s="676"/>
      <c r="J28973" s="770"/>
    </row>
    <row r="28974" spans="8:10" x14ac:dyDescent="0.35">
      <c r="H28974" s="676"/>
      <c r="I28974" s="676"/>
      <c r="J28974" s="770"/>
    </row>
    <row r="28975" spans="8:10" x14ac:dyDescent="0.35">
      <c r="H28975" s="676"/>
      <c r="I28975" s="676"/>
      <c r="J28975" s="770"/>
    </row>
    <row r="28976" spans="8:10" x14ac:dyDescent="0.35">
      <c r="H28976" s="676"/>
      <c r="I28976" s="676"/>
      <c r="J28976" s="770"/>
    </row>
    <row r="28977" spans="8:10" x14ac:dyDescent="0.35">
      <c r="H28977" s="676"/>
      <c r="I28977" s="676"/>
      <c r="J28977" s="770"/>
    </row>
    <row r="28978" spans="8:10" x14ac:dyDescent="0.35">
      <c r="H28978" s="676"/>
      <c r="I28978" s="676"/>
      <c r="J28978" s="770"/>
    </row>
    <row r="28979" spans="8:10" x14ac:dyDescent="0.35">
      <c r="H28979" s="676"/>
      <c r="I28979" s="676"/>
      <c r="J28979" s="770"/>
    </row>
    <row r="28980" spans="8:10" x14ac:dyDescent="0.35">
      <c r="H28980" s="676"/>
      <c r="I28980" s="676"/>
      <c r="J28980" s="770"/>
    </row>
    <row r="28981" spans="8:10" x14ac:dyDescent="0.35">
      <c r="H28981" s="676"/>
      <c r="I28981" s="676"/>
      <c r="J28981" s="770"/>
    </row>
    <row r="28982" spans="8:10" x14ac:dyDescent="0.35">
      <c r="H28982" s="676"/>
      <c r="I28982" s="676"/>
      <c r="J28982" s="770"/>
    </row>
    <row r="28983" spans="8:10" x14ac:dyDescent="0.35">
      <c r="H28983" s="676"/>
      <c r="I28983" s="676"/>
      <c r="J28983" s="770"/>
    </row>
    <row r="28984" spans="8:10" x14ac:dyDescent="0.35">
      <c r="H28984" s="676"/>
      <c r="I28984" s="676"/>
      <c r="J28984" s="770"/>
    </row>
    <row r="28985" spans="8:10" x14ac:dyDescent="0.35">
      <c r="H28985" s="676"/>
      <c r="I28985" s="676"/>
      <c r="J28985" s="770"/>
    </row>
    <row r="28986" spans="8:10" x14ac:dyDescent="0.35">
      <c r="H28986" s="676"/>
      <c r="I28986" s="676"/>
      <c r="J28986" s="770"/>
    </row>
    <row r="28987" spans="8:10" x14ac:dyDescent="0.35">
      <c r="H28987" s="676"/>
      <c r="I28987" s="676"/>
      <c r="J28987" s="770"/>
    </row>
    <row r="28988" spans="8:10" x14ac:dyDescent="0.35">
      <c r="H28988" s="676"/>
      <c r="I28988" s="676"/>
      <c r="J28988" s="770"/>
    </row>
    <row r="28989" spans="8:10" x14ac:dyDescent="0.35">
      <c r="H28989" s="676"/>
      <c r="I28989" s="676"/>
      <c r="J28989" s="770"/>
    </row>
    <row r="28990" spans="8:10" x14ac:dyDescent="0.35">
      <c r="H28990" s="676"/>
      <c r="I28990" s="676"/>
      <c r="J28990" s="770"/>
    </row>
    <row r="28991" spans="8:10" x14ac:dyDescent="0.35">
      <c r="H28991" s="676"/>
      <c r="I28991" s="676"/>
      <c r="J28991" s="770"/>
    </row>
    <row r="28992" spans="8:10" x14ac:dyDescent="0.35">
      <c r="H28992" s="676"/>
      <c r="I28992" s="676"/>
      <c r="J28992" s="770"/>
    </row>
    <row r="28993" spans="8:10" x14ac:dyDescent="0.35">
      <c r="H28993" s="676"/>
      <c r="I28993" s="676"/>
      <c r="J28993" s="770"/>
    </row>
    <row r="28994" spans="8:10" x14ac:dyDescent="0.35">
      <c r="H28994" s="676"/>
      <c r="I28994" s="676"/>
      <c r="J28994" s="770"/>
    </row>
    <row r="28995" spans="8:10" x14ac:dyDescent="0.35">
      <c r="H28995" s="676"/>
      <c r="I28995" s="676"/>
      <c r="J28995" s="770"/>
    </row>
    <row r="28996" spans="8:10" x14ac:dyDescent="0.35">
      <c r="H28996" s="676"/>
      <c r="I28996" s="676"/>
      <c r="J28996" s="770"/>
    </row>
    <row r="28997" spans="8:10" x14ac:dyDescent="0.35">
      <c r="H28997" s="676"/>
      <c r="I28997" s="676"/>
      <c r="J28997" s="770"/>
    </row>
    <row r="28998" spans="8:10" x14ac:dyDescent="0.35">
      <c r="H28998" s="676"/>
      <c r="I28998" s="676"/>
      <c r="J28998" s="770"/>
    </row>
    <row r="28999" spans="8:10" x14ac:dyDescent="0.35">
      <c r="H28999" s="676"/>
      <c r="I28999" s="676"/>
      <c r="J28999" s="770"/>
    </row>
    <row r="29000" spans="8:10" x14ac:dyDescent="0.35">
      <c r="H29000" s="676"/>
      <c r="I29000" s="676"/>
      <c r="J29000" s="770"/>
    </row>
    <row r="29001" spans="8:10" x14ac:dyDescent="0.35">
      <c r="H29001" s="676"/>
      <c r="I29001" s="676"/>
      <c r="J29001" s="770"/>
    </row>
    <row r="29002" spans="8:10" x14ac:dyDescent="0.35">
      <c r="H29002" s="676"/>
      <c r="I29002" s="676"/>
      <c r="J29002" s="770"/>
    </row>
    <row r="29003" spans="8:10" x14ac:dyDescent="0.35">
      <c r="H29003" s="676"/>
      <c r="I29003" s="676"/>
      <c r="J29003" s="770"/>
    </row>
    <row r="29004" spans="8:10" x14ac:dyDescent="0.35">
      <c r="H29004" s="676"/>
      <c r="I29004" s="676"/>
      <c r="J29004" s="770"/>
    </row>
    <row r="29005" spans="8:10" x14ac:dyDescent="0.35">
      <c r="H29005" s="676"/>
      <c r="I29005" s="676"/>
      <c r="J29005" s="770"/>
    </row>
    <row r="29006" spans="8:10" x14ac:dyDescent="0.35">
      <c r="H29006" s="676"/>
      <c r="I29006" s="676"/>
      <c r="J29006" s="770"/>
    </row>
    <row r="29007" spans="8:10" x14ac:dyDescent="0.35">
      <c r="H29007" s="676"/>
      <c r="I29007" s="676"/>
      <c r="J29007" s="770"/>
    </row>
    <row r="29008" spans="8:10" x14ac:dyDescent="0.35">
      <c r="H29008" s="676"/>
      <c r="I29008" s="676"/>
      <c r="J29008" s="770"/>
    </row>
    <row r="29009" spans="8:10" x14ac:dyDescent="0.35">
      <c r="H29009" s="676"/>
      <c r="I29009" s="676"/>
      <c r="J29009" s="770"/>
    </row>
    <row r="29010" spans="8:10" x14ac:dyDescent="0.35">
      <c r="H29010" s="676"/>
      <c r="I29010" s="676"/>
      <c r="J29010" s="770"/>
    </row>
    <row r="29011" spans="8:10" x14ac:dyDescent="0.35">
      <c r="H29011" s="676"/>
      <c r="I29011" s="676"/>
      <c r="J29011" s="770"/>
    </row>
    <row r="29012" spans="8:10" x14ac:dyDescent="0.35">
      <c r="H29012" s="676"/>
      <c r="I29012" s="676"/>
      <c r="J29012" s="770"/>
    </row>
    <row r="29013" spans="8:10" x14ac:dyDescent="0.35">
      <c r="H29013" s="676"/>
      <c r="I29013" s="676"/>
      <c r="J29013" s="770"/>
    </row>
    <row r="29014" spans="8:10" x14ac:dyDescent="0.35">
      <c r="H29014" s="676"/>
      <c r="I29014" s="676"/>
      <c r="J29014" s="770"/>
    </row>
    <row r="29015" spans="8:10" x14ac:dyDescent="0.35">
      <c r="H29015" s="676"/>
      <c r="I29015" s="676"/>
      <c r="J29015" s="770"/>
    </row>
    <row r="29016" spans="8:10" x14ac:dyDescent="0.35">
      <c r="H29016" s="676"/>
      <c r="I29016" s="676"/>
      <c r="J29016" s="770"/>
    </row>
    <row r="29017" spans="8:10" x14ac:dyDescent="0.35">
      <c r="H29017" s="676"/>
      <c r="I29017" s="676"/>
      <c r="J29017" s="770"/>
    </row>
    <row r="29018" spans="8:10" x14ac:dyDescent="0.35">
      <c r="H29018" s="676"/>
      <c r="I29018" s="676"/>
      <c r="J29018" s="770"/>
    </row>
    <row r="29019" spans="8:10" x14ac:dyDescent="0.35">
      <c r="H29019" s="676"/>
      <c r="I29019" s="676"/>
      <c r="J29019" s="770"/>
    </row>
    <row r="29020" spans="8:10" x14ac:dyDescent="0.35">
      <c r="H29020" s="676"/>
      <c r="I29020" s="676"/>
      <c r="J29020" s="770"/>
    </row>
    <row r="29021" spans="8:10" x14ac:dyDescent="0.35">
      <c r="H29021" s="676"/>
      <c r="I29021" s="676"/>
      <c r="J29021" s="770"/>
    </row>
    <row r="29022" spans="8:10" x14ac:dyDescent="0.35">
      <c r="H29022" s="676"/>
      <c r="I29022" s="676"/>
      <c r="J29022" s="770"/>
    </row>
    <row r="29023" spans="8:10" x14ac:dyDescent="0.35">
      <c r="H29023" s="676"/>
      <c r="I29023" s="676"/>
      <c r="J29023" s="770"/>
    </row>
    <row r="29024" spans="8:10" x14ac:dyDescent="0.35">
      <c r="H29024" s="676"/>
      <c r="I29024" s="676"/>
      <c r="J29024" s="770"/>
    </row>
    <row r="29025" spans="8:10" x14ac:dyDescent="0.35">
      <c r="H29025" s="676"/>
      <c r="I29025" s="676"/>
      <c r="J29025" s="770"/>
    </row>
    <row r="29026" spans="8:10" x14ac:dyDescent="0.35">
      <c r="H29026" s="676"/>
      <c r="I29026" s="676"/>
      <c r="J29026" s="770"/>
    </row>
    <row r="29027" spans="8:10" x14ac:dyDescent="0.35">
      <c r="H29027" s="676"/>
      <c r="I29027" s="676"/>
      <c r="J29027" s="770"/>
    </row>
    <row r="29028" spans="8:10" x14ac:dyDescent="0.35">
      <c r="H29028" s="676"/>
      <c r="I29028" s="676"/>
      <c r="J29028" s="770"/>
    </row>
    <row r="29029" spans="8:10" x14ac:dyDescent="0.35">
      <c r="H29029" s="676"/>
      <c r="I29029" s="676"/>
      <c r="J29029" s="770"/>
    </row>
    <row r="29030" spans="8:10" x14ac:dyDescent="0.35">
      <c r="H29030" s="676"/>
      <c r="I29030" s="676"/>
      <c r="J29030" s="770"/>
    </row>
    <row r="29031" spans="8:10" x14ac:dyDescent="0.35">
      <c r="H29031" s="676"/>
      <c r="I29031" s="676"/>
      <c r="J29031" s="770"/>
    </row>
    <row r="29032" spans="8:10" x14ac:dyDescent="0.35">
      <c r="H29032" s="676"/>
      <c r="I29032" s="676"/>
      <c r="J29032" s="770"/>
    </row>
    <row r="29033" spans="8:10" x14ac:dyDescent="0.35">
      <c r="H29033" s="676"/>
      <c r="I29033" s="676"/>
      <c r="J29033" s="770"/>
    </row>
    <row r="29034" spans="8:10" x14ac:dyDescent="0.35">
      <c r="H29034" s="676"/>
      <c r="I29034" s="676"/>
      <c r="J29034" s="770"/>
    </row>
    <row r="29035" spans="8:10" x14ac:dyDescent="0.35">
      <c r="H29035" s="676"/>
      <c r="I29035" s="676"/>
      <c r="J29035" s="770"/>
    </row>
    <row r="29036" spans="8:10" x14ac:dyDescent="0.35">
      <c r="H29036" s="676"/>
      <c r="I29036" s="676"/>
      <c r="J29036" s="770"/>
    </row>
    <row r="29037" spans="8:10" x14ac:dyDescent="0.35">
      <c r="H29037" s="676"/>
      <c r="I29037" s="676"/>
      <c r="J29037" s="770"/>
    </row>
    <row r="29038" spans="8:10" x14ac:dyDescent="0.35">
      <c r="H29038" s="676"/>
      <c r="I29038" s="676"/>
      <c r="J29038" s="770"/>
    </row>
    <row r="29039" spans="8:10" x14ac:dyDescent="0.35">
      <c r="H29039" s="676"/>
      <c r="I29039" s="676"/>
      <c r="J29039" s="770"/>
    </row>
    <row r="29040" spans="8:10" x14ac:dyDescent="0.35">
      <c r="H29040" s="676"/>
      <c r="I29040" s="676"/>
      <c r="J29040" s="770"/>
    </row>
    <row r="29041" spans="8:10" x14ac:dyDescent="0.35">
      <c r="H29041" s="676"/>
      <c r="I29041" s="676"/>
      <c r="J29041" s="770"/>
    </row>
    <row r="29042" spans="8:10" x14ac:dyDescent="0.35">
      <c r="H29042" s="676"/>
      <c r="I29042" s="676"/>
      <c r="J29042" s="770"/>
    </row>
    <row r="29043" spans="8:10" x14ac:dyDescent="0.35">
      <c r="H29043" s="676"/>
      <c r="I29043" s="676"/>
      <c r="J29043" s="770"/>
    </row>
    <row r="29044" spans="8:10" x14ac:dyDescent="0.35">
      <c r="H29044" s="676"/>
      <c r="I29044" s="676"/>
      <c r="J29044" s="770"/>
    </row>
    <row r="29045" spans="8:10" x14ac:dyDescent="0.35">
      <c r="H29045" s="676"/>
      <c r="I29045" s="676"/>
      <c r="J29045" s="770"/>
    </row>
    <row r="29046" spans="8:10" x14ac:dyDescent="0.35">
      <c r="H29046" s="676"/>
      <c r="I29046" s="676"/>
      <c r="J29046" s="770"/>
    </row>
    <row r="29047" spans="8:10" x14ac:dyDescent="0.35">
      <c r="H29047" s="676"/>
      <c r="I29047" s="676"/>
      <c r="J29047" s="770"/>
    </row>
    <row r="29048" spans="8:10" x14ac:dyDescent="0.35">
      <c r="H29048" s="676"/>
      <c r="I29048" s="676"/>
      <c r="J29048" s="770"/>
    </row>
    <row r="29049" spans="8:10" x14ac:dyDescent="0.35">
      <c r="H29049" s="676"/>
      <c r="I29049" s="676"/>
      <c r="J29049" s="770"/>
    </row>
    <row r="29050" spans="8:10" x14ac:dyDescent="0.35">
      <c r="H29050" s="676"/>
      <c r="I29050" s="676"/>
      <c r="J29050" s="770"/>
    </row>
    <row r="29051" spans="8:10" x14ac:dyDescent="0.35">
      <c r="H29051" s="676"/>
      <c r="I29051" s="676"/>
      <c r="J29051" s="770"/>
    </row>
    <row r="29052" spans="8:10" x14ac:dyDescent="0.35">
      <c r="H29052" s="676"/>
      <c r="I29052" s="676"/>
      <c r="J29052" s="770"/>
    </row>
    <row r="29053" spans="8:10" x14ac:dyDescent="0.35">
      <c r="H29053" s="676"/>
      <c r="I29053" s="676"/>
      <c r="J29053" s="770"/>
    </row>
    <row r="29054" spans="8:10" x14ac:dyDescent="0.35">
      <c r="H29054" s="676"/>
      <c r="I29054" s="676"/>
      <c r="J29054" s="770"/>
    </row>
    <row r="29055" spans="8:10" x14ac:dyDescent="0.35">
      <c r="H29055" s="676"/>
      <c r="I29055" s="676"/>
      <c r="J29055" s="770"/>
    </row>
    <row r="29056" spans="8:10" x14ac:dyDescent="0.35">
      <c r="H29056" s="676"/>
      <c r="I29056" s="676"/>
      <c r="J29056" s="770"/>
    </row>
    <row r="29057" spans="8:10" x14ac:dyDescent="0.35">
      <c r="H29057" s="676"/>
      <c r="I29057" s="676"/>
      <c r="J29057" s="770"/>
    </row>
    <row r="29058" spans="8:10" x14ac:dyDescent="0.35">
      <c r="H29058" s="676"/>
      <c r="I29058" s="676"/>
      <c r="J29058" s="770"/>
    </row>
    <row r="29059" spans="8:10" x14ac:dyDescent="0.35">
      <c r="H29059" s="676"/>
      <c r="I29059" s="676"/>
      <c r="J29059" s="770"/>
    </row>
    <row r="29060" spans="8:10" x14ac:dyDescent="0.35">
      <c r="H29060" s="676"/>
      <c r="I29060" s="676"/>
      <c r="J29060" s="770"/>
    </row>
    <row r="29061" spans="8:10" x14ac:dyDescent="0.35">
      <c r="H29061" s="676"/>
      <c r="I29061" s="676"/>
      <c r="J29061" s="770"/>
    </row>
    <row r="29062" spans="8:10" x14ac:dyDescent="0.35">
      <c r="H29062" s="676"/>
      <c r="I29062" s="676"/>
      <c r="J29062" s="770"/>
    </row>
    <row r="29063" spans="8:10" x14ac:dyDescent="0.35">
      <c r="H29063" s="676"/>
      <c r="I29063" s="676"/>
      <c r="J29063" s="770"/>
    </row>
    <row r="29064" spans="8:10" x14ac:dyDescent="0.35">
      <c r="H29064" s="676"/>
      <c r="I29064" s="676"/>
      <c r="J29064" s="770"/>
    </row>
    <row r="29065" spans="8:10" x14ac:dyDescent="0.35">
      <c r="H29065" s="676"/>
      <c r="I29065" s="676"/>
      <c r="J29065" s="770"/>
    </row>
    <row r="29066" spans="8:10" x14ac:dyDescent="0.35">
      <c r="H29066" s="676"/>
      <c r="I29066" s="676"/>
      <c r="J29066" s="770"/>
    </row>
    <row r="29067" spans="8:10" x14ac:dyDescent="0.35">
      <c r="H29067" s="676"/>
      <c r="I29067" s="676"/>
      <c r="J29067" s="770"/>
    </row>
    <row r="29068" spans="8:10" x14ac:dyDescent="0.35">
      <c r="H29068" s="676"/>
      <c r="I29068" s="676"/>
      <c r="J29068" s="770"/>
    </row>
    <row r="29069" spans="8:10" x14ac:dyDescent="0.35">
      <c r="H29069" s="676"/>
      <c r="I29069" s="676"/>
      <c r="J29069" s="770"/>
    </row>
    <row r="29070" spans="8:10" x14ac:dyDescent="0.35">
      <c r="H29070" s="676"/>
      <c r="I29070" s="676"/>
      <c r="J29070" s="770"/>
    </row>
    <row r="29071" spans="8:10" x14ac:dyDescent="0.35">
      <c r="H29071" s="676"/>
      <c r="I29071" s="676"/>
      <c r="J29071" s="770"/>
    </row>
    <row r="29072" spans="8:10" x14ac:dyDescent="0.35">
      <c r="H29072" s="676"/>
      <c r="I29072" s="676"/>
      <c r="J29072" s="770"/>
    </row>
    <row r="29073" spans="8:10" x14ac:dyDescent="0.35">
      <c r="H29073" s="676"/>
      <c r="I29073" s="676"/>
      <c r="J29073" s="770"/>
    </row>
    <row r="29074" spans="8:10" x14ac:dyDescent="0.35">
      <c r="H29074" s="676"/>
      <c r="I29074" s="676"/>
      <c r="J29074" s="770"/>
    </row>
    <row r="29075" spans="8:10" x14ac:dyDescent="0.35">
      <c r="H29075" s="676"/>
      <c r="I29075" s="676"/>
      <c r="J29075" s="770"/>
    </row>
    <row r="29076" spans="8:10" x14ac:dyDescent="0.35">
      <c r="H29076" s="676"/>
      <c r="I29076" s="676"/>
      <c r="J29076" s="770"/>
    </row>
    <row r="29077" spans="8:10" x14ac:dyDescent="0.35">
      <c r="H29077" s="676"/>
      <c r="I29077" s="676"/>
      <c r="J29077" s="770"/>
    </row>
    <row r="29078" spans="8:10" x14ac:dyDescent="0.35">
      <c r="H29078" s="676"/>
      <c r="I29078" s="676"/>
      <c r="J29078" s="770"/>
    </row>
    <row r="29079" spans="8:10" x14ac:dyDescent="0.35">
      <c r="H29079" s="676"/>
      <c r="I29079" s="676"/>
      <c r="J29079" s="770"/>
    </row>
    <row r="29080" spans="8:10" x14ac:dyDescent="0.35">
      <c r="H29080" s="676"/>
      <c r="I29080" s="676"/>
      <c r="J29080" s="770"/>
    </row>
    <row r="29081" spans="8:10" x14ac:dyDescent="0.35">
      <c r="H29081" s="676"/>
      <c r="I29081" s="676"/>
      <c r="J29081" s="770"/>
    </row>
    <row r="29082" spans="8:10" x14ac:dyDescent="0.35">
      <c r="H29082" s="676"/>
      <c r="I29082" s="676"/>
      <c r="J29082" s="770"/>
    </row>
    <row r="29083" spans="8:10" x14ac:dyDescent="0.35">
      <c r="H29083" s="676"/>
      <c r="I29083" s="676"/>
      <c r="J29083" s="770"/>
    </row>
    <row r="29084" spans="8:10" x14ac:dyDescent="0.35">
      <c r="H29084" s="676"/>
      <c r="I29084" s="676"/>
      <c r="J29084" s="770"/>
    </row>
    <row r="29085" spans="8:10" x14ac:dyDescent="0.35">
      <c r="H29085" s="676"/>
      <c r="I29085" s="676"/>
      <c r="J29085" s="770"/>
    </row>
    <row r="29086" spans="8:10" x14ac:dyDescent="0.35">
      <c r="H29086" s="676"/>
      <c r="I29086" s="676"/>
      <c r="J29086" s="770"/>
    </row>
    <row r="29087" spans="8:10" x14ac:dyDescent="0.35">
      <c r="H29087" s="676"/>
      <c r="I29087" s="676"/>
      <c r="J29087" s="770"/>
    </row>
    <row r="29088" spans="8:10" x14ac:dyDescent="0.35">
      <c r="H29088" s="676"/>
      <c r="I29088" s="676"/>
      <c r="J29088" s="770"/>
    </row>
    <row r="29089" spans="8:10" x14ac:dyDescent="0.35">
      <c r="H29089" s="676"/>
      <c r="I29089" s="676"/>
      <c r="J29089" s="770"/>
    </row>
    <row r="29090" spans="8:10" x14ac:dyDescent="0.35">
      <c r="H29090" s="676"/>
      <c r="I29090" s="676"/>
      <c r="J29090" s="770"/>
    </row>
    <row r="29091" spans="8:10" x14ac:dyDescent="0.35">
      <c r="H29091" s="676"/>
      <c r="I29091" s="676"/>
      <c r="J29091" s="770"/>
    </row>
    <row r="29092" spans="8:10" x14ac:dyDescent="0.35">
      <c r="H29092" s="676"/>
      <c r="I29092" s="676"/>
      <c r="J29092" s="770"/>
    </row>
    <row r="29093" spans="8:10" x14ac:dyDescent="0.35">
      <c r="H29093" s="676"/>
      <c r="I29093" s="676"/>
      <c r="J29093" s="770"/>
    </row>
    <row r="29094" spans="8:10" x14ac:dyDescent="0.35">
      <c r="H29094" s="676"/>
      <c r="I29094" s="676"/>
      <c r="J29094" s="770"/>
    </row>
    <row r="29095" spans="8:10" x14ac:dyDescent="0.35">
      <c r="H29095" s="676"/>
      <c r="I29095" s="676"/>
      <c r="J29095" s="770"/>
    </row>
    <row r="29096" spans="8:10" x14ac:dyDescent="0.35">
      <c r="H29096" s="676"/>
      <c r="I29096" s="676"/>
      <c r="J29096" s="770"/>
    </row>
    <row r="29097" spans="8:10" x14ac:dyDescent="0.35">
      <c r="H29097" s="676"/>
      <c r="I29097" s="676"/>
      <c r="J29097" s="770"/>
    </row>
    <row r="29098" spans="8:10" x14ac:dyDescent="0.35">
      <c r="H29098" s="676"/>
      <c r="I29098" s="676"/>
      <c r="J29098" s="770"/>
    </row>
    <row r="29099" spans="8:10" x14ac:dyDescent="0.35">
      <c r="H29099" s="676"/>
      <c r="I29099" s="676"/>
      <c r="J29099" s="770"/>
    </row>
    <row r="29100" spans="8:10" x14ac:dyDescent="0.35">
      <c r="H29100" s="676"/>
      <c r="I29100" s="676"/>
      <c r="J29100" s="770"/>
    </row>
    <row r="29101" spans="8:10" x14ac:dyDescent="0.35">
      <c r="H29101" s="676"/>
      <c r="I29101" s="676"/>
      <c r="J29101" s="770"/>
    </row>
    <row r="29102" spans="8:10" x14ac:dyDescent="0.35">
      <c r="H29102" s="676"/>
      <c r="I29102" s="676"/>
      <c r="J29102" s="770"/>
    </row>
    <row r="29103" spans="8:10" x14ac:dyDescent="0.35">
      <c r="H29103" s="676"/>
      <c r="I29103" s="676"/>
      <c r="J29103" s="770"/>
    </row>
    <row r="29104" spans="8:10" x14ac:dyDescent="0.35">
      <c r="H29104" s="676"/>
      <c r="I29104" s="676"/>
      <c r="J29104" s="770"/>
    </row>
    <row r="29105" spans="8:10" x14ac:dyDescent="0.35">
      <c r="H29105" s="676"/>
      <c r="I29105" s="676"/>
      <c r="J29105" s="770"/>
    </row>
    <row r="29106" spans="8:10" x14ac:dyDescent="0.35">
      <c r="H29106" s="676"/>
      <c r="I29106" s="676"/>
      <c r="J29106" s="770"/>
    </row>
    <row r="29107" spans="8:10" x14ac:dyDescent="0.35">
      <c r="H29107" s="676"/>
      <c r="I29107" s="676"/>
      <c r="J29107" s="770"/>
    </row>
    <row r="29108" spans="8:10" x14ac:dyDescent="0.35">
      <c r="H29108" s="676"/>
      <c r="I29108" s="676"/>
      <c r="J29108" s="770"/>
    </row>
    <row r="29109" spans="8:10" x14ac:dyDescent="0.35">
      <c r="H29109" s="676"/>
      <c r="I29109" s="676"/>
      <c r="J29109" s="770"/>
    </row>
    <row r="29110" spans="8:10" x14ac:dyDescent="0.35">
      <c r="H29110" s="676"/>
      <c r="I29110" s="676"/>
      <c r="J29110" s="770"/>
    </row>
    <row r="29111" spans="8:10" x14ac:dyDescent="0.35">
      <c r="H29111" s="676"/>
      <c r="I29111" s="676"/>
      <c r="J29111" s="770"/>
    </row>
    <row r="29112" spans="8:10" x14ac:dyDescent="0.35">
      <c r="H29112" s="676"/>
      <c r="I29112" s="676"/>
      <c r="J29112" s="770"/>
    </row>
    <row r="29113" spans="8:10" x14ac:dyDescent="0.35">
      <c r="H29113" s="676"/>
      <c r="I29113" s="676"/>
      <c r="J29113" s="770"/>
    </row>
    <row r="29114" spans="8:10" x14ac:dyDescent="0.35">
      <c r="H29114" s="676"/>
      <c r="I29114" s="676"/>
      <c r="J29114" s="770"/>
    </row>
    <row r="29115" spans="8:10" x14ac:dyDescent="0.35">
      <c r="H29115" s="676"/>
      <c r="I29115" s="676"/>
      <c r="J29115" s="770"/>
    </row>
    <row r="29116" spans="8:10" x14ac:dyDescent="0.35">
      <c r="H29116" s="676"/>
      <c r="I29116" s="676"/>
      <c r="J29116" s="770"/>
    </row>
    <row r="29117" spans="8:10" x14ac:dyDescent="0.35">
      <c r="H29117" s="676"/>
      <c r="I29117" s="676"/>
      <c r="J29117" s="770"/>
    </row>
    <row r="29118" spans="8:10" x14ac:dyDescent="0.35">
      <c r="H29118" s="676"/>
      <c r="I29118" s="676"/>
      <c r="J29118" s="770"/>
    </row>
    <row r="29119" spans="8:10" x14ac:dyDescent="0.35">
      <c r="H29119" s="676"/>
      <c r="I29119" s="676"/>
      <c r="J29119" s="770"/>
    </row>
    <row r="29120" spans="8:10" x14ac:dyDescent="0.35">
      <c r="H29120" s="676"/>
      <c r="I29120" s="676"/>
      <c r="J29120" s="770"/>
    </row>
    <row r="29121" spans="8:10" x14ac:dyDescent="0.35">
      <c r="H29121" s="676"/>
      <c r="I29121" s="676"/>
      <c r="J29121" s="770"/>
    </row>
    <row r="29122" spans="8:10" x14ac:dyDescent="0.35">
      <c r="H29122" s="676"/>
      <c r="I29122" s="676"/>
      <c r="J29122" s="770"/>
    </row>
    <row r="29123" spans="8:10" x14ac:dyDescent="0.35">
      <c r="H29123" s="676"/>
      <c r="I29123" s="676"/>
      <c r="J29123" s="770"/>
    </row>
    <row r="29124" spans="8:10" x14ac:dyDescent="0.35">
      <c r="H29124" s="676"/>
      <c r="I29124" s="676"/>
      <c r="J29124" s="770"/>
    </row>
    <row r="29125" spans="8:10" x14ac:dyDescent="0.35">
      <c r="H29125" s="676"/>
      <c r="I29125" s="676"/>
      <c r="J29125" s="770"/>
    </row>
    <row r="29126" spans="8:10" x14ac:dyDescent="0.35">
      <c r="H29126" s="676"/>
      <c r="I29126" s="676"/>
      <c r="J29126" s="770"/>
    </row>
    <row r="29127" spans="8:10" x14ac:dyDescent="0.35">
      <c r="H29127" s="676"/>
      <c r="I29127" s="676"/>
      <c r="J29127" s="770"/>
    </row>
    <row r="29128" spans="8:10" x14ac:dyDescent="0.35">
      <c r="H29128" s="676"/>
      <c r="I29128" s="676"/>
      <c r="J29128" s="770"/>
    </row>
    <row r="29129" spans="8:10" x14ac:dyDescent="0.35">
      <c r="H29129" s="676"/>
      <c r="I29129" s="676"/>
      <c r="J29129" s="770"/>
    </row>
    <row r="29130" spans="8:10" x14ac:dyDescent="0.35">
      <c r="H29130" s="676"/>
      <c r="I29130" s="676"/>
      <c r="J29130" s="770"/>
    </row>
    <row r="29131" spans="8:10" x14ac:dyDescent="0.35">
      <c r="H29131" s="676"/>
      <c r="I29131" s="676"/>
      <c r="J29131" s="770"/>
    </row>
    <row r="29132" spans="8:10" x14ac:dyDescent="0.35">
      <c r="H29132" s="676"/>
      <c r="I29132" s="676"/>
      <c r="J29132" s="770"/>
    </row>
    <row r="29133" spans="8:10" x14ac:dyDescent="0.35">
      <c r="H29133" s="676"/>
      <c r="I29133" s="676"/>
      <c r="J29133" s="770"/>
    </row>
    <row r="29134" spans="8:10" x14ac:dyDescent="0.35">
      <c r="H29134" s="676"/>
      <c r="I29134" s="676"/>
      <c r="J29134" s="770"/>
    </row>
    <row r="29135" spans="8:10" x14ac:dyDescent="0.35">
      <c r="H29135" s="676"/>
      <c r="I29135" s="676"/>
      <c r="J29135" s="770"/>
    </row>
    <row r="29136" spans="8:10" x14ac:dyDescent="0.35">
      <c r="H29136" s="676"/>
      <c r="I29136" s="676"/>
      <c r="J29136" s="770"/>
    </row>
    <row r="29137" spans="8:10" x14ac:dyDescent="0.35">
      <c r="H29137" s="676"/>
      <c r="I29137" s="676"/>
      <c r="J29137" s="770"/>
    </row>
    <row r="29138" spans="8:10" x14ac:dyDescent="0.35">
      <c r="H29138" s="676"/>
      <c r="I29138" s="676"/>
      <c r="J29138" s="770"/>
    </row>
    <row r="29139" spans="8:10" x14ac:dyDescent="0.35">
      <c r="H29139" s="676"/>
      <c r="I29139" s="676"/>
      <c r="J29139" s="770"/>
    </row>
    <row r="29140" spans="8:10" x14ac:dyDescent="0.35">
      <c r="H29140" s="676"/>
      <c r="I29140" s="676"/>
      <c r="J29140" s="770"/>
    </row>
    <row r="29141" spans="8:10" x14ac:dyDescent="0.35">
      <c r="H29141" s="676"/>
      <c r="I29141" s="676"/>
      <c r="J29141" s="770"/>
    </row>
    <row r="29142" spans="8:10" x14ac:dyDescent="0.35">
      <c r="H29142" s="676"/>
      <c r="I29142" s="676"/>
      <c r="J29142" s="770"/>
    </row>
    <row r="29143" spans="8:10" x14ac:dyDescent="0.35">
      <c r="H29143" s="676"/>
      <c r="I29143" s="676"/>
      <c r="J29143" s="770"/>
    </row>
    <row r="29144" spans="8:10" x14ac:dyDescent="0.35">
      <c r="H29144" s="676"/>
      <c r="I29144" s="676"/>
      <c r="J29144" s="770"/>
    </row>
    <row r="29145" spans="8:10" x14ac:dyDescent="0.35">
      <c r="H29145" s="676"/>
      <c r="I29145" s="676"/>
      <c r="J29145" s="770"/>
    </row>
    <row r="29146" spans="8:10" x14ac:dyDescent="0.35">
      <c r="H29146" s="676"/>
      <c r="I29146" s="676"/>
      <c r="J29146" s="770"/>
    </row>
    <row r="29147" spans="8:10" x14ac:dyDescent="0.35">
      <c r="H29147" s="676"/>
      <c r="I29147" s="676"/>
      <c r="J29147" s="770"/>
    </row>
    <row r="29148" spans="8:10" x14ac:dyDescent="0.35">
      <c r="H29148" s="676"/>
      <c r="I29148" s="676"/>
      <c r="J29148" s="770"/>
    </row>
    <row r="29149" spans="8:10" x14ac:dyDescent="0.35">
      <c r="H29149" s="676"/>
      <c r="I29149" s="676"/>
      <c r="J29149" s="770"/>
    </row>
    <row r="29150" spans="8:10" x14ac:dyDescent="0.35">
      <c r="H29150" s="676"/>
      <c r="I29150" s="676"/>
      <c r="J29150" s="770"/>
    </row>
    <row r="29151" spans="8:10" x14ac:dyDescent="0.35">
      <c r="H29151" s="676"/>
      <c r="I29151" s="676"/>
      <c r="J29151" s="770"/>
    </row>
    <row r="29152" spans="8:10" x14ac:dyDescent="0.35">
      <c r="H29152" s="676"/>
      <c r="I29152" s="676"/>
      <c r="J29152" s="770"/>
    </row>
    <row r="29153" spans="8:10" x14ac:dyDescent="0.35">
      <c r="H29153" s="676"/>
      <c r="I29153" s="676"/>
      <c r="J29153" s="770"/>
    </row>
    <row r="29154" spans="8:10" x14ac:dyDescent="0.35">
      <c r="H29154" s="676"/>
      <c r="I29154" s="676"/>
      <c r="J29154" s="770"/>
    </row>
    <row r="29155" spans="8:10" x14ac:dyDescent="0.35">
      <c r="H29155" s="676"/>
      <c r="I29155" s="676"/>
      <c r="J29155" s="770"/>
    </row>
    <row r="29156" spans="8:10" x14ac:dyDescent="0.35">
      <c r="H29156" s="676"/>
      <c r="I29156" s="676"/>
      <c r="J29156" s="770"/>
    </row>
    <row r="29157" spans="8:10" x14ac:dyDescent="0.35">
      <c r="H29157" s="676"/>
      <c r="I29157" s="676"/>
      <c r="J29157" s="770"/>
    </row>
    <row r="29158" spans="8:10" x14ac:dyDescent="0.35">
      <c r="H29158" s="676"/>
      <c r="I29158" s="676"/>
      <c r="J29158" s="770"/>
    </row>
    <row r="29159" spans="8:10" x14ac:dyDescent="0.35">
      <c r="H29159" s="676"/>
      <c r="I29159" s="676"/>
      <c r="J29159" s="770"/>
    </row>
    <row r="29160" spans="8:10" x14ac:dyDescent="0.35">
      <c r="H29160" s="676"/>
      <c r="I29160" s="676"/>
      <c r="J29160" s="770"/>
    </row>
    <row r="29161" spans="8:10" x14ac:dyDescent="0.35">
      <c r="H29161" s="676"/>
      <c r="I29161" s="676"/>
      <c r="J29161" s="770"/>
    </row>
    <row r="29162" spans="8:10" x14ac:dyDescent="0.35">
      <c r="H29162" s="676"/>
      <c r="I29162" s="676"/>
      <c r="J29162" s="770"/>
    </row>
    <row r="29163" spans="8:10" x14ac:dyDescent="0.35">
      <c r="H29163" s="676"/>
      <c r="I29163" s="676"/>
      <c r="J29163" s="770"/>
    </row>
    <row r="29164" spans="8:10" x14ac:dyDescent="0.35">
      <c r="H29164" s="676"/>
      <c r="I29164" s="676"/>
      <c r="J29164" s="770"/>
    </row>
    <row r="29165" spans="8:10" x14ac:dyDescent="0.35">
      <c r="H29165" s="676"/>
      <c r="I29165" s="676"/>
      <c r="J29165" s="770"/>
    </row>
    <row r="29166" spans="8:10" x14ac:dyDescent="0.35">
      <c r="H29166" s="676"/>
      <c r="I29166" s="676"/>
      <c r="J29166" s="770"/>
    </row>
    <row r="29167" spans="8:10" x14ac:dyDescent="0.35">
      <c r="H29167" s="676"/>
      <c r="I29167" s="676"/>
      <c r="J29167" s="770"/>
    </row>
    <row r="29168" spans="8:10" x14ac:dyDescent="0.35">
      <c r="H29168" s="676"/>
      <c r="I29168" s="676"/>
      <c r="J29168" s="770"/>
    </row>
    <row r="29169" spans="8:10" x14ac:dyDescent="0.35">
      <c r="H29169" s="676"/>
      <c r="I29169" s="676"/>
      <c r="J29169" s="770"/>
    </row>
    <row r="29170" spans="8:10" x14ac:dyDescent="0.35">
      <c r="H29170" s="676"/>
      <c r="I29170" s="676"/>
      <c r="J29170" s="770"/>
    </row>
    <row r="29171" spans="8:10" x14ac:dyDescent="0.35">
      <c r="H29171" s="676"/>
      <c r="I29171" s="676"/>
      <c r="J29171" s="770"/>
    </row>
    <row r="29172" spans="8:10" x14ac:dyDescent="0.35">
      <c r="H29172" s="676"/>
      <c r="I29172" s="676"/>
      <c r="J29172" s="770"/>
    </row>
    <row r="29173" spans="8:10" x14ac:dyDescent="0.35">
      <c r="H29173" s="676"/>
      <c r="I29173" s="676"/>
      <c r="J29173" s="770"/>
    </row>
    <row r="29174" spans="8:10" x14ac:dyDescent="0.35">
      <c r="H29174" s="676"/>
      <c r="I29174" s="676"/>
      <c r="J29174" s="770"/>
    </row>
    <row r="29175" spans="8:10" x14ac:dyDescent="0.35">
      <c r="H29175" s="676"/>
      <c r="I29175" s="676"/>
      <c r="J29175" s="770"/>
    </row>
    <row r="29176" spans="8:10" x14ac:dyDescent="0.35">
      <c r="H29176" s="676"/>
      <c r="I29176" s="676"/>
      <c r="J29176" s="770"/>
    </row>
    <row r="29177" spans="8:10" x14ac:dyDescent="0.35">
      <c r="H29177" s="676"/>
      <c r="I29177" s="676"/>
      <c r="J29177" s="770"/>
    </row>
    <row r="29178" spans="8:10" x14ac:dyDescent="0.35">
      <c r="H29178" s="676"/>
      <c r="I29178" s="676"/>
      <c r="J29178" s="770"/>
    </row>
    <row r="29179" spans="8:10" x14ac:dyDescent="0.35">
      <c r="H29179" s="676"/>
      <c r="I29179" s="676"/>
      <c r="J29179" s="770"/>
    </row>
    <row r="29180" spans="8:10" x14ac:dyDescent="0.35">
      <c r="H29180" s="676"/>
      <c r="I29180" s="676"/>
      <c r="J29180" s="770"/>
    </row>
    <row r="29181" spans="8:10" x14ac:dyDescent="0.35">
      <c r="H29181" s="676"/>
      <c r="I29181" s="676"/>
      <c r="J29181" s="770"/>
    </row>
    <row r="29182" spans="8:10" x14ac:dyDescent="0.35">
      <c r="H29182" s="676"/>
      <c r="I29182" s="676"/>
      <c r="J29182" s="770"/>
    </row>
    <row r="29183" spans="8:10" x14ac:dyDescent="0.35">
      <c r="H29183" s="676"/>
      <c r="I29183" s="676"/>
      <c r="J29183" s="770"/>
    </row>
    <row r="29184" spans="8:10" x14ac:dyDescent="0.35">
      <c r="H29184" s="676"/>
      <c r="I29184" s="676"/>
      <c r="J29184" s="770"/>
    </row>
    <row r="29185" spans="8:10" x14ac:dyDescent="0.35">
      <c r="H29185" s="676"/>
      <c r="I29185" s="676"/>
      <c r="J29185" s="770"/>
    </row>
    <row r="29186" spans="8:10" x14ac:dyDescent="0.35">
      <c r="H29186" s="676"/>
      <c r="I29186" s="676"/>
      <c r="J29186" s="770"/>
    </row>
    <row r="29187" spans="8:10" x14ac:dyDescent="0.35">
      <c r="H29187" s="676"/>
      <c r="I29187" s="676"/>
      <c r="J29187" s="770"/>
    </row>
    <row r="29188" spans="8:10" x14ac:dyDescent="0.35">
      <c r="H29188" s="676"/>
      <c r="I29188" s="676"/>
      <c r="J29188" s="770"/>
    </row>
    <row r="29189" spans="8:10" x14ac:dyDescent="0.35">
      <c r="H29189" s="676"/>
      <c r="I29189" s="676"/>
      <c r="J29189" s="770"/>
    </row>
    <row r="29190" spans="8:10" x14ac:dyDescent="0.35">
      <c r="H29190" s="676"/>
      <c r="I29190" s="676"/>
      <c r="J29190" s="770"/>
    </row>
    <row r="29191" spans="8:10" x14ac:dyDescent="0.35">
      <c r="H29191" s="676"/>
      <c r="I29191" s="676"/>
      <c r="J29191" s="770"/>
    </row>
    <row r="29192" spans="8:10" x14ac:dyDescent="0.35">
      <c r="H29192" s="676"/>
      <c r="I29192" s="676"/>
      <c r="J29192" s="770"/>
    </row>
    <row r="29193" spans="8:10" x14ac:dyDescent="0.35">
      <c r="H29193" s="676"/>
      <c r="I29193" s="676"/>
      <c r="J29193" s="770"/>
    </row>
    <row r="29194" spans="8:10" x14ac:dyDescent="0.35">
      <c r="H29194" s="676"/>
      <c r="I29194" s="676"/>
      <c r="J29194" s="770"/>
    </row>
    <row r="29195" spans="8:10" x14ac:dyDescent="0.35">
      <c r="H29195" s="676"/>
      <c r="I29195" s="676"/>
      <c r="J29195" s="770"/>
    </row>
    <row r="29196" spans="8:10" x14ac:dyDescent="0.35">
      <c r="H29196" s="676"/>
      <c r="I29196" s="676"/>
      <c r="J29196" s="770"/>
    </row>
    <row r="29197" spans="8:10" x14ac:dyDescent="0.35">
      <c r="H29197" s="676"/>
      <c r="I29197" s="676"/>
      <c r="J29197" s="770"/>
    </row>
    <row r="29198" spans="8:10" x14ac:dyDescent="0.35">
      <c r="H29198" s="676"/>
      <c r="I29198" s="676"/>
      <c r="J29198" s="770"/>
    </row>
    <row r="29199" spans="8:10" x14ac:dyDescent="0.35">
      <c r="H29199" s="676"/>
      <c r="I29199" s="676"/>
      <c r="J29199" s="770"/>
    </row>
    <row r="29200" spans="8:10" x14ac:dyDescent="0.35">
      <c r="H29200" s="676"/>
      <c r="I29200" s="676"/>
      <c r="J29200" s="770"/>
    </row>
    <row r="29201" spans="8:10" x14ac:dyDescent="0.35">
      <c r="H29201" s="676"/>
      <c r="I29201" s="676"/>
      <c r="J29201" s="770"/>
    </row>
    <row r="29202" spans="8:10" x14ac:dyDescent="0.35">
      <c r="H29202" s="676"/>
      <c r="I29202" s="676"/>
      <c r="J29202" s="770"/>
    </row>
    <row r="29203" spans="8:10" x14ac:dyDescent="0.35">
      <c r="H29203" s="676"/>
      <c r="I29203" s="676"/>
      <c r="J29203" s="770"/>
    </row>
    <row r="29204" spans="8:10" x14ac:dyDescent="0.35">
      <c r="H29204" s="676"/>
      <c r="I29204" s="676"/>
      <c r="J29204" s="770"/>
    </row>
    <row r="29205" spans="8:10" x14ac:dyDescent="0.35">
      <c r="H29205" s="676"/>
      <c r="I29205" s="676"/>
      <c r="J29205" s="770"/>
    </row>
    <row r="29206" spans="8:10" x14ac:dyDescent="0.35">
      <c r="H29206" s="676"/>
      <c r="I29206" s="676"/>
      <c r="J29206" s="770"/>
    </row>
    <row r="29207" spans="8:10" x14ac:dyDescent="0.35">
      <c r="H29207" s="676"/>
      <c r="I29207" s="676"/>
      <c r="J29207" s="770"/>
    </row>
    <row r="29208" spans="8:10" x14ac:dyDescent="0.35">
      <c r="H29208" s="676"/>
      <c r="I29208" s="676"/>
      <c r="J29208" s="770"/>
    </row>
    <row r="29209" spans="8:10" x14ac:dyDescent="0.35">
      <c r="H29209" s="676"/>
      <c r="I29209" s="676"/>
      <c r="J29209" s="770"/>
    </row>
    <row r="29210" spans="8:10" x14ac:dyDescent="0.35">
      <c r="H29210" s="676"/>
      <c r="I29210" s="676"/>
      <c r="J29210" s="770"/>
    </row>
    <row r="29211" spans="8:10" x14ac:dyDescent="0.35">
      <c r="H29211" s="676"/>
      <c r="I29211" s="676"/>
      <c r="J29211" s="770"/>
    </row>
    <row r="29212" spans="8:10" x14ac:dyDescent="0.35">
      <c r="H29212" s="676"/>
      <c r="I29212" s="676"/>
      <c r="J29212" s="770"/>
    </row>
    <row r="29213" spans="8:10" x14ac:dyDescent="0.35">
      <c r="H29213" s="676"/>
      <c r="I29213" s="676"/>
      <c r="J29213" s="770"/>
    </row>
    <row r="29214" spans="8:10" x14ac:dyDescent="0.35">
      <c r="H29214" s="676"/>
      <c r="I29214" s="676"/>
      <c r="J29214" s="770"/>
    </row>
    <row r="29215" spans="8:10" x14ac:dyDescent="0.35">
      <c r="H29215" s="676"/>
      <c r="I29215" s="676"/>
      <c r="J29215" s="770"/>
    </row>
    <row r="29216" spans="8:10" x14ac:dyDescent="0.35">
      <c r="H29216" s="676"/>
      <c r="I29216" s="676"/>
      <c r="J29216" s="770"/>
    </row>
    <row r="29217" spans="8:10" x14ac:dyDescent="0.35">
      <c r="H29217" s="676"/>
      <c r="I29217" s="676"/>
      <c r="J29217" s="770"/>
    </row>
    <row r="29218" spans="8:10" x14ac:dyDescent="0.35">
      <c r="H29218" s="676"/>
      <c r="I29218" s="676"/>
      <c r="J29218" s="770"/>
    </row>
    <row r="29219" spans="8:10" x14ac:dyDescent="0.35">
      <c r="H29219" s="676"/>
      <c r="I29219" s="676"/>
      <c r="J29219" s="770"/>
    </row>
    <row r="29220" spans="8:10" x14ac:dyDescent="0.35">
      <c r="H29220" s="676"/>
      <c r="I29220" s="676"/>
      <c r="J29220" s="770"/>
    </row>
    <row r="29221" spans="8:10" x14ac:dyDescent="0.35">
      <c r="H29221" s="676"/>
      <c r="I29221" s="676"/>
      <c r="J29221" s="770"/>
    </row>
    <row r="29222" spans="8:10" x14ac:dyDescent="0.35">
      <c r="H29222" s="676"/>
      <c r="I29222" s="676"/>
      <c r="J29222" s="770"/>
    </row>
    <row r="29223" spans="8:10" x14ac:dyDescent="0.35">
      <c r="H29223" s="676"/>
      <c r="I29223" s="676"/>
      <c r="J29223" s="770"/>
    </row>
    <row r="29224" spans="8:10" x14ac:dyDescent="0.35">
      <c r="H29224" s="676"/>
      <c r="I29224" s="676"/>
      <c r="J29224" s="770"/>
    </row>
    <row r="29225" spans="8:10" x14ac:dyDescent="0.35">
      <c r="H29225" s="676"/>
      <c r="I29225" s="676"/>
      <c r="J29225" s="770"/>
    </row>
    <row r="29226" spans="8:10" x14ac:dyDescent="0.35">
      <c r="H29226" s="676"/>
      <c r="I29226" s="676"/>
      <c r="J29226" s="770"/>
    </row>
    <row r="29227" spans="8:10" x14ac:dyDescent="0.35">
      <c r="H29227" s="676"/>
      <c r="I29227" s="676"/>
      <c r="J29227" s="770"/>
    </row>
    <row r="29228" spans="8:10" x14ac:dyDescent="0.35">
      <c r="H29228" s="676"/>
      <c r="I29228" s="676"/>
      <c r="J29228" s="770"/>
    </row>
    <row r="29229" spans="8:10" x14ac:dyDescent="0.35">
      <c r="H29229" s="676"/>
      <c r="I29229" s="676"/>
      <c r="J29229" s="770"/>
    </row>
    <row r="29230" spans="8:10" x14ac:dyDescent="0.35">
      <c r="H29230" s="676"/>
      <c r="I29230" s="676"/>
      <c r="J29230" s="770"/>
    </row>
    <row r="29231" spans="8:10" x14ac:dyDescent="0.35">
      <c r="H29231" s="676"/>
      <c r="I29231" s="676"/>
      <c r="J29231" s="770"/>
    </row>
    <row r="29232" spans="8:10" x14ac:dyDescent="0.35">
      <c r="H29232" s="676"/>
      <c r="I29232" s="676"/>
      <c r="J29232" s="770"/>
    </row>
    <row r="29233" spans="8:10" x14ac:dyDescent="0.35">
      <c r="H29233" s="676"/>
      <c r="I29233" s="676"/>
      <c r="J29233" s="770"/>
    </row>
    <row r="29234" spans="8:10" x14ac:dyDescent="0.35">
      <c r="H29234" s="676"/>
      <c r="I29234" s="676"/>
      <c r="J29234" s="770"/>
    </row>
    <row r="29235" spans="8:10" x14ac:dyDescent="0.35">
      <c r="H29235" s="676"/>
      <c r="I29235" s="676"/>
      <c r="J29235" s="770"/>
    </row>
    <row r="29236" spans="8:10" x14ac:dyDescent="0.35">
      <c r="H29236" s="676"/>
      <c r="I29236" s="676"/>
      <c r="J29236" s="770"/>
    </row>
    <row r="29237" spans="8:10" x14ac:dyDescent="0.35">
      <c r="H29237" s="676"/>
      <c r="I29237" s="676"/>
      <c r="J29237" s="770"/>
    </row>
    <row r="29238" spans="8:10" x14ac:dyDescent="0.35">
      <c r="H29238" s="676"/>
      <c r="I29238" s="676"/>
      <c r="J29238" s="770"/>
    </row>
    <row r="29239" spans="8:10" x14ac:dyDescent="0.35">
      <c r="H29239" s="676"/>
      <c r="I29239" s="676"/>
      <c r="J29239" s="770"/>
    </row>
    <row r="29240" spans="8:10" x14ac:dyDescent="0.35">
      <c r="H29240" s="676"/>
      <c r="I29240" s="676"/>
      <c r="J29240" s="770"/>
    </row>
    <row r="29241" spans="8:10" x14ac:dyDescent="0.35">
      <c r="H29241" s="676"/>
      <c r="I29241" s="676"/>
      <c r="J29241" s="770"/>
    </row>
    <row r="29242" spans="8:10" x14ac:dyDescent="0.35">
      <c r="H29242" s="676"/>
      <c r="I29242" s="676"/>
      <c r="J29242" s="770"/>
    </row>
    <row r="29243" spans="8:10" x14ac:dyDescent="0.35">
      <c r="H29243" s="676"/>
      <c r="I29243" s="676"/>
      <c r="J29243" s="770"/>
    </row>
    <row r="29244" spans="8:10" x14ac:dyDescent="0.35">
      <c r="H29244" s="676"/>
      <c r="I29244" s="676"/>
      <c r="J29244" s="770"/>
    </row>
    <row r="29245" spans="8:10" x14ac:dyDescent="0.35">
      <c r="H29245" s="676"/>
      <c r="I29245" s="676"/>
      <c r="J29245" s="770"/>
    </row>
    <row r="29246" spans="8:10" x14ac:dyDescent="0.35">
      <c r="H29246" s="676"/>
      <c r="I29246" s="676"/>
      <c r="J29246" s="770"/>
    </row>
    <row r="29247" spans="8:10" x14ac:dyDescent="0.35">
      <c r="H29247" s="676"/>
      <c r="I29247" s="676"/>
      <c r="J29247" s="770"/>
    </row>
    <row r="29248" spans="8:10" x14ac:dyDescent="0.35">
      <c r="H29248" s="676"/>
      <c r="I29248" s="676"/>
      <c r="J29248" s="770"/>
    </row>
    <row r="29249" spans="8:10" x14ac:dyDescent="0.35">
      <c r="H29249" s="676"/>
      <c r="I29249" s="676"/>
      <c r="J29249" s="770"/>
    </row>
    <row r="29250" spans="8:10" x14ac:dyDescent="0.35">
      <c r="H29250" s="676"/>
      <c r="I29250" s="676"/>
      <c r="J29250" s="770"/>
    </row>
    <row r="29251" spans="8:10" x14ac:dyDescent="0.35">
      <c r="H29251" s="676"/>
      <c r="I29251" s="676"/>
      <c r="J29251" s="770"/>
    </row>
    <row r="29252" spans="8:10" x14ac:dyDescent="0.35">
      <c r="H29252" s="676"/>
      <c r="I29252" s="676"/>
      <c r="J29252" s="770"/>
    </row>
    <row r="29253" spans="8:10" x14ac:dyDescent="0.35">
      <c r="H29253" s="676"/>
      <c r="I29253" s="676"/>
      <c r="J29253" s="770"/>
    </row>
    <row r="29254" spans="8:10" x14ac:dyDescent="0.35">
      <c r="H29254" s="676"/>
      <c r="I29254" s="676"/>
      <c r="J29254" s="770"/>
    </row>
    <row r="29255" spans="8:10" x14ac:dyDescent="0.35">
      <c r="H29255" s="676"/>
      <c r="I29255" s="676"/>
      <c r="J29255" s="770"/>
    </row>
    <row r="29256" spans="8:10" x14ac:dyDescent="0.35">
      <c r="H29256" s="676"/>
      <c r="I29256" s="676"/>
      <c r="J29256" s="770"/>
    </row>
    <row r="29257" spans="8:10" x14ac:dyDescent="0.35">
      <c r="H29257" s="676"/>
      <c r="I29257" s="676"/>
      <c r="J29257" s="770"/>
    </row>
    <row r="29258" spans="8:10" x14ac:dyDescent="0.35">
      <c r="H29258" s="676"/>
      <c r="I29258" s="676"/>
      <c r="J29258" s="770"/>
    </row>
    <row r="29259" spans="8:10" x14ac:dyDescent="0.35">
      <c r="H29259" s="676"/>
      <c r="I29259" s="676"/>
      <c r="J29259" s="770"/>
    </row>
    <row r="29260" spans="8:10" x14ac:dyDescent="0.35">
      <c r="H29260" s="676"/>
      <c r="I29260" s="676"/>
      <c r="J29260" s="770"/>
    </row>
    <row r="29261" spans="8:10" x14ac:dyDescent="0.35">
      <c r="H29261" s="676"/>
      <c r="I29261" s="676"/>
      <c r="J29261" s="770"/>
    </row>
    <row r="29262" spans="8:10" x14ac:dyDescent="0.35">
      <c r="H29262" s="676"/>
      <c r="I29262" s="676"/>
      <c r="J29262" s="770"/>
    </row>
    <row r="29263" spans="8:10" x14ac:dyDescent="0.35">
      <c r="H29263" s="676"/>
      <c r="I29263" s="676"/>
      <c r="J29263" s="770"/>
    </row>
    <row r="29264" spans="8:10" x14ac:dyDescent="0.35">
      <c r="H29264" s="676"/>
      <c r="I29264" s="676"/>
      <c r="J29264" s="770"/>
    </row>
    <row r="29265" spans="8:10" x14ac:dyDescent="0.35">
      <c r="H29265" s="676"/>
      <c r="I29265" s="676"/>
      <c r="J29265" s="770"/>
    </row>
    <row r="29266" spans="8:10" x14ac:dyDescent="0.35">
      <c r="H29266" s="676"/>
      <c r="I29266" s="676"/>
      <c r="J29266" s="770"/>
    </row>
    <row r="29267" spans="8:10" x14ac:dyDescent="0.35">
      <c r="H29267" s="676"/>
      <c r="I29267" s="676"/>
      <c r="J29267" s="770"/>
    </row>
    <row r="29268" spans="8:10" x14ac:dyDescent="0.35">
      <c r="H29268" s="676"/>
      <c r="I29268" s="676"/>
      <c r="J29268" s="770"/>
    </row>
    <row r="29269" spans="8:10" x14ac:dyDescent="0.35">
      <c r="H29269" s="676"/>
      <c r="I29269" s="676"/>
      <c r="J29269" s="770"/>
    </row>
    <row r="29270" spans="8:10" x14ac:dyDescent="0.35">
      <c r="H29270" s="676"/>
      <c r="I29270" s="676"/>
      <c r="J29270" s="770"/>
    </row>
    <row r="29271" spans="8:10" x14ac:dyDescent="0.35">
      <c r="H29271" s="676"/>
      <c r="I29271" s="676"/>
      <c r="J29271" s="770"/>
    </row>
    <row r="29272" spans="8:10" x14ac:dyDescent="0.35">
      <c r="H29272" s="676"/>
      <c r="I29272" s="676"/>
      <c r="J29272" s="770"/>
    </row>
    <row r="29273" spans="8:10" x14ac:dyDescent="0.35">
      <c r="H29273" s="676"/>
      <c r="I29273" s="676"/>
      <c r="J29273" s="770"/>
    </row>
    <row r="29274" spans="8:10" x14ac:dyDescent="0.35">
      <c r="H29274" s="676"/>
      <c r="I29274" s="676"/>
      <c r="J29274" s="770"/>
    </row>
    <row r="29275" spans="8:10" x14ac:dyDescent="0.35">
      <c r="H29275" s="676"/>
      <c r="I29275" s="676"/>
      <c r="J29275" s="770"/>
    </row>
    <row r="29276" spans="8:10" x14ac:dyDescent="0.35">
      <c r="H29276" s="676"/>
      <c r="I29276" s="676"/>
      <c r="J29276" s="770"/>
    </row>
    <row r="29277" spans="8:10" x14ac:dyDescent="0.35">
      <c r="H29277" s="676"/>
      <c r="I29277" s="676"/>
      <c r="J29277" s="770"/>
    </row>
    <row r="29278" spans="8:10" x14ac:dyDescent="0.35">
      <c r="H29278" s="676"/>
      <c r="I29278" s="676"/>
      <c r="J29278" s="770"/>
    </row>
    <row r="29279" spans="8:10" x14ac:dyDescent="0.35">
      <c r="H29279" s="676"/>
      <c r="I29279" s="676"/>
      <c r="J29279" s="770"/>
    </row>
    <row r="29280" spans="8:10" x14ac:dyDescent="0.35">
      <c r="H29280" s="676"/>
      <c r="I29280" s="676"/>
      <c r="J29280" s="770"/>
    </row>
    <row r="29281" spans="8:10" x14ac:dyDescent="0.35">
      <c r="H29281" s="676"/>
      <c r="I29281" s="676"/>
      <c r="J29281" s="770"/>
    </row>
    <row r="29282" spans="8:10" x14ac:dyDescent="0.35">
      <c r="H29282" s="676"/>
      <c r="I29282" s="676"/>
      <c r="J29282" s="770"/>
    </row>
    <row r="29283" spans="8:10" x14ac:dyDescent="0.35">
      <c r="H29283" s="676"/>
      <c r="I29283" s="676"/>
      <c r="J29283" s="770"/>
    </row>
    <row r="29284" spans="8:10" x14ac:dyDescent="0.35">
      <c r="H29284" s="676"/>
      <c r="I29284" s="676"/>
      <c r="J29284" s="770"/>
    </row>
    <row r="29285" spans="8:10" x14ac:dyDescent="0.35">
      <c r="H29285" s="676"/>
      <c r="I29285" s="676"/>
      <c r="J29285" s="770"/>
    </row>
    <row r="29286" spans="8:10" x14ac:dyDescent="0.35">
      <c r="H29286" s="676"/>
      <c r="I29286" s="676"/>
      <c r="J29286" s="770"/>
    </row>
    <row r="29287" spans="8:10" x14ac:dyDescent="0.35">
      <c r="H29287" s="676"/>
      <c r="I29287" s="676"/>
      <c r="J29287" s="770"/>
    </row>
    <row r="29288" spans="8:10" x14ac:dyDescent="0.35">
      <c r="H29288" s="676"/>
      <c r="I29288" s="676"/>
      <c r="J29288" s="770"/>
    </row>
    <row r="29289" spans="8:10" x14ac:dyDescent="0.35">
      <c r="H29289" s="676"/>
      <c r="I29289" s="676"/>
      <c r="J29289" s="770"/>
    </row>
    <row r="29290" spans="8:10" x14ac:dyDescent="0.35">
      <c r="H29290" s="676"/>
      <c r="I29290" s="676"/>
      <c r="J29290" s="770"/>
    </row>
    <row r="29291" spans="8:10" x14ac:dyDescent="0.35">
      <c r="H29291" s="676"/>
      <c r="I29291" s="676"/>
      <c r="J29291" s="770"/>
    </row>
    <row r="29292" spans="8:10" x14ac:dyDescent="0.35">
      <c r="H29292" s="676"/>
      <c r="I29292" s="676"/>
      <c r="J29292" s="770"/>
    </row>
    <row r="29293" spans="8:10" x14ac:dyDescent="0.35">
      <c r="H29293" s="676"/>
      <c r="I29293" s="676"/>
      <c r="J29293" s="770"/>
    </row>
    <row r="29294" spans="8:10" x14ac:dyDescent="0.35">
      <c r="H29294" s="676"/>
      <c r="I29294" s="676"/>
      <c r="J29294" s="770"/>
    </row>
    <row r="29295" spans="8:10" x14ac:dyDescent="0.35">
      <c r="H29295" s="676"/>
      <c r="I29295" s="676"/>
      <c r="J29295" s="770"/>
    </row>
    <row r="29296" spans="8:10" x14ac:dyDescent="0.35">
      <c r="H29296" s="676"/>
      <c r="I29296" s="676"/>
      <c r="J29296" s="770"/>
    </row>
    <row r="29297" spans="8:10" x14ac:dyDescent="0.35">
      <c r="H29297" s="676"/>
      <c r="I29297" s="676"/>
      <c r="J29297" s="770"/>
    </row>
    <row r="29298" spans="8:10" x14ac:dyDescent="0.35">
      <c r="H29298" s="676"/>
      <c r="I29298" s="676"/>
      <c r="J29298" s="770"/>
    </row>
    <row r="29299" spans="8:10" x14ac:dyDescent="0.35">
      <c r="H29299" s="676"/>
      <c r="I29299" s="676"/>
      <c r="J29299" s="770"/>
    </row>
    <row r="29300" spans="8:10" x14ac:dyDescent="0.35">
      <c r="H29300" s="676"/>
      <c r="I29300" s="676"/>
      <c r="J29300" s="770"/>
    </row>
    <row r="29301" spans="8:10" x14ac:dyDescent="0.35">
      <c r="H29301" s="676"/>
      <c r="I29301" s="676"/>
      <c r="J29301" s="770"/>
    </row>
    <row r="29302" spans="8:10" x14ac:dyDescent="0.35">
      <c r="H29302" s="676"/>
      <c r="I29302" s="676"/>
      <c r="J29302" s="770"/>
    </row>
    <row r="29303" spans="8:10" x14ac:dyDescent="0.35">
      <c r="H29303" s="676"/>
      <c r="I29303" s="676"/>
      <c r="J29303" s="770"/>
    </row>
    <row r="29304" spans="8:10" x14ac:dyDescent="0.35">
      <c r="H29304" s="676"/>
      <c r="I29304" s="676"/>
      <c r="J29304" s="770"/>
    </row>
    <row r="29305" spans="8:10" x14ac:dyDescent="0.35">
      <c r="H29305" s="676"/>
      <c r="I29305" s="676"/>
      <c r="J29305" s="770"/>
    </row>
    <row r="29306" spans="8:10" x14ac:dyDescent="0.35">
      <c r="H29306" s="676"/>
      <c r="I29306" s="676"/>
      <c r="J29306" s="770"/>
    </row>
    <row r="29307" spans="8:10" x14ac:dyDescent="0.35">
      <c r="H29307" s="676"/>
      <c r="I29307" s="676"/>
      <c r="J29307" s="770"/>
    </row>
    <row r="29308" spans="8:10" x14ac:dyDescent="0.35">
      <c r="H29308" s="676"/>
      <c r="I29308" s="676"/>
      <c r="J29308" s="770"/>
    </row>
    <row r="29309" spans="8:10" x14ac:dyDescent="0.35">
      <c r="H29309" s="676"/>
      <c r="I29309" s="676"/>
      <c r="J29309" s="770"/>
    </row>
    <row r="29310" spans="8:10" x14ac:dyDescent="0.35">
      <c r="H29310" s="676"/>
      <c r="I29310" s="676"/>
      <c r="J29310" s="770"/>
    </row>
    <row r="29311" spans="8:10" x14ac:dyDescent="0.35">
      <c r="H29311" s="676"/>
      <c r="I29311" s="676"/>
      <c r="J29311" s="770"/>
    </row>
    <row r="29312" spans="8:10" x14ac:dyDescent="0.35">
      <c r="H29312" s="676"/>
      <c r="I29312" s="676"/>
      <c r="J29312" s="770"/>
    </row>
    <row r="29313" spans="8:10" x14ac:dyDescent="0.35">
      <c r="H29313" s="676"/>
      <c r="I29313" s="676"/>
      <c r="J29313" s="770"/>
    </row>
    <row r="29314" spans="8:10" x14ac:dyDescent="0.35">
      <c r="H29314" s="676"/>
      <c r="I29314" s="676"/>
      <c r="J29314" s="770"/>
    </row>
    <row r="29315" spans="8:10" x14ac:dyDescent="0.35">
      <c r="H29315" s="676"/>
      <c r="I29315" s="676"/>
      <c r="J29315" s="770"/>
    </row>
    <row r="29316" spans="8:10" x14ac:dyDescent="0.35">
      <c r="H29316" s="676"/>
      <c r="I29316" s="676"/>
      <c r="J29316" s="770"/>
    </row>
    <row r="29317" spans="8:10" x14ac:dyDescent="0.35">
      <c r="H29317" s="676"/>
      <c r="I29317" s="676"/>
      <c r="J29317" s="770"/>
    </row>
    <row r="29318" spans="8:10" x14ac:dyDescent="0.35">
      <c r="H29318" s="676"/>
      <c r="I29318" s="676"/>
      <c r="J29318" s="770"/>
    </row>
    <row r="29319" spans="8:10" x14ac:dyDescent="0.35">
      <c r="H29319" s="676"/>
      <c r="I29319" s="676"/>
      <c r="J29319" s="770"/>
    </row>
    <row r="29320" spans="8:10" x14ac:dyDescent="0.35">
      <c r="H29320" s="676"/>
      <c r="I29320" s="676"/>
      <c r="J29320" s="770"/>
    </row>
    <row r="29321" spans="8:10" x14ac:dyDescent="0.35">
      <c r="H29321" s="676"/>
      <c r="I29321" s="676"/>
      <c r="J29321" s="770"/>
    </row>
    <row r="29322" spans="8:10" x14ac:dyDescent="0.35">
      <c r="H29322" s="676"/>
      <c r="I29322" s="676"/>
      <c r="J29322" s="770"/>
    </row>
    <row r="29323" spans="8:10" x14ac:dyDescent="0.35">
      <c r="H29323" s="676"/>
      <c r="I29323" s="676"/>
      <c r="J29323" s="770"/>
    </row>
    <row r="29324" spans="8:10" x14ac:dyDescent="0.35">
      <c r="H29324" s="676"/>
      <c r="I29324" s="676"/>
      <c r="J29324" s="770"/>
    </row>
    <row r="29325" spans="8:10" x14ac:dyDescent="0.35">
      <c r="H29325" s="676"/>
      <c r="I29325" s="676"/>
      <c r="J29325" s="770"/>
    </row>
    <row r="29326" spans="8:10" x14ac:dyDescent="0.35">
      <c r="H29326" s="676"/>
      <c r="I29326" s="676"/>
      <c r="J29326" s="770"/>
    </row>
    <row r="29327" spans="8:10" x14ac:dyDescent="0.35">
      <c r="H29327" s="676"/>
      <c r="I29327" s="676"/>
      <c r="J29327" s="770"/>
    </row>
    <row r="29328" spans="8:10" x14ac:dyDescent="0.35">
      <c r="H29328" s="676"/>
      <c r="I29328" s="676"/>
      <c r="J29328" s="770"/>
    </row>
    <row r="29329" spans="8:10" x14ac:dyDescent="0.35">
      <c r="H29329" s="676"/>
      <c r="I29329" s="676"/>
      <c r="J29329" s="770"/>
    </row>
    <row r="29330" spans="8:10" x14ac:dyDescent="0.35">
      <c r="H29330" s="676"/>
      <c r="I29330" s="676"/>
      <c r="J29330" s="770"/>
    </row>
    <row r="29331" spans="8:10" x14ac:dyDescent="0.35">
      <c r="H29331" s="676"/>
      <c r="I29331" s="676"/>
      <c r="J29331" s="770"/>
    </row>
    <row r="29332" spans="8:10" x14ac:dyDescent="0.35">
      <c r="H29332" s="676"/>
      <c r="I29332" s="676"/>
      <c r="J29332" s="770"/>
    </row>
    <row r="29333" spans="8:10" x14ac:dyDescent="0.35">
      <c r="H29333" s="676"/>
      <c r="I29333" s="676"/>
      <c r="J29333" s="770"/>
    </row>
    <row r="29334" spans="8:10" x14ac:dyDescent="0.35">
      <c r="H29334" s="676"/>
      <c r="I29334" s="676"/>
      <c r="J29334" s="770"/>
    </row>
    <row r="29335" spans="8:10" x14ac:dyDescent="0.35">
      <c r="H29335" s="676"/>
      <c r="I29335" s="676"/>
      <c r="J29335" s="770"/>
    </row>
    <row r="29336" spans="8:10" x14ac:dyDescent="0.35">
      <c r="H29336" s="676"/>
      <c r="I29336" s="676"/>
      <c r="J29336" s="770"/>
    </row>
    <row r="29337" spans="8:10" x14ac:dyDescent="0.35">
      <c r="H29337" s="676"/>
      <c r="I29337" s="676"/>
      <c r="J29337" s="770"/>
    </row>
    <row r="29338" spans="8:10" x14ac:dyDescent="0.35">
      <c r="H29338" s="676"/>
      <c r="I29338" s="676"/>
      <c r="J29338" s="770"/>
    </row>
    <row r="29339" spans="8:10" x14ac:dyDescent="0.35">
      <c r="H29339" s="676"/>
      <c r="I29339" s="676"/>
      <c r="J29339" s="770"/>
    </row>
    <row r="29340" spans="8:10" x14ac:dyDescent="0.35">
      <c r="H29340" s="676"/>
      <c r="I29340" s="676"/>
      <c r="J29340" s="770"/>
    </row>
    <row r="29341" spans="8:10" x14ac:dyDescent="0.35">
      <c r="H29341" s="676"/>
      <c r="I29341" s="676"/>
      <c r="J29341" s="770"/>
    </row>
    <row r="29342" spans="8:10" x14ac:dyDescent="0.35">
      <c r="H29342" s="676"/>
      <c r="I29342" s="676"/>
      <c r="J29342" s="770"/>
    </row>
    <row r="29343" spans="8:10" x14ac:dyDescent="0.35">
      <c r="H29343" s="676"/>
      <c r="I29343" s="676"/>
      <c r="J29343" s="770"/>
    </row>
    <row r="29344" spans="8:10" x14ac:dyDescent="0.35">
      <c r="H29344" s="676"/>
      <c r="I29344" s="676"/>
      <c r="J29344" s="770"/>
    </row>
    <row r="29345" spans="8:10" x14ac:dyDescent="0.35">
      <c r="H29345" s="676"/>
      <c r="I29345" s="676"/>
      <c r="J29345" s="770"/>
    </row>
    <row r="29346" spans="8:10" x14ac:dyDescent="0.35">
      <c r="H29346" s="676"/>
      <c r="I29346" s="676"/>
      <c r="J29346" s="770"/>
    </row>
    <row r="29347" spans="8:10" x14ac:dyDescent="0.35">
      <c r="H29347" s="676"/>
      <c r="I29347" s="676"/>
      <c r="J29347" s="770"/>
    </row>
    <row r="29348" spans="8:10" x14ac:dyDescent="0.35">
      <c r="H29348" s="676"/>
      <c r="I29348" s="676"/>
      <c r="J29348" s="770"/>
    </row>
    <row r="29349" spans="8:10" x14ac:dyDescent="0.35">
      <c r="H29349" s="676"/>
      <c r="I29349" s="676"/>
      <c r="J29349" s="770"/>
    </row>
    <row r="29350" spans="8:10" x14ac:dyDescent="0.35">
      <c r="H29350" s="676"/>
      <c r="I29350" s="676"/>
      <c r="J29350" s="770"/>
    </row>
    <row r="29351" spans="8:10" x14ac:dyDescent="0.35">
      <c r="H29351" s="676"/>
      <c r="I29351" s="676"/>
      <c r="J29351" s="770"/>
    </row>
    <row r="29352" spans="8:10" x14ac:dyDescent="0.35">
      <c r="H29352" s="676"/>
      <c r="I29352" s="676"/>
      <c r="J29352" s="770"/>
    </row>
    <row r="29353" spans="8:10" x14ac:dyDescent="0.35">
      <c r="H29353" s="676"/>
      <c r="I29353" s="676"/>
      <c r="J29353" s="770"/>
    </row>
    <row r="29354" spans="8:10" x14ac:dyDescent="0.35">
      <c r="H29354" s="676"/>
      <c r="I29354" s="676"/>
      <c r="J29354" s="770"/>
    </row>
    <row r="29355" spans="8:10" x14ac:dyDescent="0.35">
      <c r="H29355" s="676"/>
      <c r="I29355" s="676"/>
      <c r="J29355" s="770"/>
    </row>
    <row r="29356" spans="8:10" x14ac:dyDescent="0.35">
      <c r="H29356" s="676"/>
      <c r="I29356" s="676"/>
      <c r="J29356" s="770"/>
    </row>
    <row r="29357" spans="8:10" x14ac:dyDescent="0.35">
      <c r="H29357" s="676"/>
      <c r="I29357" s="676"/>
      <c r="J29357" s="770"/>
    </row>
    <row r="29358" spans="8:10" x14ac:dyDescent="0.35">
      <c r="H29358" s="676"/>
      <c r="I29358" s="676"/>
      <c r="J29358" s="770"/>
    </row>
    <row r="29359" spans="8:10" x14ac:dyDescent="0.35">
      <c r="H29359" s="676"/>
      <c r="I29359" s="676"/>
      <c r="J29359" s="770"/>
    </row>
    <row r="29360" spans="8:10" x14ac:dyDescent="0.35">
      <c r="H29360" s="676"/>
      <c r="I29360" s="676"/>
      <c r="J29360" s="770"/>
    </row>
    <row r="29361" spans="8:10" x14ac:dyDescent="0.35">
      <c r="H29361" s="676"/>
      <c r="I29361" s="676"/>
      <c r="J29361" s="770"/>
    </row>
    <row r="29362" spans="8:10" x14ac:dyDescent="0.35">
      <c r="H29362" s="676"/>
      <c r="I29362" s="676"/>
      <c r="J29362" s="770"/>
    </row>
    <row r="29363" spans="8:10" x14ac:dyDescent="0.35">
      <c r="H29363" s="676"/>
      <c r="I29363" s="676"/>
      <c r="J29363" s="770"/>
    </row>
    <row r="29364" spans="8:10" x14ac:dyDescent="0.35">
      <c r="H29364" s="676"/>
      <c r="I29364" s="676"/>
      <c r="J29364" s="770"/>
    </row>
    <row r="29365" spans="8:10" x14ac:dyDescent="0.35">
      <c r="H29365" s="676"/>
      <c r="I29365" s="676"/>
      <c r="J29365" s="770"/>
    </row>
    <row r="29366" spans="8:10" x14ac:dyDescent="0.35">
      <c r="H29366" s="676"/>
      <c r="I29366" s="676"/>
      <c r="J29366" s="770"/>
    </row>
    <row r="29367" spans="8:10" x14ac:dyDescent="0.35">
      <c r="H29367" s="676"/>
      <c r="I29367" s="676"/>
      <c r="J29367" s="770"/>
    </row>
    <row r="29368" spans="8:10" x14ac:dyDescent="0.35">
      <c r="H29368" s="676"/>
      <c r="I29368" s="676"/>
      <c r="J29368" s="770"/>
    </row>
    <row r="29369" spans="8:10" x14ac:dyDescent="0.35">
      <c r="H29369" s="676"/>
      <c r="I29369" s="676"/>
      <c r="J29369" s="770"/>
    </row>
    <row r="29370" spans="8:10" x14ac:dyDescent="0.35">
      <c r="H29370" s="676"/>
      <c r="I29370" s="676"/>
      <c r="J29370" s="770"/>
    </row>
    <row r="29371" spans="8:10" x14ac:dyDescent="0.35">
      <c r="H29371" s="676"/>
      <c r="I29371" s="676"/>
      <c r="J29371" s="770"/>
    </row>
    <row r="29372" spans="8:10" x14ac:dyDescent="0.35">
      <c r="H29372" s="676"/>
      <c r="I29372" s="676"/>
      <c r="J29372" s="770"/>
    </row>
    <row r="29373" spans="8:10" x14ac:dyDescent="0.35">
      <c r="H29373" s="676"/>
      <c r="I29373" s="676"/>
      <c r="J29373" s="770"/>
    </row>
    <row r="29374" spans="8:10" x14ac:dyDescent="0.35">
      <c r="H29374" s="676"/>
      <c r="I29374" s="676"/>
      <c r="J29374" s="770"/>
    </row>
    <row r="29375" spans="8:10" x14ac:dyDescent="0.35">
      <c r="H29375" s="676"/>
      <c r="I29375" s="676"/>
      <c r="J29375" s="770"/>
    </row>
    <row r="29376" spans="8:10" x14ac:dyDescent="0.35">
      <c r="H29376" s="676"/>
      <c r="I29376" s="676"/>
      <c r="J29376" s="770"/>
    </row>
    <row r="29377" spans="8:10" x14ac:dyDescent="0.35">
      <c r="H29377" s="676"/>
      <c r="I29377" s="676"/>
      <c r="J29377" s="770"/>
    </row>
    <row r="29378" spans="8:10" x14ac:dyDescent="0.35">
      <c r="H29378" s="676"/>
      <c r="I29378" s="676"/>
      <c r="J29378" s="770"/>
    </row>
    <row r="29379" spans="8:10" x14ac:dyDescent="0.35">
      <c r="H29379" s="676"/>
      <c r="I29379" s="676"/>
      <c r="J29379" s="770"/>
    </row>
    <row r="29380" spans="8:10" x14ac:dyDescent="0.35">
      <c r="H29380" s="676"/>
      <c r="I29380" s="676"/>
      <c r="J29380" s="770"/>
    </row>
    <row r="29381" spans="8:10" x14ac:dyDescent="0.35">
      <c r="H29381" s="676"/>
      <c r="I29381" s="676"/>
      <c r="J29381" s="770"/>
    </row>
    <row r="29382" spans="8:10" x14ac:dyDescent="0.35">
      <c r="H29382" s="676"/>
      <c r="I29382" s="676"/>
      <c r="J29382" s="770"/>
    </row>
    <row r="29383" spans="8:10" x14ac:dyDescent="0.35">
      <c r="H29383" s="676"/>
      <c r="I29383" s="676"/>
      <c r="J29383" s="770"/>
    </row>
    <row r="29384" spans="8:10" x14ac:dyDescent="0.35">
      <c r="H29384" s="676"/>
      <c r="I29384" s="676"/>
      <c r="J29384" s="770"/>
    </row>
    <row r="29385" spans="8:10" x14ac:dyDescent="0.35">
      <c r="H29385" s="676"/>
      <c r="I29385" s="676"/>
      <c r="J29385" s="770"/>
    </row>
    <row r="29386" spans="8:10" x14ac:dyDescent="0.35">
      <c r="H29386" s="676"/>
      <c r="I29386" s="676"/>
      <c r="J29386" s="770"/>
    </row>
    <row r="29387" spans="8:10" x14ac:dyDescent="0.35">
      <c r="H29387" s="676"/>
      <c r="I29387" s="676"/>
      <c r="J29387" s="770"/>
    </row>
    <row r="29388" spans="8:10" x14ac:dyDescent="0.35">
      <c r="H29388" s="676"/>
      <c r="I29388" s="676"/>
      <c r="J29388" s="770"/>
    </row>
    <row r="29389" spans="8:10" x14ac:dyDescent="0.35">
      <c r="H29389" s="676"/>
      <c r="I29389" s="676"/>
      <c r="J29389" s="770"/>
    </row>
    <row r="29390" spans="8:10" x14ac:dyDescent="0.35">
      <c r="H29390" s="676"/>
      <c r="I29390" s="676"/>
      <c r="J29390" s="770"/>
    </row>
    <row r="29391" spans="8:10" x14ac:dyDescent="0.35">
      <c r="H29391" s="676"/>
      <c r="I29391" s="676"/>
      <c r="J29391" s="770"/>
    </row>
    <row r="29392" spans="8:10" x14ac:dyDescent="0.35">
      <c r="H29392" s="676"/>
      <c r="I29392" s="676"/>
      <c r="J29392" s="770"/>
    </row>
    <row r="29393" spans="8:10" x14ac:dyDescent="0.35">
      <c r="H29393" s="676"/>
      <c r="I29393" s="676"/>
      <c r="J29393" s="770"/>
    </row>
    <row r="29394" spans="8:10" x14ac:dyDescent="0.35">
      <c r="H29394" s="676"/>
      <c r="I29394" s="676"/>
      <c r="J29394" s="770"/>
    </row>
    <row r="29395" spans="8:10" x14ac:dyDescent="0.35">
      <c r="H29395" s="676"/>
      <c r="I29395" s="676"/>
      <c r="J29395" s="770"/>
    </row>
    <row r="29396" spans="8:10" x14ac:dyDescent="0.35">
      <c r="H29396" s="676"/>
      <c r="I29396" s="676"/>
      <c r="J29396" s="770"/>
    </row>
    <row r="29397" spans="8:10" x14ac:dyDescent="0.35">
      <c r="H29397" s="676"/>
      <c r="I29397" s="676"/>
      <c r="J29397" s="770"/>
    </row>
    <row r="29398" spans="8:10" x14ac:dyDescent="0.35">
      <c r="H29398" s="676"/>
      <c r="I29398" s="676"/>
      <c r="J29398" s="770"/>
    </row>
    <row r="29399" spans="8:10" x14ac:dyDescent="0.35">
      <c r="H29399" s="676"/>
      <c r="I29399" s="676"/>
      <c r="J29399" s="770"/>
    </row>
    <row r="29400" spans="8:10" x14ac:dyDescent="0.35">
      <c r="H29400" s="676"/>
      <c r="I29400" s="676"/>
      <c r="J29400" s="770"/>
    </row>
    <row r="29401" spans="8:10" x14ac:dyDescent="0.35">
      <c r="H29401" s="676"/>
      <c r="I29401" s="676"/>
      <c r="J29401" s="770"/>
    </row>
    <row r="29402" spans="8:10" x14ac:dyDescent="0.35">
      <c r="H29402" s="676"/>
      <c r="I29402" s="676"/>
      <c r="J29402" s="770"/>
    </row>
    <row r="29403" spans="8:10" x14ac:dyDescent="0.35">
      <c r="H29403" s="676"/>
      <c r="I29403" s="676"/>
      <c r="J29403" s="770"/>
    </row>
    <row r="29404" spans="8:10" x14ac:dyDescent="0.35">
      <c r="H29404" s="676"/>
      <c r="I29404" s="676"/>
      <c r="J29404" s="770"/>
    </row>
    <row r="29405" spans="8:10" x14ac:dyDescent="0.35">
      <c r="H29405" s="676"/>
      <c r="I29405" s="676"/>
      <c r="J29405" s="770"/>
    </row>
    <row r="29406" spans="8:10" x14ac:dyDescent="0.35">
      <c r="H29406" s="676"/>
      <c r="I29406" s="676"/>
      <c r="J29406" s="770"/>
    </row>
    <row r="29407" spans="8:10" x14ac:dyDescent="0.35">
      <c r="H29407" s="676"/>
      <c r="I29407" s="676"/>
      <c r="J29407" s="770"/>
    </row>
    <row r="29408" spans="8:10" x14ac:dyDescent="0.35">
      <c r="H29408" s="676"/>
      <c r="I29408" s="676"/>
      <c r="J29408" s="770"/>
    </row>
    <row r="29409" spans="8:10" x14ac:dyDescent="0.35">
      <c r="H29409" s="676"/>
      <c r="I29409" s="676"/>
      <c r="J29409" s="770"/>
    </row>
    <row r="29410" spans="8:10" x14ac:dyDescent="0.35">
      <c r="H29410" s="676"/>
      <c r="I29410" s="676"/>
      <c r="J29410" s="770"/>
    </row>
    <row r="29411" spans="8:10" x14ac:dyDescent="0.35">
      <c r="H29411" s="676"/>
      <c r="I29411" s="676"/>
      <c r="J29411" s="770"/>
    </row>
    <row r="29412" spans="8:10" x14ac:dyDescent="0.35">
      <c r="H29412" s="676"/>
      <c r="I29412" s="676"/>
      <c r="J29412" s="770"/>
    </row>
    <row r="29413" spans="8:10" x14ac:dyDescent="0.35">
      <c r="H29413" s="676"/>
      <c r="I29413" s="676"/>
      <c r="J29413" s="770"/>
    </row>
    <row r="29414" spans="8:10" x14ac:dyDescent="0.35">
      <c r="H29414" s="676"/>
      <c r="I29414" s="676"/>
      <c r="J29414" s="770"/>
    </row>
    <row r="29415" spans="8:10" x14ac:dyDescent="0.35">
      <c r="H29415" s="676"/>
      <c r="I29415" s="676"/>
      <c r="J29415" s="770"/>
    </row>
    <row r="29416" spans="8:10" x14ac:dyDescent="0.35">
      <c r="H29416" s="676"/>
      <c r="I29416" s="676"/>
      <c r="J29416" s="770"/>
    </row>
    <row r="29417" spans="8:10" x14ac:dyDescent="0.35">
      <c r="H29417" s="676"/>
      <c r="I29417" s="676"/>
      <c r="J29417" s="770"/>
    </row>
    <row r="29418" spans="8:10" x14ac:dyDescent="0.35">
      <c r="H29418" s="676"/>
      <c r="I29418" s="676"/>
      <c r="J29418" s="770"/>
    </row>
    <row r="29419" spans="8:10" x14ac:dyDescent="0.35">
      <c r="H29419" s="676"/>
      <c r="I29419" s="676"/>
      <c r="J29419" s="770"/>
    </row>
    <row r="29420" spans="8:10" x14ac:dyDescent="0.35">
      <c r="H29420" s="676"/>
      <c r="I29420" s="676"/>
      <c r="J29420" s="770"/>
    </row>
    <row r="29421" spans="8:10" x14ac:dyDescent="0.35">
      <c r="H29421" s="676"/>
      <c r="I29421" s="676"/>
      <c r="J29421" s="770"/>
    </row>
    <row r="29422" spans="8:10" x14ac:dyDescent="0.35">
      <c r="H29422" s="676"/>
      <c r="I29422" s="676"/>
      <c r="J29422" s="770"/>
    </row>
    <row r="29423" spans="8:10" x14ac:dyDescent="0.35">
      <c r="H29423" s="676"/>
      <c r="I29423" s="676"/>
      <c r="J29423" s="770"/>
    </row>
    <row r="29424" spans="8:10" x14ac:dyDescent="0.35">
      <c r="H29424" s="676"/>
      <c r="I29424" s="676"/>
      <c r="J29424" s="770"/>
    </row>
    <row r="29425" spans="8:10" x14ac:dyDescent="0.35">
      <c r="H29425" s="676"/>
      <c r="I29425" s="676"/>
      <c r="J29425" s="770"/>
    </row>
    <row r="29426" spans="8:10" x14ac:dyDescent="0.35">
      <c r="H29426" s="676"/>
      <c r="I29426" s="676"/>
      <c r="J29426" s="770"/>
    </row>
    <row r="29427" spans="8:10" x14ac:dyDescent="0.35">
      <c r="H29427" s="676"/>
      <c r="I29427" s="676"/>
      <c r="J29427" s="770"/>
    </row>
    <row r="29428" spans="8:10" x14ac:dyDescent="0.35">
      <c r="H29428" s="676"/>
      <c r="I29428" s="676"/>
      <c r="J29428" s="770"/>
    </row>
    <row r="29429" spans="8:10" x14ac:dyDescent="0.35">
      <c r="H29429" s="676"/>
      <c r="I29429" s="676"/>
      <c r="J29429" s="770"/>
    </row>
    <row r="29430" spans="8:10" x14ac:dyDescent="0.35">
      <c r="H29430" s="676"/>
      <c r="I29430" s="676"/>
      <c r="J29430" s="770"/>
    </row>
    <row r="29431" spans="8:10" x14ac:dyDescent="0.35">
      <c r="H29431" s="676"/>
      <c r="I29431" s="676"/>
      <c r="J29431" s="770"/>
    </row>
    <row r="29432" spans="8:10" x14ac:dyDescent="0.35">
      <c r="H29432" s="676"/>
      <c r="I29432" s="676"/>
      <c r="J29432" s="770"/>
    </row>
    <row r="29433" spans="8:10" x14ac:dyDescent="0.35">
      <c r="H29433" s="676"/>
      <c r="I29433" s="676"/>
      <c r="J29433" s="770"/>
    </row>
    <row r="29434" spans="8:10" x14ac:dyDescent="0.35">
      <c r="H29434" s="676"/>
      <c r="I29434" s="676"/>
      <c r="J29434" s="770"/>
    </row>
    <row r="29435" spans="8:10" x14ac:dyDescent="0.35">
      <c r="H29435" s="676"/>
      <c r="I29435" s="676"/>
      <c r="J29435" s="770"/>
    </row>
    <row r="29436" spans="8:10" x14ac:dyDescent="0.35">
      <c r="H29436" s="676"/>
      <c r="I29436" s="676"/>
      <c r="J29436" s="770"/>
    </row>
    <row r="29437" spans="8:10" x14ac:dyDescent="0.35">
      <c r="H29437" s="676"/>
      <c r="I29437" s="676"/>
      <c r="J29437" s="770"/>
    </row>
    <row r="29438" spans="8:10" x14ac:dyDescent="0.35">
      <c r="H29438" s="676"/>
      <c r="I29438" s="676"/>
      <c r="J29438" s="770"/>
    </row>
    <row r="29439" spans="8:10" x14ac:dyDescent="0.35">
      <c r="H29439" s="676"/>
      <c r="I29439" s="676"/>
      <c r="J29439" s="770"/>
    </row>
    <row r="29440" spans="8:10" x14ac:dyDescent="0.35">
      <c r="H29440" s="676"/>
      <c r="I29440" s="676"/>
      <c r="J29440" s="770"/>
    </row>
    <row r="29441" spans="8:10" x14ac:dyDescent="0.35">
      <c r="H29441" s="676"/>
      <c r="I29441" s="676"/>
      <c r="J29441" s="770"/>
    </row>
    <row r="29442" spans="8:10" x14ac:dyDescent="0.35">
      <c r="H29442" s="676"/>
      <c r="I29442" s="676"/>
      <c r="J29442" s="770"/>
    </row>
    <row r="29443" spans="8:10" x14ac:dyDescent="0.35">
      <c r="H29443" s="676"/>
      <c r="I29443" s="676"/>
      <c r="J29443" s="770"/>
    </row>
    <row r="29444" spans="8:10" x14ac:dyDescent="0.35">
      <c r="H29444" s="676"/>
      <c r="I29444" s="676"/>
      <c r="J29444" s="770"/>
    </row>
    <row r="29445" spans="8:10" x14ac:dyDescent="0.35">
      <c r="H29445" s="676"/>
      <c r="I29445" s="676"/>
      <c r="J29445" s="770"/>
    </row>
    <row r="29446" spans="8:10" x14ac:dyDescent="0.35">
      <c r="H29446" s="676"/>
      <c r="I29446" s="676"/>
      <c r="J29446" s="770"/>
    </row>
    <row r="29447" spans="8:10" x14ac:dyDescent="0.35">
      <c r="H29447" s="676"/>
      <c r="I29447" s="676"/>
      <c r="J29447" s="770"/>
    </row>
    <row r="29448" spans="8:10" x14ac:dyDescent="0.35">
      <c r="H29448" s="676"/>
      <c r="I29448" s="676"/>
      <c r="J29448" s="770"/>
    </row>
    <row r="29449" spans="8:10" x14ac:dyDescent="0.35">
      <c r="H29449" s="676"/>
      <c r="I29449" s="676"/>
      <c r="J29449" s="770"/>
    </row>
    <row r="29450" spans="8:10" x14ac:dyDescent="0.35">
      <c r="H29450" s="676"/>
      <c r="I29450" s="676"/>
      <c r="J29450" s="770"/>
    </row>
    <row r="29451" spans="8:10" x14ac:dyDescent="0.35">
      <c r="H29451" s="676"/>
      <c r="I29451" s="676"/>
      <c r="J29451" s="770"/>
    </row>
    <row r="29452" spans="8:10" x14ac:dyDescent="0.35">
      <c r="H29452" s="676"/>
      <c r="I29452" s="676"/>
      <c r="J29452" s="770"/>
    </row>
    <row r="29453" spans="8:10" x14ac:dyDescent="0.35">
      <c r="H29453" s="676"/>
      <c r="I29453" s="676"/>
      <c r="J29453" s="770"/>
    </row>
    <row r="29454" spans="8:10" x14ac:dyDescent="0.35">
      <c r="H29454" s="676"/>
      <c r="I29454" s="676"/>
      <c r="J29454" s="770"/>
    </row>
    <row r="29455" spans="8:10" x14ac:dyDescent="0.35">
      <c r="H29455" s="676"/>
      <c r="I29455" s="676"/>
      <c r="J29455" s="770"/>
    </row>
    <row r="29456" spans="8:10" x14ac:dyDescent="0.35">
      <c r="H29456" s="676"/>
      <c r="I29456" s="676"/>
      <c r="J29456" s="770"/>
    </row>
    <row r="29457" spans="8:10" x14ac:dyDescent="0.35">
      <c r="H29457" s="676"/>
      <c r="I29457" s="676"/>
      <c r="J29457" s="770"/>
    </row>
    <row r="29458" spans="8:10" x14ac:dyDescent="0.35">
      <c r="H29458" s="676"/>
      <c r="I29458" s="676"/>
      <c r="J29458" s="770"/>
    </row>
    <row r="29459" spans="8:10" x14ac:dyDescent="0.35">
      <c r="H29459" s="676"/>
      <c r="I29459" s="676"/>
      <c r="J29459" s="770"/>
    </row>
    <row r="29460" spans="8:10" x14ac:dyDescent="0.35">
      <c r="H29460" s="676"/>
      <c r="I29460" s="676"/>
      <c r="J29460" s="770"/>
    </row>
    <row r="29461" spans="8:10" x14ac:dyDescent="0.35">
      <c r="H29461" s="676"/>
      <c r="I29461" s="676"/>
      <c r="J29461" s="770"/>
    </row>
    <row r="29462" spans="8:10" x14ac:dyDescent="0.35">
      <c r="H29462" s="676"/>
      <c r="I29462" s="676"/>
      <c r="J29462" s="770"/>
    </row>
    <row r="29463" spans="8:10" x14ac:dyDescent="0.35">
      <c r="H29463" s="676"/>
      <c r="I29463" s="676"/>
      <c r="J29463" s="770"/>
    </row>
    <row r="29464" spans="8:10" x14ac:dyDescent="0.35">
      <c r="H29464" s="676"/>
      <c r="I29464" s="676"/>
      <c r="J29464" s="770"/>
    </row>
    <row r="29465" spans="8:10" x14ac:dyDescent="0.35">
      <c r="H29465" s="676"/>
      <c r="I29465" s="676"/>
      <c r="J29465" s="770"/>
    </row>
    <row r="29466" spans="8:10" x14ac:dyDescent="0.35">
      <c r="H29466" s="676"/>
      <c r="I29466" s="676"/>
      <c r="J29466" s="770"/>
    </row>
    <row r="29467" spans="8:10" x14ac:dyDescent="0.35">
      <c r="H29467" s="676"/>
      <c r="I29467" s="676"/>
      <c r="J29467" s="770"/>
    </row>
    <row r="29468" spans="8:10" x14ac:dyDescent="0.35">
      <c r="H29468" s="676"/>
      <c r="I29468" s="676"/>
      <c r="J29468" s="770"/>
    </row>
    <row r="29469" spans="8:10" x14ac:dyDescent="0.35">
      <c r="H29469" s="676"/>
      <c r="I29469" s="676"/>
      <c r="J29469" s="770"/>
    </row>
    <row r="29470" spans="8:10" x14ac:dyDescent="0.35">
      <c r="H29470" s="676"/>
      <c r="I29470" s="676"/>
      <c r="J29470" s="770"/>
    </row>
    <row r="29471" spans="8:10" x14ac:dyDescent="0.35">
      <c r="H29471" s="676"/>
      <c r="I29471" s="676"/>
      <c r="J29471" s="770"/>
    </row>
    <row r="29472" spans="8:10" x14ac:dyDescent="0.35">
      <c r="H29472" s="676"/>
      <c r="I29472" s="676"/>
      <c r="J29472" s="770"/>
    </row>
    <row r="29473" spans="8:10" x14ac:dyDescent="0.35">
      <c r="H29473" s="676"/>
      <c r="I29473" s="676"/>
      <c r="J29473" s="770"/>
    </row>
    <row r="29474" spans="8:10" x14ac:dyDescent="0.35">
      <c r="H29474" s="676"/>
      <c r="I29474" s="676"/>
      <c r="J29474" s="770"/>
    </row>
    <row r="29475" spans="8:10" x14ac:dyDescent="0.35">
      <c r="H29475" s="676"/>
      <c r="I29475" s="676"/>
      <c r="J29475" s="770"/>
    </row>
    <row r="29476" spans="8:10" x14ac:dyDescent="0.35">
      <c r="H29476" s="676"/>
      <c r="I29476" s="676"/>
      <c r="J29476" s="770"/>
    </row>
    <row r="29477" spans="8:10" x14ac:dyDescent="0.35">
      <c r="H29477" s="676"/>
      <c r="I29477" s="676"/>
      <c r="J29477" s="770"/>
    </row>
    <row r="29478" spans="8:10" x14ac:dyDescent="0.35">
      <c r="H29478" s="676"/>
      <c r="I29478" s="676"/>
      <c r="J29478" s="770"/>
    </row>
    <row r="29479" spans="8:10" x14ac:dyDescent="0.35">
      <c r="H29479" s="676"/>
      <c r="I29479" s="676"/>
      <c r="J29479" s="770"/>
    </row>
    <row r="29480" spans="8:10" x14ac:dyDescent="0.35">
      <c r="H29480" s="676"/>
      <c r="I29480" s="676"/>
      <c r="J29480" s="770"/>
    </row>
    <row r="29481" spans="8:10" x14ac:dyDescent="0.35">
      <c r="H29481" s="676"/>
      <c r="I29481" s="676"/>
      <c r="J29481" s="770"/>
    </row>
    <row r="29482" spans="8:10" x14ac:dyDescent="0.35">
      <c r="H29482" s="676"/>
      <c r="I29482" s="676"/>
      <c r="J29482" s="770"/>
    </row>
    <row r="29483" spans="8:10" x14ac:dyDescent="0.35">
      <c r="H29483" s="676"/>
      <c r="I29483" s="676"/>
      <c r="J29483" s="770"/>
    </row>
    <row r="29484" spans="8:10" x14ac:dyDescent="0.35">
      <c r="H29484" s="676"/>
      <c r="I29484" s="676"/>
      <c r="J29484" s="770"/>
    </row>
    <row r="29485" spans="8:10" x14ac:dyDescent="0.35">
      <c r="H29485" s="676"/>
      <c r="I29485" s="676"/>
      <c r="J29485" s="770"/>
    </row>
    <row r="29486" spans="8:10" x14ac:dyDescent="0.35">
      <c r="H29486" s="676"/>
      <c r="I29486" s="676"/>
      <c r="J29486" s="770"/>
    </row>
    <row r="29487" spans="8:10" x14ac:dyDescent="0.35">
      <c r="H29487" s="676"/>
      <c r="I29487" s="676"/>
      <c r="J29487" s="770"/>
    </row>
    <row r="29488" spans="8:10" x14ac:dyDescent="0.35">
      <c r="H29488" s="676"/>
      <c r="I29488" s="676"/>
      <c r="J29488" s="770"/>
    </row>
    <row r="29489" spans="8:10" x14ac:dyDescent="0.35">
      <c r="H29489" s="676"/>
      <c r="I29489" s="676"/>
      <c r="J29489" s="770"/>
    </row>
    <row r="29490" spans="8:10" x14ac:dyDescent="0.35">
      <c r="H29490" s="676"/>
      <c r="I29490" s="676"/>
      <c r="J29490" s="770"/>
    </row>
    <row r="29491" spans="8:10" x14ac:dyDescent="0.35">
      <c r="H29491" s="676"/>
      <c r="I29491" s="676"/>
      <c r="J29491" s="770"/>
    </row>
    <row r="29492" spans="8:10" x14ac:dyDescent="0.35">
      <c r="H29492" s="676"/>
      <c r="I29492" s="676"/>
      <c r="J29492" s="770"/>
    </row>
    <row r="29493" spans="8:10" x14ac:dyDescent="0.35">
      <c r="H29493" s="676"/>
      <c r="I29493" s="676"/>
      <c r="J29493" s="770"/>
    </row>
    <row r="29494" spans="8:10" x14ac:dyDescent="0.35">
      <c r="H29494" s="676"/>
      <c r="I29494" s="676"/>
      <c r="J29494" s="770"/>
    </row>
    <row r="29495" spans="8:10" x14ac:dyDescent="0.35">
      <c r="H29495" s="676"/>
      <c r="I29495" s="676"/>
      <c r="J29495" s="770"/>
    </row>
    <row r="29496" spans="8:10" x14ac:dyDescent="0.35">
      <c r="H29496" s="676"/>
      <c r="I29496" s="676"/>
      <c r="J29496" s="770"/>
    </row>
    <row r="29497" spans="8:10" x14ac:dyDescent="0.35">
      <c r="H29497" s="676"/>
      <c r="I29497" s="676"/>
      <c r="J29497" s="770"/>
    </row>
    <row r="29498" spans="8:10" x14ac:dyDescent="0.35">
      <c r="H29498" s="676"/>
      <c r="I29498" s="676"/>
      <c r="J29498" s="770"/>
    </row>
    <row r="29499" spans="8:10" x14ac:dyDescent="0.35">
      <c r="H29499" s="676"/>
      <c r="I29499" s="676"/>
      <c r="J29499" s="770"/>
    </row>
    <row r="29500" spans="8:10" x14ac:dyDescent="0.35">
      <c r="H29500" s="676"/>
      <c r="I29500" s="676"/>
      <c r="J29500" s="770"/>
    </row>
    <row r="29501" spans="8:10" x14ac:dyDescent="0.35">
      <c r="H29501" s="676"/>
      <c r="I29501" s="676"/>
      <c r="J29501" s="770"/>
    </row>
    <row r="29502" spans="8:10" x14ac:dyDescent="0.35">
      <c r="H29502" s="676"/>
      <c r="I29502" s="676"/>
      <c r="J29502" s="770"/>
    </row>
    <row r="29503" spans="8:10" x14ac:dyDescent="0.35">
      <c r="H29503" s="676"/>
      <c r="I29503" s="676"/>
      <c r="J29503" s="770"/>
    </row>
    <row r="29504" spans="8:10" x14ac:dyDescent="0.35">
      <c r="H29504" s="676"/>
      <c r="I29504" s="676"/>
      <c r="J29504" s="770"/>
    </row>
    <row r="29505" spans="8:10" x14ac:dyDescent="0.35">
      <c r="H29505" s="676"/>
      <c r="I29505" s="676"/>
      <c r="J29505" s="770"/>
    </row>
    <row r="29506" spans="8:10" x14ac:dyDescent="0.35">
      <c r="H29506" s="676"/>
      <c r="I29506" s="676"/>
      <c r="J29506" s="770"/>
    </row>
    <row r="29507" spans="8:10" x14ac:dyDescent="0.35">
      <c r="H29507" s="676"/>
      <c r="I29507" s="676"/>
      <c r="J29507" s="770"/>
    </row>
    <row r="29508" spans="8:10" x14ac:dyDescent="0.35">
      <c r="H29508" s="676"/>
      <c r="I29508" s="676"/>
      <c r="J29508" s="770"/>
    </row>
    <row r="29509" spans="8:10" x14ac:dyDescent="0.35">
      <c r="H29509" s="676"/>
      <c r="I29509" s="676"/>
      <c r="J29509" s="770"/>
    </row>
    <row r="29510" spans="8:10" x14ac:dyDescent="0.35">
      <c r="H29510" s="676"/>
      <c r="I29510" s="676"/>
      <c r="J29510" s="770"/>
    </row>
    <row r="29511" spans="8:10" x14ac:dyDescent="0.35">
      <c r="H29511" s="676"/>
      <c r="I29511" s="676"/>
      <c r="J29511" s="770"/>
    </row>
    <row r="29512" spans="8:10" x14ac:dyDescent="0.35">
      <c r="H29512" s="676"/>
      <c r="I29512" s="676"/>
      <c r="J29512" s="770"/>
    </row>
    <row r="29513" spans="8:10" x14ac:dyDescent="0.35">
      <c r="H29513" s="676"/>
      <c r="I29513" s="676"/>
      <c r="J29513" s="770"/>
    </row>
    <row r="29514" spans="8:10" x14ac:dyDescent="0.35">
      <c r="H29514" s="676"/>
      <c r="I29514" s="676"/>
      <c r="J29514" s="770"/>
    </row>
    <row r="29515" spans="8:10" x14ac:dyDescent="0.35">
      <c r="H29515" s="676"/>
      <c r="I29515" s="676"/>
      <c r="J29515" s="770"/>
    </row>
    <row r="29516" spans="8:10" x14ac:dyDescent="0.35">
      <c r="H29516" s="676"/>
      <c r="I29516" s="676"/>
      <c r="J29516" s="770"/>
    </row>
    <row r="29517" spans="8:10" x14ac:dyDescent="0.35">
      <c r="H29517" s="676"/>
      <c r="I29517" s="676"/>
      <c r="J29517" s="770"/>
    </row>
    <row r="29518" spans="8:10" x14ac:dyDescent="0.35">
      <c r="H29518" s="676"/>
      <c r="I29518" s="676"/>
      <c r="J29518" s="770"/>
    </row>
    <row r="29519" spans="8:10" x14ac:dyDescent="0.35">
      <c r="H29519" s="676"/>
      <c r="I29519" s="676"/>
      <c r="J29519" s="770"/>
    </row>
    <row r="29520" spans="8:10" x14ac:dyDescent="0.35">
      <c r="H29520" s="676"/>
      <c r="I29520" s="676"/>
      <c r="J29520" s="770"/>
    </row>
    <row r="29521" spans="8:10" x14ac:dyDescent="0.35">
      <c r="H29521" s="676"/>
      <c r="I29521" s="676"/>
      <c r="J29521" s="770"/>
    </row>
    <row r="29522" spans="8:10" x14ac:dyDescent="0.35">
      <c r="H29522" s="676"/>
      <c r="I29522" s="676"/>
      <c r="J29522" s="770"/>
    </row>
    <row r="29523" spans="8:10" x14ac:dyDescent="0.35">
      <c r="H29523" s="676"/>
      <c r="I29523" s="676"/>
      <c r="J29523" s="770"/>
    </row>
    <row r="29524" spans="8:10" x14ac:dyDescent="0.35">
      <c r="H29524" s="676"/>
      <c r="I29524" s="676"/>
      <c r="J29524" s="770"/>
    </row>
    <row r="29525" spans="8:10" x14ac:dyDescent="0.35">
      <c r="H29525" s="676"/>
      <c r="I29525" s="676"/>
      <c r="J29525" s="770"/>
    </row>
    <row r="29526" spans="8:10" x14ac:dyDescent="0.35">
      <c r="H29526" s="676"/>
      <c r="I29526" s="676"/>
      <c r="J29526" s="770"/>
    </row>
    <row r="29527" spans="8:10" x14ac:dyDescent="0.35">
      <c r="H29527" s="676"/>
      <c r="I29527" s="676"/>
      <c r="J29527" s="770"/>
    </row>
    <row r="29528" spans="8:10" x14ac:dyDescent="0.35">
      <c r="H29528" s="676"/>
      <c r="I29528" s="676"/>
      <c r="J29528" s="770"/>
    </row>
    <row r="29529" spans="8:10" x14ac:dyDescent="0.35">
      <c r="H29529" s="676"/>
      <c r="I29529" s="676"/>
      <c r="J29529" s="770"/>
    </row>
    <row r="29530" spans="8:10" x14ac:dyDescent="0.35">
      <c r="H29530" s="676"/>
      <c r="I29530" s="676"/>
      <c r="J29530" s="770"/>
    </row>
    <row r="29531" spans="8:10" x14ac:dyDescent="0.35">
      <c r="H29531" s="676"/>
      <c r="I29531" s="676"/>
      <c r="J29531" s="770"/>
    </row>
    <row r="29532" spans="8:10" x14ac:dyDescent="0.35">
      <c r="H29532" s="676"/>
      <c r="I29532" s="676"/>
      <c r="J29532" s="770"/>
    </row>
    <row r="29533" spans="8:10" x14ac:dyDescent="0.35">
      <c r="H29533" s="676"/>
      <c r="I29533" s="676"/>
      <c r="J29533" s="770"/>
    </row>
    <row r="29534" spans="8:10" x14ac:dyDescent="0.35">
      <c r="H29534" s="676"/>
      <c r="I29534" s="676"/>
      <c r="J29534" s="770"/>
    </row>
    <row r="29535" spans="8:10" x14ac:dyDescent="0.35">
      <c r="H29535" s="676"/>
      <c r="I29535" s="676"/>
      <c r="J29535" s="770"/>
    </row>
    <row r="29536" spans="8:10" x14ac:dyDescent="0.35">
      <c r="H29536" s="676"/>
      <c r="I29536" s="676"/>
      <c r="J29536" s="770"/>
    </row>
    <row r="29537" spans="8:10" x14ac:dyDescent="0.35">
      <c r="H29537" s="676"/>
      <c r="I29537" s="676"/>
      <c r="J29537" s="770"/>
    </row>
    <row r="29538" spans="8:10" x14ac:dyDescent="0.35">
      <c r="H29538" s="676"/>
      <c r="I29538" s="676"/>
      <c r="J29538" s="770"/>
    </row>
    <row r="29539" spans="8:10" x14ac:dyDescent="0.35">
      <c r="H29539" s="676"/>
      <c r="I29539" s="676"/>
      <c r="J29539" s="770"/>
    </row>
    <row r="29540" spans="8:10" x14ac:dyDescent="0.35">
      <c r="H29540" s="676"/>
      <c r="I29540" s="676"/>
      <c r="J29540" s="770"/>
    </row>
    <row r="29541" spans="8:10" x14ac:dyDescent="0.35">
      <c r="H29541" s="676"/>
      <c r="I29541" s="676"/>
      <c r="J29541" s="770"/>
    </row>
    <row r="29542" spans="8:10" x14ac:dyDescent="0.35">
      <c r="H29542" s="676"/>
      <c r="I29542" s="676"/>
      <c r="J29542" s="770"/>
    </row>
    <row r="29543" spans="8:10" x14ac:dyDescent="0.35">
      <c r="H29543" s="676"/>
      <c r="I29543" s="676"/>
      <c r="J29543" s="770"/>
    </row>
    <row r="29544" spans="8:10" x14ac:dyDescent="0.35">
      <c r="H29544" s="676"/>
      <c r="I29544" s="676"/>
      <c r="J29544" s="770"/>
    </row>
    <row r="29545" spans="8:10" x14ac:dyDescent="0.35">
      <c r="H29545" s="676"/>
      <c r="I29545" s="676"/>
      <c r="J29545" s="770"/>
    </row>
    <row r="29546" spans="8:10" x14ac:dyDescent="0.35">
      <c r="H29546" s="676"/>
      <c r="I29546" s="676"/>
      <c r="J29546" s="770"/>
    </row>
    <row r="29547" spans="8:10" x14ac:dyDescent="0.35">
      <c r="H29547" s="676"/>
      <c r="I29547" s="676"/>
      <c r="J29547" s="770"/>
    </row>
    <row r="29548" spans="8:10" x14ac:dyDescent="0.35">
      <c r="H29548" s="676"/>
      <c r="I29548" s="676"/>
      <c r="J29548" s="770"/>
    </row>
    <row r="29549" spans="8:10" x14ac:dyDescent="0.35">
      <c r="H29549" s="676"/>
      <c r="I29549" s="676"/>
      <c r="J29549" s="770"/>
    </row>
    <row r="29550" spans="8:10" x14ac:dyDescent="0.35">
      <c r="H29550" s="676"/>
      <c r="I29550" s="676"/>
      <c r="J29550" s="770"/>
    </row>
    <row r="29551" spans="8:10" x14ac:dyDescent="0.35">
      <c r="H29551" s="676"/>
      <c r="I29551" s="676"/>
      <c r="J29551" s="770"/>
    </row>
    <row r="29552" spans="8:10" x14ac:dyDescent="0.35">
      <c r="H29552" s="676"/>
      <c r="I29552" s="676"/>
      <c r="J29552" s="770"/>
    </row>
    <row r="29553" spans="8:10" x14ac:dyDescent="0.35">
      <c r="H29553" s="676"/>
      <c r="I29553" s="676"/>
      <c r="J29553" s="770"/>
    </row>
    <row r="29554" spans="8:10" x14ac:dyDescent="0.35">
      <c r="H29554" s="676"/>
      <c r="I29554" s="676"/>
      <c r="J29554" s="770"/>
    </row>
    <row r="29555" spans="8:10" x14ac:dyDescent="0.35">
      <c r="H29555" s="676"/>
      <c r="I29555" s="676"/>
      <c r="J29555" s="770"/>
    </row>
    <row r="29556" spans="8:10" x14ac:dyDescent="0.35">
      <c r="H29556" s="676"/>
      <c r="I29556" s="676"/>
      <c r="J29556" s="770"/>
    </row>
    <row r="29557" spans="8:10" x14ac:dyDescent="0.35">
      <c r="H29557" s="676"/>
      <c r="I29557" s="676"/>
      <c r="J29557" s="770"/>
    </row>
    <row r="29558" spans="8:10" x14ac:dyDescent="0.35">
      <c r="H29558" s="676"/>
      <c r="I29558" s="676"/>
      <c r="J29558" s="770"/>
    </row>
    <row r="29559" spans="8:10" x14ac:dyDescent="0.35">
      <c r="H29559" s="676"/>
      <c r="I29559" s="676"/>
      <c r="J29559" s="770"/>
    </row>
    <row r="29560" spans="8:10" x14ac:dyDescent="0.35">
      <c r="H29560" s="676"/>
      <c r="I29560" s="676"/>
      <c r="J29560" s="770"/>
    </row>
    <row r="29561" spans="8:10" x14ac:dyDescent="0.35">
      <c r="H29561" s="676"/>
      <c r="I29561" s="676"/>
      <c r="J29561" s="770"/>
    </row>
    <row r="29562" spans="8:10" x14ac:dyDescent="0.35">
      <c r="H29562" s="676"/>
      <c r="I29562" s="676"/>
      <c r="J29562" s="770"/>
    </row>
    <row r="29563" spans="8:10" x14ac:dyDescent="0.35">
      <c r="H29563" s="676"/>
      <c r="I29563" s="676"/>
      <c r="J29563" s="770"/>
    </row>
    <row r="29564" spans="8:10" x14ac:dyDescent="0.35">
      <c r="H29564" s="676"/>
      <c r="I29564" s="676"/>
      <c r="J29564" s="770"/>
    </row>
    <row r="29565" spans="8:10" x14ac:dyDescent="0.35">
      <c r="H29565" s="676"/>
      <c r="I29565" s="676"/>
      <c r="J29565" s="770"/>
    </row>
    <row r="29566" spans="8:10" x14ac:dyDescent="0.35">
      <c r="H29566" s="676"/>
      <c r="I29566" s="676"/>
      <c r="J29566" s="770"/>
    </row>
    <row r="29567" spans="8:10" x14ac:dyDescent="0.35">
      <c r="H29567" s="676"/>
      <c r="I29567" s="676"/>
      <c r="J29567" s="770"/>
    </row>
    <row r="29568" spans="8:10" x14ac:dyDescent="0.35">
      <c r="H29568" s="676"/>
      <c r="I29568" s="676"/>
      <c r="J29568" s="770"/>
    </row>
    <row r="29569" spans="8:10" x14ac:dyDescent="0.35">
      <c r="H29569" s="676"/>
      <c r="I29569" s="676"/>
      <c r="J29569" s="770"/>
    </row>
    <row r="29570" spans="8:10" x14ac:dyDescent="0.35">
      <c r="H29570" s="676"/>
      <c r="I29570" s="676"/>
      <c r="J29570" s="770"/>
    </row>
    <row r="29571" spans="8:10" x14ac:dyDescent="0.35">
      <c r="H29571" s="676"/>
      <c r="I29571" s="676"/>
      <c r="J29571" s="770"/>
    </row>
    <row r="29572" spans="8:10" x14ac:dyDescent="0.35">
      <c r="H29572" s="676"/>
      <c r="I29572" s="676"/>
      <c r="J29572" s="770"/>
    </row>
    <row r="29573" spans="8:10" x14ac:dyDescent="0.35">
      <c r="H29573" s="676"/>
      <c r="I29573" s="676"/>
      <c r="J29573" s="770"/>
    </row>
    <row r="29574" spans="8:10" x14ac:dyDescent="0.35">
      <c r="H29574" s="676"/>
      <c r="I29574" s="676"/>
      <c r="J29574" s="770"/>
    </row>
    <row r="29575" spans="8:10" x14ac:dyDescent="0.35">
      <c r="H29575" s="676"/>
      <c r="I29575" s="676"/>
      <c r="J29575" s="770"/>
    </row>
    <row r="29576" spans="8:10" x14ac:dyDescent="0.35">
      <c r="H29576" s="676"/>
      <c r="I29576" s="676"/>
      <c r="J29576" s="770"/>
    </row>
    <row r="29577" spans="8:10" x14ac:dyDescent="0.35">
      <c r="H29577" s="676"/>
      <c r="I29577" s="676"/>
      <c r="J29577" s="770"/>
    </row>
    <row r="29578" spans="8:10" x14ac:dyDescent="0.35">
      <c r="H29578" s="676"/>
      <c r="I29578" s="676"/>
      <c r="J29578" s="770"/>
    </row>
    <row r="29579" spans="8:10" x14ac:dyDescent="0.35">
      <c r="H29579" s="676"/>
      <c r="I29579" s="676"/>
      <c r="J29579" s="770"/>
    </row>
    <row r="29580" spans="8:10" x14ac:dyDescent="0.35">
      <c r="H29580" s="676"/>
      <c r="I29580" s="676"/>
      <c r="J29580" s="770"/>
    </row>
    <row r="29581" spans="8:10" x14ac:dyDescent="0.35">
      <c r="H29581" s="676"/>
      <c r="I29581" s="676"/>
      <c r="J29581" s="770"/>
    </row>
    <row r="29582" spans="8:10" x14ac:dyDescent="0.35">
      <c r="H29582" s="676"/>
      <c r="I29582" s="676"/>
      <c r="J29582" s="770"/>
    </row>
    <row r="29583" spans="8:10" x14ac:dyDescent="0.35">
      <c r="H29583" s="676"/>
      <c r="I29583" s="676"/>
      <c r="J29583" s="770"/>
    </row>
    <row r="29584" spans="8:10" x14ac:dyDescent="0.35">
      <c r="H29584" s="676"/>
      <c r="I29584" s="676"/>
      <c r="J29584" s="770"/>
    </row>
    <row r="29585" spans="8:10" x14ac:dyDescent="0.35">
      <c r="H29585" s="676"/>
      <c r="I29585" s="676"/>
      <c r="J29585" s="770"/>
    </row>
    <row r="29586" spans="8:10" x14ac:dyDescent="0.35">
      <c r="H29586" s="676"/>
      <c r="I29586" s="676"/>
      <c r="J29586" s="770"/>
    </row>
    <row r="29587" spans="8:10" x14ac:dyDescent="0.35">
      <c r="H29587" s="676"/>
      <c r="I29587" s="676"/>
      <c r="J29587" s="770"/>
    </row>
    <row r="29588" spans="8:10" x14ac:dyDescent="0.35">
      <c r="H29588" s="676"/>
      <c r="I29588" s="676"/>
      <c r="J29588" s="770"/>
    </row>
    <row r="29589" spans="8:10" x14ac:dyDescent="0.35">
      <c r="H29589" s="676"/>
      <c r="I29589" s="676"/>
      <c r="J29589" s="770"/>
    </row>
    <row r="29590" spans="8:10" x14ac:dyDescent="0.35">
      <c r="H29590" s="676"/>
      <c r="I29590" s="676"/>
      <c r="J29590" s="770"/>
    </row>
    <row r="29591" spans="8:10" x14ac:dyDescent="0.35">
      <c r="H29591" s="676"/>
      <c r="I29591" s="676"/>
      <c r="J29591" s="770"/>
    </row>
    <row r="29592" spans="8:10" x14ac:dyDescent="0.35">
      <c r="H29592" s="676"/>
      <c r="I29592" s="676"/>
      <c r="J29592" s="770"/>
    </row>
    <row r="29593" spans="8:10" x14ac:dyDescent="0.35">
      <c r="H29593" s="676"/>
      <c r="I29593" s="676"/>
      <c r="J29593" s="770"/>
    </row>
    <row r="29594" spans="8:10" x14ac:dyDescent="0.35">
      <c r="H29594" s="676"/>
      <c r="I29594" s="676"/>
      <c r="J29594" s="770"/>
    </row>
    <row r="29595" spans="8:10" x14ac:dyDescent="0.35">
      <c r="H29595" s="676"/>
      <c r="I29595" s="676"/>
      <c r="J29595" s="770"/>
    </row>
    <row r="29596" spans="8:10" x14ac:dyDescent="0.35">
      <c r="H29596" s="676"/>
      <c r="I29596" s="676"/>
      <c r="J29596" s="770"/>
    </row>
    <row r="29597" spans="8:10" x14ac:dyDescent="0.35">
      <c r="H29597" s="676"/>
      <c r="I29597" s="676"/>
      <c r="J29597" s="770"/>
    </row>
    <row r="29598" spans="8:10" x14ac:dyDescent="0.35">
      <c r="H29598" s="676"/>
      <c r="I29598" s="676"/>
      <c r="J29598" s="770"/>
    </row>
    <row r="29599" spans="8:10" x14ac:dyDescent="0.35">
      <c r="H29599" s="676"/>
      <c r="I29599" s="676"/>
      <c r="J29599" s="770"/>
    </row>
    <row r="29600" spans="8:10" x14ac:dyDescent="0.35">
      <c r="H29600" s="676"/>
      <c r="I29600" s="676"/>
      <c r="J29600" s="770"/>
    </row>
    <row r="29601" spans="8:10" x14ac:dyDescent="0.35">
      <c r="H29601" s="676"/>
      <c r="I29601" s="676"/>
      <c r="J29601" s="770"/>
    </row>
    <row r="29602" spans="8:10" x14ac:dyDescent="0.35">
      <c r="H29602" s="676"/>
      <c r="I29602" s="676"/>
      <c r="J29602" s="770"/>
    </row>
    <row r="29603" spans="8:10" x14ac:dyDescent="0.35">
      <c r="H29603" s="676"/>
      <c r="I29603" s="676"/>
      <c r="J29603" s="770"/>
    </row>
    <row r="29604" spans="8:10" x14ac:dyDescent="0.35">
      <c r="H29604" s="676"/>
      <c r="I29604" s="676"/>
      <c r="J29604" s="770"/>
    </row>
    <row r="29605" spans="8:10" x14ac:dyDescent="0.35">
      <c r="H29605" s="676"/>
      <c r="I29605" s="676"/>
      <c r="J29605" s="770"/>
    </row>
    <row r="29606" spans="8:10" x14ac:dyDescent="0.35">
      <c r="H29606" s="676"/>
      <c r="I29606" s="676"/>
      <c r="J29606" s="770"/>
    </row>
    <row r="29607" spans="8:10" x14ac:dyDescent="0.35">
      <c r="H29607" s="676"/>
      <c r="I29607" s="676"/>
      <c r="J29607" s="770"/>
    </row>
    <row r="29608" spans="8:10" x14ac:dyDescent="0.35">
      <c r="H29608" s="676"/>
      <c r="I29608" s="676"/>
      <c r="J29608" s="770"/>
    </row>
    <row r="29609" spans="8:10" x14ac:dyDescent="0.35">
      <c r="H29609" s="676"/>
      <c r="I29609" s="676"/>
      <c r="J29609" s="770"/>
    </row>
    <row r="29610" spans="8:10" x14ac:dyDescent="0.35">
      <c r="H29610" s="676"/>
      <c r="I29610" s="676"/>
      <c r="J29610" s="770"/>
    </row>
    <row r="29611" spans="8:10" x14ac:dyDescent="0.35">
      <c r="H29611" s="676"/>
      <c r="I29611" s="676"/>
      <c r="J29611" s="770"/>
    </row>
    <row r="29612" spans="8:10" x14ac:dyDescent="0.35">
      <c r="H29612" s="676"/>
      <c r="I29612" s="676"/>
      <c r="J29612" s="770"/>
    </row>
    <row r="29613" spans="8:10" x14ac:dyDescent="0.35">
      <c r="H29613" s="676"/>
      <c r="I29613" s="676"/>
      <c r="J29613" s="770"/>
    </row>
    <row r="29614" spans="8:10" x14ac:dyDescent="0.35">
      <c r="H29614" s="676"/>
      <c r="I29614" s="676"/>
      <c r="J29614" s="770"/>
    </row>
    <row r="29615" spans="8:10" x14ac:dyDescent="0.35">
      <c r="H29615" s="676"/>
      <c r="I29615" s="676"/>
      <c r="J29615" s="770"/>
    </row>
    <row r="29616" spans="8:10" x14ac:dyDescent="0.35">
      <c r="H29616" s="676"/>
      <c r="I29616" s="676"/>
      <c r="J29616" s="770"/>
    </row>
    <row r="29617" spans="8:10" x14ac:dyDescent="0.35">
      <c r="H29617" s="676"/>
      <c r="I29617" s="676"/>
      <c r="J29617" s="770"/>
    </row>
    <row r="29618" spans="8:10" x14ac:dyDescent="0.35">
      <c r="H29618" s="676"/>
      <c r="I29618" s="676"/>
      <c r="J29618" s="770"/>
    </row>
    <row r="29619" spans="8:10" x14ac:dyDescent="0.35">
      <c r="H29619" s="676"/>
      <c r="I29619" s="676"/>
      <c r="J29619" s="770"/>
    </row>
    <row r="29620" spans="8:10" x14ac:dyDescent="0.35">
      <c r="H29620" s="676"/>
      <c r="I29620" s="676"/>
      <c r="J29620" s="770"/>
    </row>
    <row r="29621" spans="8:10" x14ac:dyDescent="0.35">
      <c r="H29621" s="676"/>
      <c r="I29621" s="676"/>
      <c r="J29621" s="770"/>
    </row>
    <row r="29622" spans="8:10" x14ac:dyDescent="0.35">
      <c r="H29622" s="676"/>
      <c r="I29622" s="676"/>
      <c r="J29622" s="770"/>
    </row>
    <row r="29623" spans="8:10" x14ac:dyDescent="0.35">
      <c r="H29623" s="676"/>
      <c r="I29623" s="676"/>
      <c r="J29623" s="770"/>
    </row>
    <row r="29624" spans="8:10" x14ac:dyDescent="0.35">
      <c r="H29624" s="676"/>
      <c r="I29624" s="676"/>
      <c r="J29624" s="770"/>
    </row>
    <row r="29625" spans="8:10" x14ac:dyDescent="0.35">
      <c r="H29625" s="676"/>
      <c r="I29625" s="676"/>
      <c r="J29625" s="770"/>
    </row>
    <row r="29626" spans="8:10" x14ac:dyDescent="0.35">
      <c r="H29626" s="676"/>
      <c r="I29626" s="676"/>
      <c r="J29626" s="770"/>
    </row>
    <row r="29627" spans="8:10" x14ac:dyDescent="0.35">
      <c r="H29627" s="676"/>
      <c r="I29627" s="676"/>
      <c r="J29627" s="770"/>
    </row>
    <row r="29628" spans="8:10" x14ac:dyDescent="0.35">
      <c r="H29628" s="676"/>
      <c r="I29628" s="676"/>
      <c r="J29628" s="770"/>
    </row>
    <row r="29629" spans="8:10" x14ac:dyDescent="0.35">
      <c r="H29629" s="676"/>
      <c r="I29629" s="676"/>
      <c r="J29629" s="770"/>
    </row>
    <row r="29630" spans="8:10" x14ac:dyDescent="0.35">
      <c r="H29630" s="676"/>
      <c r="I29630" s="676"/>
      <c r="J29630" s="770"/>
    </row>
    <row r="29631" spans="8:10" x14ac:dyDescent="0.35">
      <c r="H29631" s="676"/>
      <c r="I29631" s="676"/>
      <c r="J29631" s="770"/>
    </row>
    <row r="29632" spans="8:10" x14ac:dyDescent="0.35">
      <c r="H29632" s="676"/>
      <c r="I29632" s="676"/>
      <c r="J29632" s="770"/>
    </row>
    <row r="29633" spans="8:10" x14ac:dyDescent="0.35">
      <c r="H29633" s="676"/>
      <c r="I29633" s="676"/>
      <c r="J29633" s="770"/>
    </row>
    <row r="29634" spans="8:10" x14ac:dyDescent="0.35">
      <c r="H29634" s="676"/>
      <c r="I29634" s="676"/>
      <c r="J29634" s="770"/>
    </row>
    <row r="29635" spans="8:10" x14ac:dyDescent="0.35">
      <c r="H29635" s="676"/>
      <c r="I29635" s="676"/>
      <c r="J29635" s="770"/>
    </row>
    <row r="29636" spans="8:10" x14ac:dyDescent="0.35">
      <c r="H29636" s="676"/>
      <c r="I29636" s="676"/>
      <c r="J29636" s="770"/>
    </row>
    <row r="29637" spans="8:10" x14ac:dyDescent="0.35">
      <c r="H29637" s="676"/>
      <c r="I29637" s="676"/>
      <c r="J29637" s="770"/>
    </row>
    <row r="29638" spans="8:10" x14ac:dyDescent="0.35">
      <c r="H29638" s="676"/>
      <c r="I29638" s="676"/>
      <c r="J29638" s="770"/>
    </row>
    <row r="29639" spans="8:10" x14ac:dyDescent="0.35">
      <c r="H29639" s="676"/>
      <c r="I29639" s="676"/>
      <c r="J29639" s="770"/>
    </row>
    <row r="29640" spans="8:10" x14ac:dyDescent="0.35">
      <c r="H29640" s="676"/>
      <c r="I29640" s="676"/>
      <c r="J29640" s="770"/>
    </row>
    <row r="29641" spans="8:10" x14ac:dyDescent="0.35">
      <c r="H29641" s="676"/>
      <c r="I29641" s="676"/>
      <c r="J29641" s="770"/>
    </row>
    <row r="29642" spans="8:10" x14ac:dyDescent="0.35">
      <c r="H29642" s="676"/>
      <c r="I29642" s="676"/>
      <c r="J29642" s="770"/>
    </row>
    <row r="29643" spans="8:10" x14ac:dyDescent="0.35">
      <c r="H29643" s="676"/>
      <c r="I29643" s="676"/>
      <c r="J29643" s="770"/>
    </row>
    <row r="29644" spans="8:10" x14ac:dyDescent="0.35">
      <c r="H29644" s="676"/>
      <c r="I29644" s="676"/>
      <c r="J29644" s="770"/>
    </row>
    <row r="29645" spans="8:10" x14ac:dyDescent="0.35">
      <c r="H29645" s="676"/>
      <c r="I29645" s="676"/>
      <c r="J29645" s="770"/>
    </row>
    <row r="29646" spans="8:10" x14ac:dyDescent="0.35">
      <c r="H29646" s="676"/>
      <c r="I29646" s="676"/>
      <c r="J29646" s="770"/>
    </row>
    <row r="29647" spans="8:10" x14ac:dyDescent="0.35">
      <c r="H29647" s="676"/>
      <c r="I29647" s="676"/>
      <c r="J29647" s="770"/>
    </row>
    <row r="29648" spans="8:10" x14ac:dyDescent="0.35">
      <c r="H29648" s="676"/>
      <c r="I29648" s="676"/>
      <c r="J29648" s="770"/>
    </row>
    <row r="29649" spans="8:10" x14ac:dyDescent="0.35">
      <c r="H29649" s="676"/>
      <c r="I29649" s="676"/>
      <c r="J29649" s="770"/>
    </row>
    <row r="29650" spans="8:10" x14ac:dyDescent="0.35">
      <c r="H29650" s="676"/>
      <c r="I29650" s="676"/>
      <c r="J29650" s="770"/>
    </row>
    <row r="29651" spans="8:10" x14ac:dyDescent="0.35">
      <c r="H29651" s="676"/>
      <c r="I29651" s="676"/>
      <c r="J29651" s="770"/>
    </row>
    <row r="29652" spans="8:10" x14ac:dyDescent="0.35">
      <c r="H29652" s="676"/>
      <c r="I29652" s="676"/>
      <c r="J29652" s="770"/>
    </row>
    <row r="29653" spans="8:10" x14ac:dyDescent="0.35">
      <c r="H29653" s="676"/>
      <c r="I29653" s="676"/>
      <c r="J29653" s="770"/>
    </row>
    <row r="29654" spans="8:10" x14ac:dyDescent="0.35">
      <c r="H29654" s="676"/>
      <c r="I29654" s="676"/>
      <c r="J29654" s="770"/>
    </row>
    <row r="29655" spans="8:10" x14ac:dyDescent="0.35">
      <c r="H29655" s="676"/>
      <c r="I29655" s="676"/>
      <c r="J29655" s="770"/>
    </row>
    <row r="29656" spans="8:10" x14ac:dyDescent="0.35">
      <c r="H29656" s="676"/>
      <c r="I29656" s="676"/>
      <c r="J29656" s="770"/>
    </row>
    <row r="29657" spans="8:10" x14ac:dyDescent="0.35">
      <c r="H29657" s="676"/>
      <c r="I29657" s="676"/>
      <c r="J29657" s="770"/>
    </row>
    <row r="29658" spans="8:10" x14ac:dyDescent="0.35">
      <c r="H29658" s="676"/>
      <c r="I29658" s="676"/>
      <c r="J29658" s="770"/>
    </row>
    <row r="29659" spans="8:10" x14ac:dyDescent="0.35">
      <c r="H29659" s="676"/>
      <c r="I29659" s="676"/>
      <c r="J29659" s="770"/>
    </row>
    <row r="29660" spans="8:10" x14ac:dyDescent="0.35">
      <c r="H29660" s="676"/>
      <c r="I29660" s="676"/>
      <c r="J29660" s="770"/>
    </row>
    <row r="29661" spans="8:10" x14ac:dyDescent="0.35">
      <c r="H29661" s="676"/>
      <c r="I29661" s="676"/>
      <c r="J29661" s="770"/>
    </row>
    <row r="29662" spans="8:10" x14ac:dyDescent="0.35">
      <c r="H29662" s="676"/>
      <c r="I29662" s="676"/>
      <c r="J29662" s="770"/>
    </row>
    <row r="29663" spans="8:10" x14ac:dyDescent="0.35">
      <c r="H29663" s="676"/>
      <c r="I29663" s="676"/>
      <c r="J29663" s="770"/>
    </row>
    <row r="29664" spans="8:10" x14ac:dyDescent="0.35">
      <c r="H29664" s="676"/>
      <c r="I29664" s="676"/>
      <c r="J29664" s="770"/>
    </row>
    <row r="29665" spans="8:10" x14ac:dyDescent="0.35">
      <c r="H29665" s="676"/>
      <c r="I29665" s="676"/>
      <c r="J29665" s="770"/>
    </row>
    <row r="29666" spans="8:10" x14ac:dyDescent="0.35">
      <c r="H29666" s="676"/>
      <c r="I29666" s="676"/>
      <c r="J29666" s="770"/>
    </row>
    <row r="29667" spans="8:10" x14ac:dyDescent="0.35">
      <c r="H29667" s="676"/>
      <c r="I29667" s="676"/>
      <c r="J29667" s="770"/>
    </row>
    <row r="29668" spans="8:10" x14ac:dyDescent="0.35">
      <c r="H29668" s="676"/>
      <c r="I29668" s="676"/>
      <c r="J29668" s="770"/>
    </row>
    <row r="29669" spans="8:10" x14ac:dyDescent="0.35">
      <c r="H29669" s="676"/>
      <c r="I29669" s="676"/>
      <c r="J29669" s="770"/>
    </row>
    <row r="29670" spans="8:10" x14ac:dyDescent="0.35">
      <c r="H29670" s="676"/>
      <c r="I29670" s="676"/>
      <c r="J29670" s="770"/>
    </row>
    <row r="29671" spans="8:10" x14ac:dyDescent="0.35">
      <c r="H29671" s="676"/>
      <c r="I29671" s="676"/>
      <c r="J29671" s="770"/>
    </row>
    <row r="29672" spans="8:10" x14ac:dyDescent="0.35">
      <c r="H29672" s="676"/>
      <c r="I29672" s="676"/>
      <c r="J29672" s="770"/>
    </row>
    <row r="29673" spans="8:10" x14ac:dyDescent="0.35">
      <c r="H29673" s="676"/>
      <c r="I29673" s="676"/>
      <c r="J29673" s="770"/>
    </row>
    <row r="29674" spans="8:10" x14ac:dyDescent="0.35">
      <c r="H29674" s="676"/>
      <c r="I29674" s="676"/>
      <c r="J29674" s="770"/>
    </row>
    <row r="29675" spans="8:10" x14ac:dyDescent="0.35">
      <c r="H29675" s="676"/>
      <c r="I29675" s="676"/>
      <c r="J29675" s="770"/>
    </row>
    <row r="29676" spans="8:10" x14ac:dyDescent="0.35">
      <c r="H29676" s="676"/>
      <c r="I29676" s="676"/>
      <c r="J29676" s="770"/>
    </row>
    <row r="29677" spans="8:10" x14ac:dyDescent="0.35">
      <c r="H29677" s="676"/>
      <c r="I29677" s="676"/>
      <c r="J29677" s="770"/>
    </row>
    <row r="29678" spans="8:10" x14ac:dyDescent="0.35">
      <c r="H29678" s="676"/>
      <c r="I29678" s="676"/>
      <c r="J29678" s="770"/>
    </row>
    <row r="29679" spans="8:10" x14ac:dyDescent="0.35">
      <c r="H29679" s="676"/>
      <c r="I29679" s="676"/>
      <c r="J29679" s="770"/>
    </row>
    <row r="29680" spans="8:10" x14ac:dyDescent="0.35">
      <c r="H29680" s="676"/>
      <c r="I29680" s="676"/>
      <c r="J29680" s="770"/>
    </row>
    <row r="29681" spans="8:10" x14ac:dyDescent="0.35">
      <c r="H29681" s="676"/>
      <c r="I29681" s="676"/>
      <c r="J29681" s="770"/>
    </row>
    <row r="29682" spans="8:10" x14ac:dyDescent="0.35">
      <c r="H29682" s="676"/>
      <c r="I29682" s="676"/>
      <c r="J29682" s="770"/>
    </row>
    <row r="29683" spans="8:10" x14ac:dyDescent="0.35">
      <c r="H29683" s="676"/>
      <c r="I29683" s="676"/>
      <c r="J29683" s="770"/>
    </row>
    <row r="29684" spans="8:10" x14ac:dyDescent="0.35">
      <c r="H29684" s="676"/>
      <c r="I29684" s="676"/>
      <c r="J29684" s="770"/>
    </row>
    <row r="29685" spans="8:10" x14ac:dyDescent="0.35">
      <c r="H29685" s="676"/>
      <c r="I29685" s="676"/>
      <c r="J29685" s="770"/>
    </row>
    <row r="29686" spans="8:10" x14ac:dyDescent="0.35">
      <c r="H29686" s="676"/>
      <c r="I29686" s="676"/>
      <c r="J29686" s="770"/>
    </row>
    <row r="29687" spans="8:10" x14ac:dyDescent="0.35">
      <c r="H29687" s="676"/>
      <c r="I29687" s="676"/>
      <c r="J29687" s="770"/>
    </row>
    <row r="29688" spans="8:10" x14ac:dyDescent="0.35">
      <c r="H29688" s="676"/>
      <c r="I29688" s="676"/>
      <c r="J29688" s="770"/>
    </row>
    <row r="29689" spans="8:10" x14ac:dyDescent="0.35">
      <c r="H29689" s="676"/>
      <c r="I29689" s="676"/>
      <c r="J29689" s="770"/>
    </row>
    <row r="29690" spans="8:10" x14ac:dyDescent="0.35">
      <c r="H29690" s="676"/>
      <c r="I29690" s="676"/>
      <c r="J29690" s="770"/>
    </row>
    <row r="29691" spans="8:10" x14ac:dyDescent="0.35">
      <c r="H29691" s="676"/>
      <c r="I29691" s="676"/>
      <c r="J29691" s="770"/>
    </row>
    <row r="29692" spans="8:10" x14ac:dyDescent="0.35">
      <c r="H29692" s="676"/>
      <c r="I29692" s="676"/>
      <c r="J29692" s="770"/>
    </row>
    <row r="29693" spans="8:10" x14ac:dyDescent="0.35">
      <c r="H29693" s="676"/>
      <c r="I29693" s="676"/>
      <c r="J29693" s="770"/>
    </row>
    <row r="29694" spans="8:10" x14ac:dyDescent="0.35">
      <c r="H29694" s="676"/>
      <c r="I29694" s="676"/>
      <c r="J29694" s="770"/>
    </row>
    <row r="29695" spans="8:10" x14ac:dyDescent="0.35">
      <c r="H29695" s="676"/>
      <c r="I29695" s="676"/>
      <c r="J29695" s="770"/>
    </row>
    <row r="29696" spans="8:10" x14ac:dyDescent="0.35">
      <c r="H29696" s="676"/>
      <c r="I29696" s="676"/>
      <c r="J29696" s="770"/>
    </row>
    <row r="29697" spans="8:10" x14ac:dyDescent="0.35">
      <c r="H29697" s="676"/>
      <c r="I29697" s="676"/>
      <c r="J29697" s="770"/>
    </row>
    <row r="29698" spans="8:10" x14ac:dyDescent="0.35">
      <c r="H29698" s="676"/>
      <c r="I29698" s="676"/>
      <c r="J29698" s="770"/>
    </row>
    <row r="29699" spans="8:10" x14ac:dyDescent="0.35">
      <c r="H29699" s="676"/>
      <c r="I29699" s="676"/>
      <c r="J29699" s="770"/>
    </row>
    <row r="29700" spans="8:10" x14ac:dyDescent="0.35">
      <c r="H29700" s="676"/>
      <c r="I29700" s="676"/>
      <c r="J29700" s="770"/>
    </row>
    <row r="29701" spans="8:10" x14ac:dyDescent="0.35">
      <c r="H29701" s="676"/>
      <c r="I29701" s="676"/>
      <c r="J29701" s="770"/>
    </row>
    <row r="29702" spans="8:10" x14ac:dyDescent="0.35">
      <c r="H29702" s="676"/>
      <c r="I29702" s="676"/>
      <c r="J29702" s="770"/>
    </row>
    <row r="29703" spans="8:10" x14ac:dyDescent="0.35">
      <c r="H29703" s="676"/>
      <c r="I29703" s="676"/>
      <c r="J29703" s="770"/>
    </row>
    <row r="29704" spans="8:10" x14ac:dyDescent="0.35">
      <c r="H29704" s="676"/>
      <c r="I29704" s="676"/>
      <c r="J29704" s="770"/>
    </row>
    <row r="29705" spans="8:10" x14ac:dyDescent="0.35">
      <c r="H29705" s="676"/>
      <c r="I29705" s="676"/>
      <c r="J29705" s="770"/>
    </row>
    <row r="29706" spans="8:10" x14ac:dyDescent="0.35">
      <c r="H29706" s="676"/>
      <c r="I29706" s="676"/>
      <c r="J29706" s="770"/>
    </row>
    <row r="29707" spans="8:10" x14ac:dyDescent="0.35">
      <c r="H29707" s="676"/>
      <c r="I29707" s="676"/>
      <c r="J29707" s="770"/>
    </row>
    <row r="29708" spans="8:10" x14ac:dyDescent="0.35">
      <c r="H29708" s="676"/>
      <c r="I29708" s="676"/>
      <c r="J29708" s="770"/>
    </row>
    <row r="29709" spans="8:10" x14ac:dyDescent="0.35">
      <c r="H29709" s="676"/>
      <c r="I29709" s="676"/>
      <c r="J29709" s="770"/>
    </row>
    <row r="29710" spans="8:10" x14ac:dyDescent="0.35">
      <c r="H29710" s="676"/>
      <c r="I29710" s="676"/>
      <c r="J29710" s="770"/>
    </row>
    <row r="29711" spans="8:10" x14ac:dyDescent="0.35">
      <c r="H29711" s="676"/>
      <c r="I29711" s="676"/>
      <c r="J29711" s="770"/>
    </row>
    <row r="29712" spans="8:10" x14ac:dyDescent="0.35">
      <c r="H29712" s="676"/>
      <c r="I29712" s="676"/>
      <c r="J29712" s="770"/>
    </row>
    <row r="29713" spans="8:10" x14ac:dyDescent="0.35">
      <c r="H29713" s="676"/>
      <c r="I29713" s="676"/>
      <c r="J29713" s="770"/>
    </row>
    <row r="29714" spans="8:10" x14ac:dyDescent="0.35">
      <c r="H29714" s="676"/>
      <c r="I29714" s="676"/>
      <c r="J29714" s="770"/>
    </row>
    <row r="29715" spans="8:10" x14ac:dyDescent="0.35">
      <c r="H29715" s="676"/>
      <c r="I29715" s="676"/>
      <c r="J29715" s="770"/>
    </row>
    <row r="29716" spans="8:10" x14ac:dyDescent="0.35">
      <c r="H29716" s="676"/>
      <c r="I29716" s="676"/>
      <c r="J29716" s="770"/>
    </row>
    <row r="29717" spans="8:10" x14ac:dyDescent="0.35">
      <c r="H29717" s="676"/>
      <c r="I29717" s="676"/>
      <c r="J29717" s="770"/>
    </row>
    <row r="29718" spans="8:10" x14ac:dyDescent="0.35">
      <c r="H29718" s="676"/>
      <c r="I29718" s="676"/>
      <c r="J29718" s="770"/>
    </row>
    <row r="29719" spans="8:10" x14ac:dyDescent="0.35">
      <c r="H29719" s="676"/>
      <c r="I29719" s="676"/>
      <c r="J29719" s="770"/>
    </row>
    <row r="29720" spans="8:10" x14ac:dyDescent="0.35">
      <c r="H29720" s="676"/>
      <c r="I29720" s="676"/>
      <c r="J29720" s="770"/>
    </row>
    <row r="29721" spans="8:10" x14ac:dyDescent="0.35">
      <c r="H29721" s="676"/>
      <c r="I29721" s="676"/>
      <c r="J29721" s="770"/>
    </row>
    <row r="29722" spans="8:10" x14ac:dyDescent="0.35">
      <c r="H29722" s="676"/>
      <c r="I29722" s="676"/>
      <c r="J29722" s="770"/>
    </row>
    <row r="29723" spans="8:10" x14ac:dyDescent="0.35">
      <c r="H29723" s="676"/>
      <c r="I29723" s="676"/>
      <c r="J29723" s="770"/>
    </row>
    <row r="29724" spans="8:10" x14ac:dyDescent="0.35">
      <c r="H29724" s="676"/>
      <c r="I29724" s="676"/>
      <c r="J29724" s="770"/>
    </row>
    <row r="29725" spans="8:10" x14ac:dyDescent="0.35">
      <c r="H29725" s="676"/>
      <c r="I29725" s="676"/>
      <c r="J29725" s="770"/>
    </row>
    <row r="29726" spans="8:10" x14ac:dyDescent="0.35">
      <c r="H29726" s="676"/>
      <c r="I29726" s="676"/>
      <c r="J29726" s="770"/>
    </row>
    <row r="29727" spans="8:10" x14ac:dyDescent="0.35">
      <c r="H29727" s="676"/>
      <c r="I29727" s="676"/>
      <c r="J29727" s="770"/>
    </row>
    <row r="29728" spans="8:10" x14ac:dyDescent="0.35">
      <c r="H29728" s="676"/>
      <c r="I29728" s="676"/>
      <c r="J29728" s="770"/>
    </row>
    <row r="29729" spans="8:10" x14ac:dyDescent="0.35">
      <c r="H29729" s="676"/>
      <c r="I29729" s="676"/>
      <c r="J29729" s="770"/>
    </row>
    <row r="29730" spans="8:10" x14ac:dyDescent="0.35">
      <c r="H29730" s="676"/>
      <c r="I29730" s="676"/>
      <c r="J29730" s="770"/>
    </row>
    <row r="29731" spans="8:10" x14ac:dyDescent="0.35">
      <c r="H29731" s="676"/>
      <c r="I29731" s="676"/>
      <c r="J29731" s="770"/>
    </row>
    <row r="29732" spans="8:10" x14ac:dyDescent="0.35">
      <c r="H29732" s="676"/>
      <c r="I29732" s="676"/>
      <c r="J29732" s="770"/>
    </row>
    <row r="29733" spans="8:10" x14ac:dyDescent="0.35">
      <c r="H29733" s="676"/>
      <c r="I29733" s="676"/>
      <c r="J29733" s="770"/>
    </row>
    <row r="29734" spans="8:10" x14ac:dyDescent="0.35">
      <c r="H29734" s="676"/>
      <c r="I29734" s="676"/>
      <c r="J29734" s="770"/>
    </row>
    <row r="29735" spans="8:10" x14ac:dyDescent="0.35">
      <c r="H29735" s="676"/>
      <c r="I29735" s="676"/>
      <c r="J29735" s="770"/>
    </row>
    <row r="29736" spans="8:10" x14ac:dyDescent="0.35">
      <c r="H29736" s="676"/>
      <c r="I29736" s="676"/>
      <c r="J29736" s="770"/>
    </row>
    <row r="29737" spans="8:10" x14ac:dyDescent="0.35">
      <c r="H29737" s="676"/>
      <c r="I29737" s="676"/>
      <c r="J29737" s="770"/>
    </row>
    <row r="29738" spans="8:10" x14ac:dyDescent="0.35">
      <c r="H29738" s="676"/>
      <c r="I29738" s="676"/>
      <c r="J29738" s="770"/>
    </row>
    <row r="29739" spans="8:10" x14ac:dyDescent="0.35">
      <c r="H29739" s="676"/>
      <c r="I29739" s="676"/>
      <c r="J29739" s="770"/>
    </row>
    <row r="29740" spans="8:10" x14ac:dyDescent="0.35">
      <c r="H29740" s="676"/>
      <c r="I29740" s="676"/>
      <c r="J29740" s="770"/>
    </row>
    <row r="29741" spans="8:10" x14ac:dyDescent="0.35">
      <c r="H29741" s="676"/>
      <c r="I29741" s="676"/>
      <c r="J29741" s="770"/>
    </row>
    <row r="29742" spans="8:10" x14ac:dyDescent="0.35">
      <c r="H29742" s="676"/>
      <c r="I29742" s="676"/>
      <c r="J29742" s="770"/>
    </row>
    <row r="29743" spans="8:10" x14ac:dyDescent="0.35">
      <c r="H29743" s="676"/>
      <c r="I29743" s="676"/>
      <c r="J29743" s="770"/>
    </row>
    <row r="29744" spans="8:10" x14ac:dyDescent="0.35">
      <c r="H29744" s="676"/>
      <c r="I29744" s="676"/>
      <c r="J29744" s="770"/>
    </row>
    <row r="29745" spans="8:10" x14ac:dyDescent="0.35">
      <c r="H29745" s="676"/>
      <c r="I29745" s="676"/>
      <c r="J29745" s="770"/>
    </row>
    <row r="29746" spans="8:10" x14ac:dyDescent="0.35">
      <c r="H29746" s="676"/>
      <c r="I29746" s="676"/>
      <c r="J29746" s="770"/>
    </row>
    <row r="29747" spans="8:10" x14ac:dyDescent="0.35">
      <c r="H29747" s="676"/>
      <c r="I29747" s="676"/>
      <c r="J29747" s="770"/>
    </row>
    <row r="29748" spans="8:10" x14ac:dyDescent="0.35">
      <c r="H29748" s="676"/>
      <c r="I29748" s="676"/>
      <c r="J29748" s="770"/>
    </row>
    <row r="29749" spans="8:10" x14ac:dyDescent="0.35">
      <c r="H29749" s="676"/>
      <c r="I29749" s="676"/>
      <c r="J29749" s="770"/>
    </row>
    <row r="29750" spans="8:10" x14ac:dyDescent="0.35">
      <c r="H29750" s="676"/>
      <c r="I29750" s="676"/>
      <c r="J29750" s="770"/>
    </row>
    <row r="29751" spans="8:10" x14ac:dyDescent="0.35">
      <c r="H29751" s="676"/>
      <c r="I29751" s="676"/>
      <c r="J29751" s="770"/>
    </row>
    <row r="29752" spans="8:10" x14ac:dyDescent="0.35">
      <c r="H29752" s="676"/>
      <c r="I29752" s="676"/>
      <c r="J29752" s="770"/>
    </row>
    <row r="29753" spans="8:10" x14ac:dyDescent="0.35">
      <c r="H29753" s="676"/>
      <c r="I29753" s="676"/>
      <c r="J29753" s="770"/>
    </row>
    <row r="29754" spans="8:10" x14ac:dyDescent="0.35">
      <c r="H29754" s="676"/>
      <c r="I29754" s="676"/>
      <c r="J29754" s="770"/>
    </row>
    <row r="29755" spans="8:10" x14ac:dyDescent="0.35">
      <c r="H29755" s="676"/>
      <c r="I29755" s="676"/>
      <c r="J29755" s="770"/>
    </row>
    <row r="29756" spans="8:10" x14ac:dyDescent="0.35">
      <c r="H29756" s="676"/>
      <c r="I29756" s="676"/>
      <c r="J29756" s="770"/>
    </row>
    <row r="29757" spans="8:10" x14ac:dyDescent="0.35">
      <c r="H29757" s="676"/>
      <c r="I29757" s="676"/>
      <c r="J29757" s="770"/>
    </row>
    <row r="29758" spans="8:10" x14ac:dyDescent="0.35">
      <c r="H29758" s="676"/>
      <c r="I29758" s="676"/>
      <c r="J29758" s="770"/>
    </row>
    <row r="29759" spans="8:10" x14ac:dyDescent="0.35">
      <c r="H29759" s="676"/>
      <c r="I29759" s="676"/>
      <c r="J29759" s="770"/>
    </row>
    <row r="29760" spans="8:10" x14ac:dyDescent="0.35">
      <c r="H29760" s="676"/>
      <c r="I29760" s="676"/>
      <c r="J29760" s="770"/>
    </row>
    <row r="29761" spans="8:10" x14ac:dyDescent="0.35">
      <c r="H29761" s="676"/>
      <c r="I29761" s="676"/>
      <c r="J29761" s="770"/>
    </row>
    <row r="29762" spans="8:10" x14ac:dyDescent="0.35">
      <c r="H29762" s="676"/>
      <c r="I29762" s="676"/>
      <c r="J29762" s="770"/>
    </row>
    <row r="29763" spans="8:10" x14ac:dyDescent="0.35">
      <c r="H29763" s="676"/>
      <c r="I29763" s="676"/>
      <c r="J29763" s="770"/>
    </row>
    <row r="29764" spans="8:10" x14ac:dyDescent="0.35">
      <c r="H29764" s="676"/>
      <c r="I29764" s="676"/>
      <c r="J29764" s="770"/>
    </row>
    <row r="29765" spans="8:10" x14ac:dyDescent="0.35">
      <c r="H29765" s="676"/>
      <c r="I29765" s="676"/>
      <c r="J29765" s="770"/>
    </row>
    <row r="29766" spans="8:10" x14ac:dyDescent="0.35">
      <c r="H29766" s="676"/>
      <c r="I29766" s="676"/>
      <c r="J29766" s="770"/>
    </row>
    <row r="29767" spans="8:10" x14ac:dyDescent="0.35">
      <c r="H29767" s="676"/>
      <c r="I29767" s="676"/>
      <c r="J29767" s="770"/>
    </row>
    <row r="29768" spans="8:10" x14ac:dyDescent="0.35">
      <c r="H29768" s="676"/>
      <c r="I29768" s="676"/>
      <c r="J29768" s="770"/>
    </row>
    <row r="29769" spans="8:10" x14ac:dyDescent="0.35">
      <c r="H29769" s="676"/>
      <c r="I29769" s="676"/>
      <c r="J29769" s="770"/>
    </row>
    <row r="29770" spans="8:10" x14ac:dyDescent="0.35">
      <c r="H29770" s="676"/>
      <c r="I29770" s="676"/>
      <c r="J29770" s="770"/>
    </row>
    <row r="29771" spans="8:10" x14ac:dyDescent="0.35">
      <c r="H29771" s="676"/>
      <c r="I29771" s="676"/>
      <c r="J29771" s="770"/>
    </row>
    <row r="29772" spans="8:10" x14ac:dyDescent="0.35">
      <c r="H29772" s="676"/>
      <c r="I29772" s="676"/>
      <c r="J29772" s="770"/>
    </row>
    <row r="29773" spans="8:10" x14ac:dyDescent="0.35">
      <c r="H29773" s="676"/>
      <c r="I29773" s="676"/>
      <c r="J29773" s="770"/>
    </row>
    <row r="29774" spans="8:10" x14ac:dyDescent="0.35">
      <c r="H29774" s="676"/>
      <c r="I29774" s="676"/>
      <c r="J29774" s="770"/>
    </row>
    <row r="29775" spans="8:10" x14ac:dyDescent="0.35">
      <c r="H29775" s="676"/>
      <c r="I29775" s="676"/>
      <c r="J29775" s="770"/>
    </row>
    <row r="29776" spans="8:10" x14ac:dyDescent="0.35">
      <c r="H29776" s="676"/>
      <c r="I29776" s="676"/>
      <c r="J29776" s="770"/>
    </row>
    <row r="29777" spans="8:10" x14ac:dyDescent="0.35">
      <c r="H29777" s="676"/>
      <c r="I29777" s="676"/>
      <c r="J29777" s="770"/>
    </row>
    <row r="29778" spans="8:10" x14ac:dyDescent="0.35">
      <c r="H29778" s="676"/>
      <c r="I29778" s="676"/>
      <c r="J29778" s="770"/>
    </row>
    <row r="29779" spans="8:10" x14ac:dyDescent="0.35">
      <c r="H29779" s="676"/>
      <c r="I29779" s="676"/>
      <c r="J29779" s="770"/>
    </row>
    <row r="29780" spans="8:10" x14ac:dyDescent="0.35">
      <c r="H29780" s="676"/>
      <c r="I29780" s="676"/>
      <c r="J29780" s="770"/>
    </row>
    <row r="29781" spans="8:10" x14ac:dyDescent="0.35">
      <c r="H29781" s="676"/>
      <c r="I29781" s="676"/>
      <c r="J29781" s="770"/>
    </row>
    <row r="29782" spans="8:10" x14ac:dyDescent="0.35">
      <c r="H29782" s="676"/>
      <c r="I29782" s="676"/>
      <c r="J29782" s="770"/>
    </row>
    <row r="29783" spans="8:10" x14ac:dyDescent="0.35">
      <c r="H29783" s="676"/>
      <c r="I29783" s="676"/>
      <c r="J29783" s="770"/>
    </row>
    <row r="29784" spans="8:10" x14ac:dyDescent="0.35">
      <c r="H29784" s="676"/>
      <c r="I29784" s="676"/>
      <c r="J29784" s="770"/>
    </row>
    <row r="29785" spans="8:10" x14ac:dyDescent="0.35">
      <c r="H29785" s="676"/>
      <c r="I29785" s="676"/>
      <c r="J29785" s="770"/>
    </row>
    <row r="29786" spans="8:10" x14ac:dyDescent="0.35">
      <c r="H29786" s="676"/>
      <c r="I29786" s="676"/>
      <c r="J29786" s="770"/>
    </row>
    <row r="29787" spans="8:10" x14ac:dyDescent="0.35">
      <c r="H29787" s="676"/>
      <c r="I29787" s="676"/>
      <c r="J29787" s="770"/>
    </row>
    <row r="29788" spans="8:10" x14ac:dyDescent="0.35">
      <c r="H29788" s="676"/>
      <c r="I29788" s="676"/>
      <c r="J29788" s="770"/>
    </row>
    <row r="29789" spans="8:10" x14ac:dyDescent="0.35">
      <c r="H29789" s="676"/>
      <c r="I29789" s="676"/>
      <c r="J29789" s="770"/>
    </row>
    <row r="29790" spans="8:10" x14ac:dyDescent="0.35">
      <c r="H29790" s="676"/>
      <c r="I29790" s="676"/>
      <c r="J29790" s="770"/>
    </row>
    <row r="29791" spans="8:10" x14ac:dyDescent="0.35">
      <c r="H29791" s="676"/>
      <c r="I29791" s="676"/>
      <c r="J29791" s="770"/>
    </row>
    <row r="29792" spans="8:10" x14ac:dyDescent="0.35">
      <c r="H29792" s="676"/>
      <c r="I29792" s="676"/>
      <c r="J29792" s="770"/>
    </row>
    <row r="29793" spans="8:10" x14ac:dyDescent="0.35">
      <c r="H29793" s="676"/>
      <c r="I29793" s="676"/>
      <c r="J29793" s="770"/>
    </row>
    <row r="29794" spans="8:10" x14ac:dyDescent="0.35">
      <c r="H29794" s="676"/>
      <c r="I29794" s="676"/>
      <c r="J29794" s="770"/>
    </row>
    <row r="29795" spans="8:10" x14ac:dyDescent="0.35">
      <c r="H29795" s="676"/>
      <c r="I29795" s="676"/>
      <c r="J29795" s="770"/>
    </row>
    <row r="29796" spans="8:10" x14ac:dyDescent="0.35">
      <c r="H29796" s="676"/>
      <c r="I29796" s="676"/>
      <c r="J29796" s="770"/>
    </row>
    <row r="29797" spans="8:10" x14ac:dyDescent="0.35">
      <c r="H29797" s="676"/>
      <c r="I29797" s="676"/>
      <c r="J29797" s="770"/>
    </row>
    <row r="29798" spans="8:10" x14ac:dyDescent="0.35">
      <c r="H29798" s="676"/>
      <c r="I29798" s="676"/>
      <c r="J29798" s="770"/>
    </row>
    <row r="29799" spans="8:10" x14ac:dyDescent="0.35">
      <c r="H29799" s="676"/>
      <c r="I29799" s="676"/>
      <c r="J29799" s="770"/>
    </row>
    <row r="29800" spans="8:10" x14ac:dyDescent="0.35">
      <c r="H29800" s="676"/>
      <c r="I29800" s="676"/>
      <c r="J29800" s="770"/>
    </row>
    <row r="29801" spans="8:10" x14ac:dyDescent="0.35">
      <c r="H29801" s="676"/>
      <c r="I29801" s="676"/>
      <c r="J29801" s="770"/>
    </row>
    <row r="29802" spans="8:10" x14ac:dyDescent="0.35">
      <c r="H29802" s="676"/>
      <c r="I29802" s="676"/>
      <c r="J29802" s="770"/>
    </row>
    <row r="29803" spans="8:10" x14ac:dyDescent="0.35">
      <c r="H29803" s="676"/>
      <c r="I29803" s="676"/>
      <c r="J29803" s="770"/>
    </row>
    <row r="29804" spans="8:10" x14ac:dyDescent="0.35">
      <c r="H29804" s="676"/>
      <c r="I29804" s="676"/>
      <c r="J29804" s="770"/>
    </row>
    <row r="29805" spans="8:10" x14ac:dyDescent="0.35">
      <c r="H29805" s="676"/>
      <c r="I29805" s="676"/>
      <c r="J29805" s="770"/>
    </row>
    <row r="29806" spans="8:10" x14ac:dyDescent="0.35">
      <c r="H29806" s="676"/>
      <c r="I29806" s="676"/>
      <c r="J29806" s="770"/>
    </row>
    <row r="29807" spans="8:10" x14ac:dyDescent="0.35">
      <c r="H29807" s="676"/>
      <c r="I29807" s="676"/>
      <c r="J29807" s="770"/>
    </row>
    <row r="29808" spans="8:10" x14ac:dyDescent="0.35">
      <c r="H29808" s="676"/>
      <c r="I29808" s="676"/>
      <c r="J29808" s="770"/>
    </row>
    <row r="29809" spans="8:10" x14ac:dyDescent="0.35">
      <c r="H29809" s="676"/>
      <c r="I29809" s="676"/>
      <c r="J29809" s="770"/>
    </row>
    <row r="29810" spans="8:10" x14ac:dyDescent="0.35">
      <c r="H29810" s="676"/>
      <c r="I29810" s="676"/>
      <c r="J29810" s="770"/>
    </row>
    <row r="29811" spans="8:10" x14ac:dyDescent="0.35">
      <c r="H29811" s="676"/>
      <c r="I29811" s="676"/>
      <c r="J29811" s="770"/>
    </row>
    <row r="29812" spans="8:10" x14ac:dyDescent="0.35">
      <c r="H29812" s="676"/>
      <c r="I29812" s="676"/>
      <c r="J29812" s="770"/>
    </row>
    <row r="29813" spans="8:10" x14ac:dyDescent="0.35">
      <c r="H29813" s="676"/>
      <c r="I29813" s="676"/>
      <c r="J29813" s="770"/>
    </row>
    <row r="29814" spans="8:10" x14ac:dyDescent="0.35">
      <c r="H29814" s="676"/>
      <c r="I29814" s="676"/>
      <c r="J29814" s="770"/>
    </row>
    <row r="29815" spans="8:10" x14ac:dyDescent="0.35">
      <c r="H29815" s="676"/>
      <c r="I29815" s="676"/>
      <c r="J29815" s="770"/>
    </row>
    <row r="29816" spans="8:10" x14ac:dyDescent="0.35">
      <c r="H29816" s="676"/>
      <c r="I29816" s="676"/>
      <c r="J29816" s="770"/>
    </row>
    <row r="29817" spans="8:10" x14ac:dyDescent="0.35">
      <c r="H29817" s="676"/>
      <c r="I29817" s="676"/>
      <c r="J29817" s="770"/>
    </row>
    <row r="29818" spans="8:10" x14ac:dyDescent="0.35">
      <c r="H29818" s="676"/>
      <c r="I29818" s="676"/>
      <c r="J29818" s="770"/>
    </row>
    <row r="29819" spans="8:10" x14ac:dyDescent="0.35">
      <c r="H29819" s="676"/>
      <c r="I29819" s="676"/>
      <c r="J29819" s="770"/>
    </row>
    <row r="29820" spans="8:10" x14ac:dyDescent="0.35">
      <c r="H29820" s="676"/>
      <c r="I29820" s="676"/>
      <c r="J29820" s="770"/>
    </row>
    <row r="29821" spans="8:10" x14ac:dyDescent="0.35">
      <c r="H29821" s="676"/>
      <c r="I29821" s="676"/>
      <c r="J29821" s="770"/>
    </row>
    <row r="29822" spans="8:10" x14ac:dyDescent="0.35">
      <c r="H29822" s="676"/>
      <c r="I29822" s="676"/>
      <c r="J29822" s="770"/>
    </row>
    <row r="29823" spans="8:10" x14ac:dyDescent="0.35">
      <c r="H29823" s="676"/>
      <c r="I29823" s="676"/>
      <c r="J29823" s="770"/>
    </row>
    <row r="29824" spans="8:10" x14ac:dyDescent="0.35">
      <c r="H29824" s="676"/>
      <c r="I29824" s="676"/>
      <c r="J29824" s="770"/>
    </row>
    <row r="29825" spans="8:10" x14ac:dyDescent="0.35">
      <c r="H29825" s="676"/>
      <c r="I29825" s="676"/>
      <c r="J29825" s="770"/>
    </row>
    <row r="29826" spans="8:10" x14ac:dyDescent="0.35">
      <c r="H29826" s="676"/>
      <c r="I29826" s="676"/>
      <c r="J29826" s="770"/>
    </row>
    <row r="29827" spans="8:10" x14ac:dyDescent="0.35">
      <c r="H29827" s="676"/>
      <c r="I29827" s="676"/>
      <c r="J29827" s="770"/>
    </row>
    <row r="29828" spans="8:10" x14ac:dyDescent="0.35">
      <c r="H29828" s="676"/>
      <c r="I29828" s="676"/>
      <c r="J29828" s="770"/>
    </row>
    <row r="29829" spans="8:10" x14ac:dyDescent="0.35">
      <c r="H29829" s="676"/>
      <c r="I29829" s="676"/>
      <c r="J29829" s="770"/>
    </row>
    <row r="29830" spans="8:10" x14ac:dyDescent="0.35">
      <c r="H29830" s="676"/>
      <c r="I29830" s="676"/>
      <c r="J29830" s="770"/>
    </row>
    <row r="29831" spans="8:10" x14ac:dyDescent="0.35">
      <c r="H29831" s="676"/>
      <c r="I29831" s="676"/>
      <c r="J29831" s="770"/>
    </row>
    <row r="29832" spans="8:10" x14ac:dyDescent="0.35">
      <c r="H29832" s="676"/>
      <c r="I29832" s="676"/>
      <c r="J29832" s="770"/>
    </row>
    <row r="29833" spans="8:10" x14ac:dyDescent="0.35">
      <c r="H29833" s="676"/>
      <c r="I29833" s="676"/>
      <c r="J29833" s="770"/>
    </row>
    <row r="29834" spans="8:10" x14ac:dyDescent="0.35">
      <c r="H29834" s="676"/>
      <c r="I29834" s="676"/>
      <c r="J29834" s="770"/>
    </row>
    <row r="29835" spans="8:10" x14ac:dyDescent="0.35">
      <c r="H29835" s="676"/>
      <c r="I29835" s="676"/>
      <c r="J29835" s="770"/>
    </row>
    <row r="29836" spans="8:10" x14ac:dyDescent="0.35">
      <c r="H29836" s="676"/>
      <c r="I29836" s="676"/>
      <c r="J29836" s="770"/>
    </row>
    <row r="29837" spans="8:10" x14ac:dyDescent="0.35">
      <c r="H29837" s="676"/>
      <c r="I29837" s="676"/>
      <c r="J29837" s="770"/>
    </row>
    <row r="29838" spans="8:10" x14ac:dyDescent="0.35">
      <c r="H29838" s="676"/>
      <c r="I29838" s="676"/>
      <c r="J29838" s="770"/>
    </row>
    <row r="29839" spans="8:10" x14ac:dyDescent="0.35">
      <c r="H29839" s="676"/>
      <c r="I29839" s="676"/>
      <c r="J29839" s="770"/>
    </row>
    <row r="29840" spans="8:10" x14ac:dyDescent="0.35">
      <c r="H29840" s="676"/>
      <c r="I29840" s="676"/>
      <c r="J29840" s="770"/>
    </row>
    <row r="29841" spans="8:10" x14ac:dyDescent="0.35">
      <c r="H29841" s="676"/>
      <c r="I29841" s="676"/>
      <c r="J29841" s="770"/>
    </row>
    <row r="29842" spans="8:10" x14ac:dyDescent="0.35">
      <c r="H29842" s="676"/>
      <c r="I29842" s="676"/>
      <c r="J29842" s="770"/>
    </row>
    <row r="29843" spans="8:10" x14ac:dyDescent="0.35">
      <c r="H29843" s="676"/>
      <c r="I29843" s="676"/>
      <c r="J29843" s="770"/>
    </row>
    <row r="29844" spans="8:10" x14ac:dyDescent="0.35">
      <c r="H29844" s="676"/>
      <c r="I29844" s="676"/>
      <c r="J29844" s="770"/>
    </row>
    <row r="29845" spans="8:10" x14ac:dyDescent="0.35">
      <c r="H29845" s="676"/>
      <c r="I29845" s="676"/>
      <c r="J29845" s="770"/>
    </row>
    <row r="29846" spans="8:10" x14ac:dyDescent="0.35">
      <c r="H29846" s="676"/>
      <c r="I29846" s="676"/>
      <c r="J29846" s="770"/>
    </row>
    <row r="29847" spans="8:10" x14ac:dyDescent="0.35">
      <c r="H29847" s="676"/>
      <c r="I29847" s="676"/>
      <c r="J29847" s="770"/>
    </row>
    <row r="29848" spans="8:10" x14ac:dyDescent="0.35">
      <c r="H29848" s="676"/>
      <c r="I29848" s="676"/>
      <c r="J29848" s="770"/>
    </row>
    <row r="29849" spans="8:10" x14ac:dyDescent="0.35">
      <c r="H29849" s="676"/>
      <c r="I29849" s="676"/>
      <c r="J29849" s="770"/>
    </row>
    <row r="29850" spans="8:10" x14ac:dyDescent="0.35">
      <c r="H29850" s="676"/>
      <c r="I29850" s="676"/>
      <c r="J29850" s="770"/>
    </row>
    <row r="29851" spans="8:10" x14ac:dyDescent="0.35">
      <c r="H29851" s="676"/>
      <c r="I29851" s="676"/>
      <c r="J29851" s="770"/>
    </row>
    <row r="29852" spans="8:10" x14ac:dyDescent="0.35">
      <c r="H29852" s="676"/>
      <c r="I29852" s="676"/>
      <c r="J29852" s="770"/>
    </row>
    <row r="29853" spans="8:10" x14ac:dyDescent="0.35">
      <c r="H29853" s="676"/>
      <c r="I29853" s="676"/>
      <c r="J29853" s="770"/>
    </row>
    <row r="29854" spans="8:10" x14ac:dyDescent="0.35">
      <c r="H29854" s="676"/>
      <c r="I29854" s="676"/>
      <c r="J29854" s="770"/>
    </row>
    <row r="29855" spans="8:10" x14ac:dyDescent="0.35">
      <c r="H29855" s="676"/>
      <c r="I29855" s="676"/>
      <c r="J29855" s="770"/>
    </row>
    <row r="29856" spans="8:10" x14ac:dyDescent="0.35">
      <c r="H29856" s="676"/>
      <c r="I29856" s="676"/>
      <c r="J29856" s="770"/>
    </row>
    <row r="29857" spans="8:10" x14ac:dyDescent="0.35">
      <c r="H29857" s="676"/>
      <c r="I29857" s="676"/>
      <c r="J29857" s="770"/>
    </row>
    <row r="29858" spans="8:10" x14ac:dyDescent="0.35">
      <c r="H29858" s="676"/>
      <c r="I29858" s="676"/>
      <c r="J29858" s="770"/>
    </row>
    <row r="29859" spans="8:10" x14ac:dyDescent="0.35">
      <c r="H29859" s="676"/>
      <c r="I29859" s="676"/>
      <c r="J29859" s="770"/>
    </row>
    <row r="29860" spans="8:10" x14ac:dyDescent="0.35">
      <c r="H29860" s="676"/>
      <c r="I29860" s="676"/>
      <c r="J29860" s="770"/>
    </row>
    <row r="29861" spans="8:10" x14ac:dyDescent="0.35">
      <c r="H29861" s="676"/>
      <c r="I29861" s="676"/>
      <c r="J29861" s="770"/>
    </row>
    <row r="29862" spans="8:10" x14ac:dyDescent="0.35">
      <c r="H29862" s="676"/>
      <c r="I29862" s="676"/>
      <c r="J29862" s="770"/>
    </row>
    <row r="29863" spans="8:10" x14ac:dyDescent="0.35">
      <c r="H29863" s="676"/>
      <c r="I29863" s="676"/>
      <c r="J29863" s="770"/>
    </row>
    <row r="29864" spans="8:10" x14ac:dyDescent="0.35">
      <c r="H29864" s="676"/>
      <c r="I29864" s="676"/>
      <c r="J29864" s="770"/>
    </row>
    <row r="29865" spans="8:10" x14ac:dyDescent="0.35">
      <c r="H29865" s="676"/>
      <c r="I29865" s="676"/>
      <c r="J29865" s="770"/>
    </row>
    <row r="29866" spans="8:10" x14ac:dyDescent="0.35">
      <c r="H29866" s="676"/>
      <c r="I29866" s="676"/>
      <c r="J29866" s="770"/>
    </row>
    <row r="29867" spans="8:10" x14ac:dyDescent="0.35">
      <c r="H29867" s="676"/>
      <c r="I29867" s="676"/>
      <c r="J29867" s="770"/>
    </row>
    <row r="29868" spans="8:10" x14ac:dyDescent="0.35">
      <c r="H29868" s="676"/>
      <c r="I29868" s="676"/>
      <c r="J29868" s="770"/>
    </row>
    <row r="29869" spans="8:10" x14ac:dyDescent="0.35">
      <c r="H29869" s="676"/>
      <c r="I29869" s="676"/>
      <c r="J29869" s="770"/>
    </row>
    <row r="29870" spans="8:10" x14ac:dyDescent="0.35">
      <c r="H29870" s="676"/>
      <c r="I29870" s="676"/>
      <c r="J29870" s="770"/>
    </row>
    <row r="29871" spans="8:10" x14ac:dyDescent="0.35">
      <c r="H29871" s="676"/>
      <c r="I29871" s="676"/>
      <c r="J29871" s="770"/>
    </row>
    <row r="29872" spans="8:10" x14ac:dyDescent="0.35">
      <c r="H29872" s="676"/>
      <c r="I29872" s="676"/>
      <c r="J29872" s="770"/>
    </row>
    <row r="29873" spans="8:10" x14ac:dyDescent="0.35">
      <c r="H29873" s="676"/>
      <c r="I29873" s="676"/>
      <c r="J29873" s="770"/>
    </row>
    <row r="29874" spans="8:10" x14ac:dyDescent="0.35">
      <c r="H29874" s="676"/>
      <c r="I29874" s="676"/>
      <c r="J29874" s="770"/>
    </row>
    <row r="29875" spans="8:10" x14ac:dyDescent="0.35">
      <c r="H29875" s="676"/>
      <c r="I29875" s="676"/>
      <c r="J29875" s="770"/>
    </row>
    <row r="29876" spans="8:10" x14ac:dyDescent="0.35">
      <c r="H29876" s="676"/>
      <c r="I29876" s="676"/>
      <c r="J29876" s="770"/>
    </row>
    <row r="29877" spans="8:10" x14ac:dyDescent="0.35">
      <c r="H29877" s="676"/>
      <c r="I29877" s="676"/>
      <c r="J29877" s="770"/>
    </row>
    <row r="29878" spans="8:10" x14ac:dyDescent="0.35">
      <c r="H29878" s="676"/>
      <c r="I29878" s="676"/>
      <c r="J29878" s="770"/>
    </row>
    <row r="29879" spans="8:10" x14ac:dyDescent="0.35">
      <c r="H29879" s="676"/>
      <c r="I29879" s="676"/>
      <c r="J29879" s="770"/>
    </row>
    <row r="29880" spans="8:10" x14ac:dyDescent="0.35">
      <c r="H29880" s="676"/>
      <c r="I29880" s="676"/>
      <c r="J29880" s="770"/>
    </row>
    <row r="29881" spans="8:10" x14ac:dyDescent="0.35">
      <c r="H29881" s="676"/>
      <c r="I29881" s="676"/>
      <c r="J29881" s="770"/>
    </row>
    <row r="29882" spans="8:10" x14ac:dyDescent="0.35">
      <c r="H29882" s="676"/>
      <c r="I29882" s="676"/>
      <c r="J29882" s="770"/>
    </row>
    <row r="29883" spans="8:10" x14ac:dyDescent="0.35">
      <c r="H29883" s="676"/>
      <c r="I29883" s="676"/>
      <c r="J29883" s="770"/>
    </row>
    <row r="29884" spans="8:10" x14ac:dyDescent="0.35">
      <c r="H29884" s="676"/>
      <c r="I29884" s="676"/>
      <c r="J29884" s="770"/>
    </row>
    <row r="29885" spans="8:10" x14ac:dyDescent="0.35">
      <c r="H29885" s="676"/>
      <c r="I29885" s="676"/>
      <c r="J29885" s="770"/>
    </row>
    <row r="29886" spans="8:10" x14ac:dyDescent="0.35">
      <c r="H29886" s="676"/>
      <c r="I29886" s="676"/>
      <c r="J29886" s="770"/>
    </row>
    <row r="29887" spans="8:10" x14ac:dyDescent="0.35">
      <c r="H29887" s="676"/>
      <c r="I29887" s="676"/>
      <c r="J29887" s="770"/>
    </row>
    <row r="29888" spans="8:10" x14ac:dyDescent="0.35">
      <c r="H29888" s="676"/>
      <c r="I29888" s="676"/>
      <c r="J29888" s="770"/>
    </row>
    <row r="29889" spans="8:10" x14ac:dyDescent="0.35">
      <c r="H29889" s="676"/>
      <c r="I29889" s="676"/>
      <c r="J29889" s="770"/>
    </row>
    <row r="29890" spans="8:10" x14ac:dyDescent="0.35">
      <c r="H29890" s="676"/>
      <c r="I29890" s="676"/>
      <c r="J29890" s="770"/>
    </row>
    <row r="29891" spans="8:10" x14ac:dyDescent="0.35">
      <c r="H29891" s="676"/>
      <c r="I29891" s="676"/>
      <c r="J29891" s="770"/>
    </row>
    <row r="29892" spans="8:10" x14ac:dyDescent="0.35">
      <c r="H29892" s="676"/>
      <c r="I29892" s="676"/>
      <c r="J29892" s="770"/>
    </row>
    <row r="29893" spans="8:10" x14ac:dyDescent="0.35">
      <c r="H29893" s="676"/>
      <c r="I29893" s="676"/>
      <c r="J29893" s="770"/>
    </row>
    <row r="29894" spans="8:10" x14ac:dyDescent="0.35">
      <c r="H29894" s="676"/>
      <c r="I29894" s="676"/>
      <c r="J29894" s="770"/>
    </row>
    <row r="29895" spans="8:10" x14ac:dyDescent="0.35">
      <c r="H29895" s="676"/>
      <c r="I29895" s="676"/>
      <c r="J29895" s="770"/>
    </row>
    <row r="29896" spans="8:10" x14ac:dyDescent="0.35">
      <c r="H29896" s="676"/>
      <c r="I29896" s="676"/>
      <c r="J29896" s="770"/>
    </row>
    <row r="29897" spans="8:10" x14ac:dyDescent="0.35">
      <c r="H29897" s="676"/>
      <c r="I29897" s="676"/>
      <c r="J29897" s="770"/>
    </row>
    <row r="29898" spans="8:10" x14ac:dyDescent="0.35">
      <c r="H29898" s="676"/>
      <c r="I29898" s="676"/>
      <c r="J29898" s="770"/>
    </row>
    <row r="29899" spans="8:10" x14ac:dyDescent="0.35">
      <c r="H29899" s="676"/>
      <c r="I29899" s="676"/>
      <c r="J29899" s="770"/>
    </row>
    <row r="29900" spans="8:10" x14ac:dyDescent="0.35">
      <c r="H29900" s="676"/>
      <c r="I29900" s="676"/>
      <c r="J29900" s="770"/>
    </row>
    <row r="29901" spans="8:10" x14ac:dyDescent="0.35">
      <c r="H29901" s="676"/>
      <c r="I29901" s="676"/>
      <c r="J29901" s="770"/>
    </row>
    <row r="29902" spans="8:10" x14ac:dyDescent="0.35">
      <c r="H29902" s="676"/>
      <c r="I29902" s="676"/>
      <c r="J29902" s="770"/>
    </row>
    <row r="29903" spans="8:10" x14ac:dyDescent="0.35">
      <c r="H29903" s="676"/>
      <c r="I29903" s="676"/>
      <c r="J29903" s="770"/>
    </row>
    <row r="29904" spans="8:10" x14ac:dyDescent="0.35">
      <c r="H29904" s="676"/>
      <c r="I29904" s="676"/>
      <c r="J29904" s="770"/>
    </row>
    <row r="29905" spans="8:10" x14ac:dyDescent="0.35">
      <c r="H29905" s="676"/>
      <c r="I29905" s="676"/>
      <c r="J29905" s="770"/>
    </row>
    <row r="29906" spans="8:10" x14ac:dyDescent="0.35">
      <c r="H29906" s="676"/>
      <c r="I29906" s="676"/>
      <c r="J29906" s="770"/>
    </row>
    <row r="29907" spans="8:10" x14ac:dyDescent="0.35">
      <c r="H29907" s="676"/>
      <c r="I29907" s="676"/>
      <c r="J29907" s="770"/>
    </row>
    <row r="29908" spans="8:10" x14ac:dyDescent="0.35">
      <c r="H29908" s="676"/>
      <c r="I29908" s="676"/>
      <c r="J29908" s="770"/>
    </row>
    <row r="29909" spans="8:10" x14ac:dyDescent="0.35">
      <c r="H29909" s="676"/>
      <c r="I29909" s="676"/>
      <c r="J29909" s="770"/>
    </row>
    <row r="29910" spans="8:10" x14ac:dyDescent="0.35">
      <c r="H29910" s="676"/>
      <c r="I29910" s="676"/>
      <c r="J29910" s="770"/>
    </row>
    <row r="29911" spans="8:10" x14ac:dyDescent="0.35">
      <c r="H29911" s="676"/>
      <c r="I29911" s="676"/>
      <c r="J29911" s="770"/>
    </row>
    <row r="29912" spans="8:10" x14ac:dyDescent="0.35">
      <c r="H29912" s="676"/>
      <c r="I29912" s="676"/>
      <c r="J29912" s="770"/>
    </row>
    <row r="29913" spans="8:10" x14ac:dyDescent="0.35">
      <c r="H29913" s="676"/>
      <c r="I29913" s="676"/>
      <c r="J29913" s="770"/>
    </row>
    <row r="29914" spans="8:10" x14ac:dyDescent="0.35">
      <c r="H29914" s="676"/>
      <c r="I29914" s="676"/>
      <c r="J29914" s="770"/>
    </row>
    <row r="29915" spans="8:10" x14ac:dyDescent="0.35">
      <c r="H29915" s="676"/>
      <c r="I29915" s="676"/>
      <c r="J29915" s="770"/>
    </row>
    <row r="29916" spans="8:10" x14ac:dyDescent="0.35">
      <c r="H29916" s="676"/>
      <c r="I29916" s="676"/>
      <c r="J29916" s="770"/>
    </row>
    <row r="29917" spans="8:10" x14ac:dyDescent="0.35">
      <c r="H29917" s="676"/>
      <c r="I29917" s="676"/>
      <c r="J29917" s="770"/>
    </row>
    <row r="29918" spans="8:10" x14ac:dyDescent="0.35">
      <c r="H29918" s="676"/>
      <c r="I29918" s="676"/>
      <c r="J29918" s="770"/>
    </row>
    <row r="29919" spans="8:10" x14ac:dyDescent="0.35">
      <c r="H29919" s="676"/>
      <c r="I29919" s="676"/>
      <c r="J29919" s="770"/>
    </row>
    <row r="29920" spans="8:10" x14ac:dyDescent="0.35">
      <c r="H29920" s="676"/>
      <c r="I29920" s="676"/>
      <c r="J29920" s="770"/>
    </row>
    <row r="29921" spans="8:10" x14ac:dyDescent="0.35">
      <c r="H29921" s="676"/>
      <c r="I29921" s="676"/>
      <c r="J29921" s="770"/>
    </row>
    <row r="29922" spans="8:10" x14ac:dyDescent="0.35">
      <c r="H29922" s="676"/>
      <c r="I29922" s="676"/>
      <c r="J29922" s="770"/>
    </row>
    <row r="29923" spans="8:10" x14ac:dyDescent="0.35">
      <c r="H29923" s="676"/>
      <c r="I29923" s="676"/>
      <c r="J29923" s="770"/>
    </row>
    <row r="29924" spans="8:10" x14ac:dyDescent="0.35">
      <c r="H29924" s="676"/>
      <c r="I29924" s="676"/>
      <c r="J29924" s="770"/>
    </row>
    <row r="29925" spans="8:10" x14ac:dyDescent="0.35">
      <c r="H29925" s="676"/>
      <c r="I29925" s="676"/>
      <c r="J29925" s="770"/>
    </row>
    <row r="29926" spans="8:10" x14ac:dyDescent="0.35">
      <c r="H29926" s="676"/>
      <c r="I29926" s="676"/>
      <c r="J29926" s="770"/>
    </row>
    <row r="29927" spans="8:10" x14ac:dyDescent="0.35">
      <c r="H29927" s="676"/>
      <c r="I29927" s="676"/>
      <c r="J29927" s="770"/>
    </row>
    <row r="29928" spans="8:10" x14ac:dyDescent="0.35">
      <c r="H29928" s="676"/>
      <c r="I29928" s="676"/>
      <c r="J29928" s="770"/>
    </row>
    <row r="29929" spans="8:10" x14ac:dyDescent="0.35">
      <c r="H29929" s="676"/>
      <c r="I29929" s="676"/>
      <c r="J29929" s="770"/>
    </row>
    <row r="29930" spans="8:10" x14ac:dyDescent="0.35">
      <c r="H29930" s="676"/>
      <c r="I29930" s="676"/>
      <c r="J29930" s="770"/>
    </row>
    <row r="29931" spans="8:10" x14ac:dyDescent="0.35">
      <c r="H29931" s="676"/>
      <c r="I29931" s="676"/>
      <c r="J29931" s="770"/>
    </row>
    <row r="29932" spans="8:10" x14ac:dyDescent="0.35">
      <c r="H29932" s="676"/>
      <c r="I29932" s="676"/>
      <c r="J29932" s="770"/>
    </row>
    <row r="29933" spans="8:10" x14ac:dyDescent="0.35">
      <c r="H29933" s="676"/>
      <c r="I29933" s="676"/>
      <c r="J29933" s="770"/>
    </row>
    <row r="29934" spans="8:10" x14ac:dyDescent="0.35">
      <c r="H29934" s="676"/>
      <c r="I29934" s="676"/>
      <c r="J29934" s="770"/>
    </row>
    <row r="29935" spans="8:10" x14ac:dyDescent="0.35">
      <c r="H29935" s="676"/>
      <c r="I29935" s="676"/>
      <c r="J29935" s="770"/>
    </row>
    <row r="29936" spans="8:10" x14ac:dyDescent="0.35">
      <c r="H29936" s="676"/>
      <c r="I29936" s="676"/>
      <c r="J29936" s="770"/>
    </row>
    <row r="29937" spans="8:10" x14ac:dyDescent="0.35">
      <c r="H29937" s="676"/>
      <c r="I29937" s="676"/>
      <c r="J29937" s="770"/>
    </row>
    <row r="29938" spans="8:10" x14ac:dyDescent="0.35">
      <c r="H29938" s="676"/>
      <c r="I29938" s="676"/>
      <c r="J29938" s="770"/>
    </row>
    <row r="29939" spans="8:10" x14ac:dyDescent="0.35">
      <c r="H29939" s="676"/>
      <c r="I29939" s="676"/>
      <c r="J29939" s="770"/>
    </row>
    <row r="29940" spans="8:10" x14ac:dyDescent="0.35">
      <c r="H29940" s="676"/>
      <c r="I29940" s="676"/>
      <c r="J29940" s="770"/>
    </row>
    <row r="29941" spans="8:10" x14ac:dyDescent="0.35">
      <c r="H29941" s="676"/>
      <c r="I29941" s="676"/>
      <c r="J29941" s="770"/>
    </row>
    <row r="29942" spans="8:10" x14ac:dyDescent="0.35">
      <c r="H29942" s="676"/>
      <c r="I29942" s="676"/>
      <c r="J29942" s="770"/>
    </row>
    <row r="29943" spans="8:10" x14ac:dyDescent="0.35">
      <c r="H29943" s="676"/>
      <c r="I29943" s="676"/>
      <c r="J29943" s="770"/>
    </row>
    <row r="29944" spans="8:10" x14ac:dyDescent="0.35">
      <c r="H29944" s="676"/>
      <c r="I29944" s="676"/>
      <c r="J29944" s="770"/>
    </row>
    <row r="29945" spans="8:10" x14ac:dyDescent="0.35">
      <c r="H29945" s="676"/>
      <c r="I29945" s="676"/>
      <c r="J29945" s="770"/>
    </row>
    <row r="29946" spans="8:10" x14ac:dyDescent="0.35">
      <c r="H29946" s="676"/>
      <c r="I29946" s="676"/>
      <c r="J29946" s="770"/>
    </row>
    <row r="29947" spans="8:10" x14ac:dyDescent="0.35">
      <c r="H29947" s="676"/>
      <c r="I29947" s="676"/>
      <c r="J29947" s="770"/>
    </row>
    <row r="29948" spans="8:10" x14ac:dyDescent="0.35">
      <c r="H29948" s="676"/>
      <c r="I29948" s="676"/>
      <c r="J29948" s="770"/>
    </row>
    <row r="29949" spans="8:10" x14ac:dyDescent="0.35">
      <c r="H29949" s="676"/>
      <c r="I29949" s="676"/>
      <c r="J29949" s="770"/>
    </row>
    <row r="29950" spans="8:10" x14ac:dyDescent="0.35">
      <c r="H29950" s="676"/>
      <c r="I29950" s="676"/>
      <c r="J29950" s="770"/>
    </row>
    <row r="29951" spans="8:10" x14ac:dyDescent="0.35">
      <c r="H29951" s="676"/>
      <c r="I29951" s="676"/>
      <c r="J29951" s="770"/>
    </row>
    <row r="29952" spans="8:10" x14ac:dyDescent="0.35">
      <c r="H29952" s="676"/>
      <c r="I29952" s="676"/>
      <c r="J29952" s="770"/>
    </row>
    <row r="29953" spans="8:10" x14ac:dyDescent="0.35">
      <c r="H29953" s="676"/>
      <c r="I29953" s="676"/>
      <c r="J29953" s="770"/>
    </row>
    <row r="29954" spans="8:10" x14ac:dyDescent="0.35">
      <c r="H29954" s="676"/>
      <c r="I29954" s="676"/>
      <c r="J29954" s="770"/>
    </row>
    <row r="29955" spans="8:10" x14ac:dyDescent="0.35">
      <c r="H29955" s="676"/>
      <c r="I29955" s="676"/>
      <c r="J29955" s="770"/>
    </row>
    <row r="29956" spans="8:10" x14ac:dyDescent="0.35">
      <c r="H29956" s="676"/>
      <c r="I29956" s="676"/>
      <c r="J29956" s="770"/>
    </row>
    <row r="29957" spans="8:10" x14ac:dyDescent="0.35">
      <c r="H29957" s="676"/>
      <c r="I29957" s="676"/>
      <c r="J29957" s="770"/>
    </row>
    <row r="29958" spans="8:10" x14ac:dyDescent="0.35">
      <c r="H29958" s="676"/>
      <c r="I29958" s="676"/>
      <c r="J29958" s="770"/>
    </row>
    <row r="29959" spans="8:10" x14ac:dyDescent="0.35">
      <c r="H29959" s="676"/>
      <c r="I29959" s="676"/>
      <c r="J29959" s="770"/>
    </row>
    <row r="29960" spans="8:10" x14ac:dyDescent="0.35">
      <c r="H29960" s="676"/>
      <c r="I29960" s="676"/>
      <c r="J29960" s="770"/>
    </row>
    <row r="29961" spans="8:10" x14ac:dyDescent="0.35">
      <c r="H29961" s="676"/>
      <c r="I29961" s="676"/>
      <c r="J29961" s="770"/>
    </row>
    <row r="29962" spans="8:10" x14ac:dyDescent="0.35">
      <c r="H29962" s="676"/>
      <c r="I29962" s="676"/>
      <c r="J29962" s="770"/>
    </row>
    <row r="29963" spans="8:10" x14ac:dyDescent="0.35">
      <c r="H29963" s="676"/>
      <c r="I29963" s="676"/>
      <c r="J29963" s="770"/>
    </row>
    <row r="29964" spans="8:10" x14ac:dyDescent="0.35">
      <c r="H29964" s="676"/>
      <c r="I29964" s="676"/>
      <c r="J29964" s="770"/>
    </row>
    <row r="29965" spans="8:10" x14ac:dyDescent="0.35">
      <c r="H29965" s="676"/>
      <c r="I29965" s="676"/>
      <c r="J29965" s="770"/>
    </row>
    <row r="29966" spans="8:10" x14ac:dyDescent="0.35">
      <c r="H29966" s="676"/>
      <c r="I29966" s="676"/>
      <c r="J29966" s="770"/>
    </row>
    <row r="29967" spans="8:10" x14ac:dyDescent="0.35">
      <c r="H29967" s="676"/>
      <c r="I29967" s="676"/>
      <c r="J29967" s="770"/>
    </row>
    <row r="29968" spans="8:10" x14ac:dyDescent="0.35">
      <c r="H29968" s="676"/>
      <c r="I29968" s="676"/>
      <c r="J29968" s="770"/>
    </row>
    <row r="29969" spans="8:10" x14ac:dyDescent="0.35">
      <c r="H29969" s="676"/>
      <c r="I29969" s="676"/>
      <c r="J29969" s="770"/>
    </row>
    <row r="29970" spans="8:10" x14ac:dyDescent="0.35">
      <c r="H29970" s="676"/>
      <c r="I29970" s="676"/>
      <c r="J29970" s="770"/>
    </row>
    <row r="29971" spans="8:10" x14ac:dyDescent="0.35">
      <c r="H29971" s="676"/>
      <c r="I29971" s="676"/>
      <c r="J29971" s="770"/>
    </row>
    <row r="29972" spans="8:10" x14ac:dyDescent="0.35">
      <c r="H29972" s="676"/>
      <c r="I29972" s="676"/>
      <c r="J29972" s="770"/>
    </row>
    <row r="29973" spans="8:10" x14ac:dyDescent="0.35">
      <c r="H29973" s="676"/>
      <c r="I29973" s="676"/>
      <c r="J29973" s="770"/>
    </row>
    <row r="29974" spans="8:10" x14ac:dyDescent="0.35">
      <c r="H29974" s="676"/>
      <c r="I29974" s="676"/>
      <c r="J29974" s="770"/>
    </row>
    <row r="29975" spans="8:10" x14ac:dyDescent="0.35">
      <c r="H29975" s="676"/>
      <c r="I29975" s="676"/>
      <c r="J29975" s="770"/>
    </row>
    <row r="29976" spans="8:10" x14ac:dyDescent="0.35">
      <c r="H29976" s="676"/>
      <c r="I29976" s="676"/>
      <c r="J29976" s="770"/>
    </row>
    <row r="29977" spans="8:10" x14ac:dyDescent="0.35">
      <c r="H29977" s="676"/>
      <c r="I29977" s="676"/>
      <c r="J29977" s="770"/>
    </row>
    <row r="29978" spans="8:10" x14ac:dyDescent="0.35">
      <c r="H29978" s="676"/>
      <c r="I29978" s="676"/>
      <c r="J29978" s="770"/>
    </row>
    <row r="29979" spans="8:10" x14ac:dyDescent="0.35">
      <c r="H29979" s="676"/>
      <c r="I29979" s="676"/>
      <c r="J29979" s="770"/>
    </row>
    <row r="29980" spans="8:10" x14ac:dyDescent="0.35">
      <c r="H29980" s="676"/>
      <c r="I29980" s="676"/>
      <c r="J29980" s="770"/>
    </row>
    <row r="29981" spans="8:10" x14ac:dyDescent="0.35">
      <c r="H29981" s="676"/>
      <c r="I29981" s="676"/>
      <c r="J29981" s="770"/>
    </row>
    <row r="29982" spans="8:10" x14ac:dyDescent="0.35">
      <c r="H29982" s="676"/>
      <c r="I29982" s="676"/>
      <c r="J29982" s="770"/>
    </row>
    <row r="29983" spans="8:10" x14ac:dyDescent="0.35">
      <c r="H29983" s="676"/>
      <c r="I29983" s="676"/>
      <c r="J29983" s="770"/>
    </row>
    <row r="29984" spans="8:10" x14ac:dyDescent="0.35">
      <c r="H29984" s="676"/>
      <c r="I29984" s="676"/>
      <c r="J29984" s="770"/>
    </row>
    <row r="29985" spans="8:10" x14ac:dyDescent="0.35">
      <c r="H29985" s="676"/>
      <c r="I29985" s="676"/>
      <c r="J29985" s="770"/>
    </row>
    <row r="29986" spans="8:10" x14ac:dyDescent="0.35">
      <c r="H29986" s="676"/>
      <c r="I29986" s="676"/>
      <c r="J29986" s="770"/>
    </row>
    <row r="29987" spans="8:10" x14ac:dyDescent="0.35">
      <c r="H29987" s="676"/>
      <c r="I29987" s="676"/>
      <c r="J29987" s="770"/>
    </row>
    <row r="29988" spans="8:10" x14ac:dyDescent="0.35">
      <c r="H29988" s="676"/>
      <c r="I29988" s="676"/>
      <c r="J29988" s="770"/>
    </row>
    <row r="29989" spans="8:10" x14ac:dyDescent="0.35">
      <c r="H29989" s="676"/>
      <c r="I29989" s="676"/>
      <c r="J29989" s="770"/>
    </row>
    <row r="29990" spans="8:10" x14ac:dyDescent="0.35">
      <c r="H29990" s="676"/>
      <c r="I29990" s="676"/>
      <c r="J29990" s="770"/>
    </row>
    <row r="29991" spans="8:10" x14ac:dyDescent="0.35">
      <c r="H29991" s="676"/>
      <c r="I29991" s="676"/>
      <c r="J29991" s="770"/>
    </row>
    <row r="29992" spans="8:10" x14ac:dyDescent="0.35">
      <c r="H29992" s="676"/>
      <c r="I29992" s="676"/>
      <c r="J29992" s="770"/>
    </row>
    <row r="29993" spans="8:10" x14ac:dyDescent="0.35">
      <c r="H29993" s="676"/>
      <c r="I29993" s="676"/>
      <c r="J29993" s="770"/>
    </row>
    <row r="29994" spans="8:10" x14ac:dyDescent="0.35">
      <c r="H29994" s="676"/>
      <c r="I29994" s="676"/>
      <c r="J29994" s="770"/>
    </row>
    <row r="29995" spans="8:10" x14ac:dyDescent="0.35">
      <c r="H29995" s="676"/>
      <c r="I29995" s="676"/>
      <c r="J29995" s="770"/>
    </row>
    <row r="29996" spans="8:10" x14ac:dyDescent="0.35">
      <c r="H29996" s="676"/>
      <c r="I29996" s="676"/>
      <c r="J29996" s="770"/>
    </row>
    <row r="29997" spans="8:10" x14ac:dyDescent="0.35">
      <c r="H29997" s="676"/>
      <c r="I29997" s="676"/>
      <c r="J29997" s="770"/>
    </row>
    <row r="29998" spans="8:10" x14ac:dyDescent="0.35">
      <c r="H29998" s="676"/>
      <c r="I29998" s="676"/>
      <c r="J29998" s="770"/>
    </row>
    <row r="29999" spans="8:10" x14ac:dyDescent="0.35">
      <c r="H29999" s="676"/>
      <c r="I29999" s="676"/>
      <c r="J29999" s="770"/>
    </row>
    <row r="30000" spans="8:10" x14ac:dyDescent="0.35">
      <c r="H30000" s="676"/>
      <c r="I30000" s="676"/>
      <c r="J30000" s="770"/>
    </row>
    <row r="30001" spans="8:10" x14ac:dyDescent="0.35">
      <c r="H30001" s="676"/>
      <c r="I30001" s="676"/>
      <c r="J30001" s="770"/>
    </row>
    <row r="30002" spans="8:10" x14ac:dyDescent="0.35">
      <c r="H30002" s="676"/>
      <c r="I30002" s="676"/>
      <c r="J30002" s="770"/>
    </row>
    <row r="30003" spans="8:10" x14ac:dyDescent="0.35">
      <c r="H30003" s="676"/>
      <c r="I30003" s="676"/>
      <c r="J30003" s="770"/>
    </row>
    <row r="30004" spans="8:10" x14ac:dyDescent="0.35">
      <c r="H30004" s="676"/>
      <c r="I30004" s="676"/>
      <c r="J30004" s="770"/>
    </row>
    <row r="30005" spans="8:10" x14ac:dyDescent="0.35">
      <c r="H30005" s="676"/>
      <c r="I30005" s="676"/>
      <c r="J30005" s="770"/>
    </row>
    <row r="30006" spans="8:10" x14ac:dyDescent="0.35">
      <c r="H30006" s="676"/>
      <c r="I30006" s="676"/>
      <c r="J30006" s="770"/>
    </row>
    <row r="30007" spans="8:10" x14ac:dyDescent="0.35">
      <c r="H30007" s="676"/>
      <c r="I30007" s="676"/>
      <c r="J30007" s="770"/>
    </row>
    <row r="30008" spans="8:10" x14ac:dyDescent="0.35">
      <c r="H30008" s="676"/>
      <c r="I30008" s="676"/>
      <c r="J30008" s="770"/>
    </row>
    <row r="30009" spans="8:10" x14ac:dyDescent="0.35">
      <c r="H30009" s="676"/>
      <c r="I30009" s="676"/>
      <c r="J30009" s="770"/>
    </row>
    <row r="30010" spans="8:10" x14ac:dyDescent="0.35">
      <c r="H30010" s="676"/>
      <c r="I30010" s="676"/>
      <c r="J30010" s="770"/>
    </row>
    <row r="30011" spans="8:10" x14ac:dyDescent="0.35">
      <c r="H30011" s="676"/>
      <c r="I30011" s="676"/>
      <c r="J30011" s="770"/>
    </row>
    <row r="30012" spans="8:10" x14ac:dyDescent="0.35">
      <c r="H30012" s="676"/>
      <c r="I30012" s="676"/>
      <c r="J30012" s="770"/>
    </row>
    <row r="30013" spans="8:10" x14ac:dyDescent="0.35">
      <c r="H30013" s="676"/>
      <c r="I30013" s="676"/>
      <c r="J30013" s="770"/>
    </row>
    <row r="30014" spans="8:10" x14ac:dyDescent="0.35">
      <c r="H30014" s="676"/>
      <c r="I30014" s="676"/>
      <c r="J30014" s="770"/>
    </row>
    <row r="30015" spans="8:10" x14ac:dyDescent="0.35">
      <c r="H30015" s="676"/>
      <c r="I30015" s="676"/>
      <c r="J30015" s="770"/>
    </row>
    <row r="30016" spans="8:10" x14ac:dyDescent="0.35">
      <c r="H30016" s="676"/>
      <c r="I30016" s="676"/>
      <c r="J30016" s="770"/>
    </row>
    <row r="30017" spans="8:10" x14ac:dyDescent="0.35">
      <c r="H30017" s="676"/>
      <c r="I30017" s="676"/>
      <c r="J30017" s="770"/>
    </row>
    <row r="30018" spans="8:10" x14ac:dyDescent="0.35">
      <c r="H30018" s="676"/>
      <c r="I30018" s="676"/>
      <c r="J30018" s="770"/>
    </row>
    <row r="30019" spans="8:10" x14ac:dyDescent="0.35">
      <c r="H30019" s="676"/>
      <c r="I30019" s="676"/>
      <c r="J30019" s="770"/>
    </row>
    <row r="30020" spans="8:10" x14ac:dyDescent="0.35">
      <c r="H30020" s="676"/>
      <c r="I30020" s="676"/>
      <c r="J30020" s="770"/>
    </row>
    <row r="30021" spans="8:10" x14ac:dyDescent="0.35">
      <c r="H30021" s="676"/>
      <c r="I30021" s="676"/>
      <c r="J30021" s="770"/>
    </row>
    <row r="30022" spans="8:10" x14ac:dyDescent="0.35">
      <c r="H30022" s="676"/>
      <c r="I30022" s="676"/>
      <c r="J30022" s="770"/>
    </row>
    <row r="30023" spans="8:10" x14ac:dyDescent="0.35">
      <c r="H30023" s="676"/>
      <c r="I30023" s="676"/>
      <c r="J30023" s="770"/>
    </row>
    <row r="30024" spans="8:10" x14ac:dyDescent="0.35">
      <c r="H30024" s="676"/>
      <c r="I30024" s="676"/>
      <c r="J30024" s="770"/>
    </row>
    <row r="30025" spans="8:10" x14ac:dyDescent="0.35">
      <c r="H30025" s="676"/>
      <c r="I30025" s="676"/>
      <c r="J30025" s="770"/>
    </row>
    <row r="30026" spans="8:10" x14ac:dyDescent="0.35">
      <c r="H30026" s="676"/>
      <c r="I30026" s="676"/>
      <c r="J30026" s="770"/>
    </row>
    <row r="30027" spans="8:10" x14ac:dyDescent="0.35">
      <c r="H30027" s="676"/>
      <c r="I30027" s="676"/>
      <c r="J30027" s="770"/>
    </row>
    <row r="30028" spans="8:10" x14ac:dyDescent="0.35">
      <c r="H30028" s="676"/>
      <c r="I30028" s="676"/>
      <c r="J30028" s="770"/>
    </row>
    <row r="30029" spans="8:10" x14ac:dyDescent="0.35">
      <c r="H30029" s="676"/>
      <c r="I30029" s="676"/>
      <c r="J30029" s="770"/>
    </row>
    <row r="30030" spans="8:10" x14ac:dyDescent="0.35">
      <c r="H30030" s="676"/>
      <c r="I30030" s="676"/>
      <c r="J30030" s="770"/>
    </row>
    <row r="30031" spans="8:10" x14ac:dyDescent="0.35">
      <c r="H30031" s="676"/>
      <c r="I30031" s="676"/>
      <c r="J30031" s="770"/>
    </row>
    <row r="30032" spans="8:10" x14ac:dyDescent="0.35">
      <c r="H30032" s="676"/>
      <c r="I30032" s="676"/>
      <c r="J30032" s="770"/>
    </row>
    <row r="30033" spans="8:10" x14ac:dyDescent="0.35">
      <c r="H30033" s="676"/>
      <c r="I30033" s="676"/>
      <c r="J30033" s="770"/>
    </row>
    <row r="30034" spans="8:10" x14ac:dyDescent="0.35">
      <c r="H30034" s="676"/>
      <c r="I30034" s="676"/>
      <c r="J30034" s="770"/>
    </row>
    <row r="30035" spans="8:10" x14ac:dyDescent="0.35">
      <c r="H30035" s="676"/>
      <c r="I30035" s="676"/>
      <c r="J30035" s="770"/>
    </row>
    <row r="30036" spans="8:10" x14ac:dyDescent="0.35">
      <c r="H30036" s="676"/>
      <c r="I30036" s="676"/>
      <c r="J30036" s="770"/>
    </row>
    <row r="30037" spans="8:10" x14ac:dyDescent="0.35">
      <c r="H30037" s="676"/>
      <c r="I30037" s="676"/>
      <c r="J30037" s="770"/>
    </row>
    <row r="30038" spans="8:10" x14ac:dyDescent="0.35">
      <c r="H30038" s="676"/>
      <c r="I30038" s="676"/>
      <c r="J30038" s="770"/>
    </row>
    <row r="30039" spans="8:10" x14ac:dyDescent="0.35">
      <c r="H30039" s="676"/>
      <c r="I30039" s="676"/>
      <c r="J30039" s="770"/>
    </row>
    <row r="30040" spans="8:10" x14ac:dyDescent="0.35">
      <c r="H30040" s="676"/>
      <c r="I30040" s="676"/>
      <c r="J30040" s="770"/>
    </row>
    <row r="30041" spans="8:10" x14ac:dyDescent="0.35">
      <c r="H30041" s="676"/>
      <c r="I30041" s="676"/>
      <c r="J30041" s="770"/>
    </row>
    <row r="30042" spans="8:10" x14ac:dyDescent="0.35">
      <c r="H30042" s="676"/>
      <c r="I30042" s="676"/>
      <c r="J30042" s="770"/>
    </row>
    <row r="30043" spans="8:10" x14ac:dyDescent="0.35">
      <c r="H30043" s="676"/>
      <c r="I30043" s="676"/>
      <c r="J30043" s="770"/>
    </row>
    <row r="30044" spans="8:10" x14ac:dyDescent="0.35">
      <c r="H30044" s="676"/>
      <c r="I30044" s="676"/>
      <c r="J30044" s="770"/>
    </row>
    <row r="30045" spans="8:10" x14ac:dyDescent="0.35">
      <c r="H30045" s="676"/>
      <c r="I30045" s="676"/>
      <c r="J30045" s="770"/>
    </row>
    <row r="30046" spans="8:10" x14ac:dyDescent="0.35">
      <c r="H30046" s="676"/>
      <c r="I30046" s="676"/>
      <c r="J30046" s="770"/>
    </row>
    <row r="30047" spans="8:10" x14ac:dyDescent="0.35">
      <c r="H30047" s="676"/>
      <c r="I30047" s="676"/>
      <c r="J30047" s="770"/>
    </row>
    <row r="30048" spans="8:10" x14ac:dyDescent="0.35">
      <c r="H30048" s="676"/>
      <c r="I30048" s="676"/>
      <c r="J30048" s="770"/>
    </row>
    <row r="30049" spans="8:10" x14ac:dyDescent="0.35">
      <c r="H30049" s="676"/>
      <c r="I30049" s="676"/>
      <c r="J30049" s="770"/>
    </row>
    <row r="30050" spans="8:10" x14ac:dyDescent="0.35">
      <c r="H30050" s="676"/>
      <c r="I30050" s="676"/>
      <c r="J30050" s="770"/>
    </row>
    <row r="30051" spans="8:10" x14ac:dyDescent="0.35">
      <c r="H30051" s="676"/>
      <c r="I30051" s="676"/>
      <c r="J30051" s="770"/>
    </row>
    <row r="30052" spans="8:10" x14ac:dyDescent="0.35">
      <c r="H30052" s="676"/>
      <c r="I30052" s="676"/>
      <c r="J30052" s="770"/>
    </row>
    <row r="30053" spans="8:10" x14ac:dyDescent="0.35">
      <c r="H30053" s="676"/>
      <c r="I30053" s="676"/>
      <c r="J30053" s="770"/>
    </row>
    <row r="30054" spans="8:10" x14ac:dyDescent="0.35">
      <c r="H30054" s="676"/>
      <c r="I30054" s="676"/>
      <c r="J30054" s="770"/>
    </row>
    <row r="30055" spans="8:10" x14ac:dyDescent="0.35">
      <c r="H30055" s="676"/>
      <c r="I30055" s="676"/>
      <c r="J30055" s="770"/>
    </row>
    <row r="30056" spans="8:10" x14ac:dyDescent="0.35">
      <c r="H30056" s="676"/>
      <c r="I30056" s="676"/>
      <c r="J30056" s="770"/>
    </row>
    <row r="30057" spans="8:10" x14ac:dyDescent="0.35">
      <c r="H30057" s="676"/>
      <c r="I30057" s="676"/>
      <c r="J30057" s="770"/>
    </row>
    <row r="30058" spans="8:10" x14ac:dyDescent="0.35">
      <c r="H30058" s="676"/>
      <c r="I30058" s="676"/>
      <c r="J30058" s="770"/>
    </row>
    <row r="30059" spans="8:10" x14ac:dyDescent="0.35">
      <c r="H30059" s="676"/>
      <c r="I30059" s="676"/>
      <c r="J30059" s="770"/>
    </row>
    <row r="30060" spans="8:10" x14ac:dyDescent="0.35">
      <c r="H30060" s="676"/>
      <c r="I30060" s="676"/>
      <c r="J30060" s="770"/>
    </row>
    <row r="30061" spans="8:10" x14ac:dyDescent="0.35">
      <c r="H30061" s="676"/>
      <c r="I30061" s="676"/>
      <c r="J30061" s="770"/>
    </row>
    <row r="30062" spans="8:10" x14ac:dyDescent="0.35">
      <c r="H30062" s="676"/>
      <c r="I30062" s="676"/>
      <c r="J30062" s="770"/>
    </row>
    <row r="30063" spans="8:10" x14ac:dyDescent="0.35">
      <c r="H30063" s="676"/>
      <c r="I30063" s="676"/>
      <c r="J30063" s="770"/>
    </row>
    <row r="30064" spans="8:10" x14ac:dyDescent="0.35">
      <c r="H30064" s="676"/>
      <c r="I30064" s="676"/>
      <c r="J30064" s="770"/>
    </row>
    <row r="30065" spans="8:10" x14ac:dyDescent="0.35">
      <c r="H30065" s="676"/>
      <c r="I30065" s="676"/>
      <c r="J30065" s="770"/>
    </row>
    <row r="30066" spans="8:10" x14ac:dyDescent="0.35">
      <c r="H30066" s="676"/>
      <c r="I30066" s="676"/>
      <c r="J30066" s="770"/>
    </row>
    <row r="30067" spans="8:10" x14ac:dyDescent="0.35">
      <c r="H30067" s="676"/>
      <c r="I30067" s="676"/>
      <c r="J30067" s="770"/>
    </row>
    <row r="30068" spans="8:10" x14ac:dyDescent="0.35">
      <c r="H30068" s="676"/>
      <c r="I30068" s="676"/>
      <c r="J30068" s="770"/>
    </row>
    <row r="30069" spans="8:10" x14ac:dyDescent="0.35">
      <c r="H30069" s="676"/>
      <c r="I30069" s="676"/>
      <c r="J30069" s="770"/>
    </row>
    <row r="30070" spans="8:10" x14ac:dyDescent="0.35">
      <c r="H30070" s="676"/>
      <c r="I30070" s="676"/>
      <c r="J30070" s="770"/>
    </row>
    <row r="30071" spans="8:10" x14ac:dyDescent="0.35">
      <c r="H30071" s="676"/>
      <c r="I30071" s="676"/>
      <c r="J30071" s="770"/>
    </row>
    <row r="30072" spans="8:10" x14ac:dyDescent="0.35">
      <c r="H30072" s="676"/>
      <c r="I30072" s="676"/>
      <c r="J30072" s="770"/>
    </row>
    <row r="30073" spans="8:10" x14ac:dyDescent="0.35">
      <c r="H30073" s="676"/>
      <c r="I30073" s="676"/>
      <c r="J30073" s="770"/>
    </row>
    <row r="30074" spans="8:10" x14ac:dyDescent="0.35">
      <c r="H30074" s="676"/>
      <c r="I30074" s="676"/>
      <c r="J30074" s="770"/>
    </row>
    <row r="30075" spans="8:10" x14ac:dyDescent="0.35">
      <c r="H30075" s="676"/>
      <c r="I30075" s="676"/>
      <c r="J30075" s="770"/>
    </row>
    <row r="30076" spans="8:10" x14ac:dyDescent="0.35">
      <c r="H30076" s="676"/>
      <c r="I30076" s="676"/>
      <c r="J30076" s="770"/>
    </row>
    <row r="30077" spans="8:10" x14ac:dyDescent="0.35">
      <c r="H30077" s="676"/>
      <c r="I30077" s="676"/>
      <c r="J30077" s="770"/>
    </row>
    <row r="30078" spans="8:10" x14ac:dyDescent="0.35">
      <c r="H30078" s="676"/>
      <c r="I30078" s="676"/>
      <c r="J30078" s="770"/>
    </row>
    <row r="30079" spans="8:10" x14ac:dyDescent="0.35">
      <c r="H30079" s="676"/>
      <c r="I30079" s="676"/>
      <c r="J30079" s="770"/>
    </row>
    <row r="30080" spans="8:10" x14ac:dyDescent="0.35">
      <c r="H30080" s="676"/>
      <c r="I30080" s="676"/>
      <c r="J30080" s="770"/>
    </row>
    <row r="30081" spans="8:10" x14ac:dyDescent="0.35">
      <c r="H30081" s="676"/>
      <c r="I30081" s="676"/>
      <c r="J30081" s="770"/>
    </row>
    <row r="30082" spans="8:10" x14ac:dyDescent="0.35">
      <c r="H30082" s="676"/>
      <c r="I30082" s="676"/>
      <c r="J30082" s="770"/>
    </row>
    <row r="30083" spans="8:10" x14ac:dyDescent="0.35">
      <c r="H30083" s="676"/>
      <c r="I30083" s="676"/>
      <c r="J30083" s="770"/>
    </row>
    <row r="30084" spans="8:10" x14ac:dyDescent="0.35">
      <c r="H30084" s="676"/>
      <c r="I30084" s="676"/>
      <c r="J30084" s="770"/>
    </row>
    <row r="30085" spans="8:10" x14ac:dyDescent="0.35">
      <c r="H30085" s="676"/>
      <c r="I30085" s="676"/>
      <c r="J30085" s="770"/>
    </row>
    <row r="30086" spans="8:10" x14ac:dyDescent="0.35">
      <c r="H30086" s="676"/>
      <c r="I30086" s="676"/>
      <c r="J30086" s="770"/>
    </row>
    <row r="30087" spans="8:10" x14ac:dyDescent="0.35">
      <c r="H30087" s="676"/>
      <c r="I30087" s="676"/>
      <c r="J30087" s="770"/>
    </row>
    <row r="30088" spans="8:10" x14ac:dyDescent="0.35">
      <c r="H30088" s="676"/>
      <c r="I30088" s="676"/>
      <c r="J30088" s="770"/>
    </row>
    <row r="30089" spans="8:10" x14ac:dyDescent="0.35">
      <c r="H30089" s="676"/>
      <c r="I30089" s="676"/>
      <c r="J30089" s="770"/>
    </row>
    <row r="30090" spans="8:10" x14ac:dyDescent="0.35">
      <c r="H30090" s="676"/>
      <c r="I30090" s="676"/>
      <c r="J30090" s="770"/>
    </row>
    <row r="30091" spans="8:10" x14ac:dyDescent="0.35">
      <c r="H30091" s="676"/>
      <c r="I30091" s="676"/>
      <c r="J30091" s="770"/>
    </row>
    <row r="30092" spans="8:10" x14ac:dyDescent="0.35">
      <c r="H30092" s="676"/>
      <c r="I30092" s="676"/>
      <c r="J30092" s="770"/>
    </row>
    <row r="30093" spans="8:10" x14ac:dyDescent="0.35">
      <c r="H30093" s="676"/>
      <c r="I30093" s="676"/>
      <c r="J30093" s="770"/>
    </row>
    <row r="30094" spans="8:10" x14ac:dyDescent="0.35">
      <c r="H30094" s="676"/>
      <c r="I30094" s="676"/>
      <c r="J30094" s="770"/>
    </row>
    <row r="30095" spans="8:10" x14ac:dyDescent="0.35">
      <c r="H30095" s="676"/>
      <c r="I30095" s="676"/>
      <c r="J30095" s="770"/>
    </row>
    <row r="30096" spans="8:10" x14ac:dyDescent="0.35">
      <c r="H30096" s="676"/>
      <c r="I30096" s="676"/>
      <c r="J30096" s="770"/>
    </row>
    <row r="30097" spans="8:10" x14ac:dyDescent="0.35">
      <c r="H30097" s="676"/>
      <c r="I30097" s="676"/>
      <c r="J30097" s="770"/>
    </row>
    <row r="30098" spans="8:10" x14ac:dyDescent="0.35">
      <c r="H30098" s="676"/>
      <c r="I30098" s="676"/>
      <c r="J30098" s="770"/>
    </row>
    <row r="30099" spans="8:10" x14ac:dyDescent="0.35">
      <c r="H30099" s="676"/>
      <c r="I30099" s="676"/>
      <c r="J30099" s="770"/>
    </row>
    <row r="30100" spans="8:10" x14ac:dyDescent="0.35">
      <c r="H30100" s="676"/>
      <c r="I30100" s="676"/>
      <c r="J30100" s="770"/>
    </row>
    <row r="30101" spans="8:10" x14ac:dyDescent="0.35">
      <c r="H30101" s="676"/>
      <c r="I30101" s="676"/>
      <c r="J30101" s="770"/>
    </row>
    <row r="30102" spans="8:10" x14ac:dyDescent="0.35">
      <c r="H30102" s="676"/>
      <c r="I30102" s="676"/>
      <c r="J30102" s="770"/>
    </row>
    <row r="30103" spans="8:10" x14ac:dyDescent="0.35">
      <c r="H30103" s="676"/>
      <c r="I30103" s="676"/>
      <c r="J30103" s="770"/>
    </row>
    <row r="30104" spans="8:10" x14ac:dyDescent="0.35">
      <c r="H30104" s="676"/>
      <c r="I30104" s="676"/>
      <c r="J30104" s="770"/>
    </row>
    <row r="30105" spans="8:10" x14ac:dyDescent="0.35">
      <c r="H30105" s="676"/>
      <c r="I30105" s="676"/>
      <c r="J30105" s="770"/>
    </row>
    <row r="30106" spans="8:10" x14ac:dyDescent="0.35">
      <c r="H30106" s="676"/>
      <c r="I30106" s="676"/>
      <c r="J30106" s="770"/>
    </row>
    <row r="30107" spans="8:10" x14ac:dyDescent="0.35">
      <c r="H30107" s="676"/>
      <c r="I30107" s="676"/>
      <c r="J30107" s="770"/>
    </row>
    <row r="30108" spans="8:10" x14ac:dyDescent="0.35">
      <c r="H30108" s="676"/>
      <c r="I30108" s="676"/>
      <c r="J30108" s="770"/>
    </row>
    <row r="30109" spans="8:10" x14ac:dyDescent="0.35">
      <c r="H30109" s="676"/>
      <c r="I30109" s="676"/>
      <c r="J30109" s="770"/>
    </row>
    <row r="30110" spans="8:10" x14ac:dyDescent="0.35">
      <c r="H30110" s="676"/>
      <c r="I30110" s="676"/>
      <c r="J30110" s="770"/>
    </row>
    <row r="30111" spans="8:10" x14ac:dyDescent="0.35">
      <c r="H30111" s="676"/>
      <c r="I30111" s="676"/>
      <c r="J30111" s="770"/>
    </row>
    <row r="30112" spans="8:10" x14ac:dyDescent="0.35">
      <c r="H30112" s="676"/>
      <c r="I30112" s="676"/>
      <c r="J30112" s="770"/>
    </row>
    <row r="30113" spans="8:10" x14ac:dyDescent="0.35">
      <c r="H30113" s="676"/>
      <c r="I30113" s="676"/>
      <c r="J30113" s="770"/>
    </row>
    <row r="30114" spans="8:10" x14ac:dyDescent="0.35">
      <c r="H30114" s="676"/>
      <c r="I30114" s="676"/>
      <c r="J30114" s="770"/>
    </row>
    <row r="30115" spans="8:10" x14ac:dyDescent="0.35">
      <c r="H30115" s="676"/>
      <c r="I30115" s="676"/>
      <c r="J30115" s="770"/>
    </row>
    <row r="30116" spans="8:10" x14ac:dyDescent="0.35">
      <c r="H30116" s="676"/>
      <c r="I30116" s="676"/>
      <c r="J30116" s="770"/>
    </row>
    <row r="30117" spans="8:10" x14ac:dyDescent="0.35">
      <c r="H30117" s="676"/>
      <c r="I30117" s="676"/>
      <c r="J30117" s="770"/>
    </row>
    <row r="30118" spans="8:10" x14ac:dyDescent="0.35">
      <c r="H30118" s="676"/>
      <c r="I30118" s="676"/>
      <c r="J30118" s="770"/>
    </row>
    <row r="30119" spans="8:10" x14ac:dyDescent="0.35">
      <c r="H30119" s="676"/>
      <c r="I30119" s="676"/>
      <c r="J30119" s="770"/>
    </row>
    <row r="30120" spans="8:10" x14ac:dyDescent="0.35">
      <c r="H30120" s="676"/>
      <c r="I30120" s="676"/>
      <c r="J30120" s="770"/>
    </row>
    <row r="30121" spans="8:10" x14ac:dyDescent="0.35">
      <c r="H30121" s="676"/>
      <c r="I30121" s="676"/>
      <c r="J30121" s="770"/>
    </row>
    <row r="30122" spans="8:10" x14ac:dyDescent="0.35">
      <c r="H30122" s="676"/>
      <c r="I30122" s="676"/>
      <c r="J30122" s="770"/>
    </row>
    <row r="30123" spans="8:10" x14ac:dyDescent="0.35">
      <c r="H30123" s="676"/>
      <c r="I30123" s="676"/>
      <c r="J30123" s="770"/>
    </row>
    <row r="30124" spans="8:10" x14ac:dyDescent="0.35">
      <c r="H30124" s="676"/>
      <c r="I30124" s="676"/>
      <c r="J30124" s="770"/>
    </row>
    <row r="30125" spans="8:10" x14ac:dyDescent="0.35">
      <c r="H30125" s="676"/>
      <c r="I30125" s="676"/>
      <c r="J30125" s="770"/>
    </row>
    <row r="30126" spans="8:10" x14ac:dyDescent="0.35">
      <c r="H30126" s="676"/>
      <c r="I30126" s="676"/>
      <c r="J30126" s="770"/>
    </row>
    <row r="30127" spans="8:10" x14ac:dyDescent="0.35">
      <c r="H30127" s="676"/>
      <c r="I30127" s="676"/>
      <c r="J30127" s="770"/>
    </row>
    <row r="30128" spans="8:10" x14ac:dyDescent="0.35">
      <c r="H30128" s="676"/>
      <c r="I30128" s="676"/>
      <c r="J30128" s="770"/>
    </row>
    <row r="30129" spans="8:10" x14ac:dyDescent="0.35">
      <c r="H30129" s="676"/>
      <c r="I30129" s="676"/>
      <c r="J30129" s="770"/>
    </row>
    <row r="30130" spans="8:10" x14ac:dyDescent="0.35">
      <c r="H30130" s="676"/>
      <c r="I30130" s="676"/>
      <c r="J30130" s="770"/>
    </row>
    <row r="30131" spans="8:10" x14ac:dyDescent="0.35">
      <c r="H30131" s="676"/>
      <c r="I30131" s="676"/>
      <c r="J30131" s="770"/>
    </row>
    <row r="30132" spans="8:10" x14ac:dyDescent="0.35">
      <c r="H30132" s="676"/>
      <c r="I30132" s="676"/>
      <c r="J30132" s="770"/>
    </row>
    <row r="30133" spans="8:10" x14ac:dyDescent="0.35">
      <c r="H30133" s="676"/>
      <c r="I30133" s="676"/>
      <c r="J30133" s="770"/>
    </row>
    <row r="30134" spans="8:10" x14ac:dyDescent="0.35">
      <c r="H30134" s="676"/>
      <c r="I30134" s="676"/>
      <c r="J30134" s="770"/>
    </row>
    <row r="30135" spans="8:10" x14ac:dyDescent="0.35">
      <c r="H30135" s="676"/>
      <c r="I30135" s="676"/>
      <c r="J30135" s="770"/>
    </row>
    <row r="30136" spans="8:10" x14ac:dyDescent="0.35">
      <c r="H30136" s="676"/>
      <c r="I30136" s="676"/>
      <c r="J30136" s="770"/>
    </row>
    <row r="30137" spans="8:10" x14ac:dyDescent="0.35">
      <c r="H30137" s="676"/>
      <c r="I30137" s="676"/>
      <c r="J30137" s="770"/>
    </row>
    <row r="30138" spans="8:10" x14ac:dyDescent="0.35">
      <c r="H30138" s="676"/>
      <c r="I30138" s="676"/>
      <c r="J30138" s="770"/>
    </row>
    <row r="30139" spans="8:10" x14ac:dyDescent="0.35">
      <c r="H30139" s="676"/>
      <c r="I30139" s="676"/>
      <c r="J30139" s="770"/>
    </row>
    <row r="30140" spans="8:10" x14ac:dyDescent="0.35">
      <c r="H30140" s="676"/>
      <c r="I30140" s="676"/>
      <c r="J30140" s="770"/>
    </row>
    <row r="30141" spans="8:10" x14ac:dyDescent="0.35">
      <c r="H30141" s="676"/>
      <c r="I30141" s="676"/>
      <c r="J30141" s="770"/>
    </row>
    <row r="30142" spans="8:10" x14ac:dyDescent="0.35">
      <c r="H30142" s="676"/>
      <c r="I30142" s="676"/>
      <c r="J30142" s="770"/>
    </row>
    <row r="30143" spans="8:10" x14ac:dyDescent="0.35">
      <c r="H30143" s="676"/>
      <c r="I30143" s="676"/>
      <c r="J30143" s="770"/>
    </row>
    <row r="30144" spans="8:10" x14ac:dyDescent="0.35">
      <c r="H30144" s="676"/>
      <c r="I30144" s="676"/>
      <c r="J30144" s="770"/>
    </row>
    <row r="30145" spans="8:10" x14ac:dyDescent="0.35">
      <c r="H30145" s="676"/>
      <c r="I30145" s="676"/>
      <c r="J30145" s="770"/>
    </row>
    <row r="30146" spans="8:10" x14ac:dyDescent="0.35">
      <c r="H30146" s="676"/>
      <c r="I30146" s="676"/>
      <c r="J30146" s="770"/>
    </row>
    <row r="30147" spans="8:10" x14ac:dyDescent="0.35">
      <c r="H30147" s="676"/>
      <c r="I30147" s="676"/>
      <c r="J30147" s="770"/>
    </row>
    <row r="30148" spans="8:10" x14ac:dyDescent="0.35">
      <c r="H30148" s="676"/>
      <c r="I30148" s="676"/>
      <c r="J30148" s="770"/>
    </row>
    <row r="30149" spans="8:10" x14ac:dyDescent="0.35">
      <c r="H30149" s="676"/>
      <c r="I30149" s="676"/>
      <c r="J30149" s="770"/>
    </row>
    <row r="30150" spans="8:10" x14ac:dyDescent="0.35">
      <c r="H30150" s="676"/>
      <c r="I30150" s="676"/>
      <c r="J30150" s="770"/>
    </row>
    <row r="30151" spans="8:10" x14ac:dyDescent="0.35">
      <c r="H30151" s="676"/>
      <c r="I30151" s="676"/>
      <c r="J30151" s="770"/>
    </row>
    <row r="30152" spans="8:10" x14ac:dyDescent="0.35">
      <c r="H30152" s="676"/>
      <c r="I30152" s="676"/>
      <c r="J30152" s="770"/>
    </row>
    <row r="30153" spans="8:10" x14ac:dyDescent="0.35">
      <c r="H30153" s="676"/>
      <c r="I30153" s="676"/>
      <c r="J30153" s="770"/>
    </row>
    <row r="30154" spans="8:10" x14ac:dyDescent="0.35">
      <c r="H30154" s="676"/>
      <c r="I30154" s="676"/>
      <c r="J30154" s="770"/>
    </row>
    <row r="30155" spans="8:10" x14ac:dyDescent="0.35">
      <c r="H30155" s="676"/>
      <c r="I30155" s="676"/>
      <c r="J30155" s="770"/>
    </row>
    <row r="30156" spans="8:10" x14ac:dyDescent="0.35">
      <c r="H30156" s="676"/>
      <c r="I30156" s="676"/>
      <c r="J30156" s="770"/>
    </row>
    <row r="30157" spans="8:10" x14ac:dyDescent="0.35">
      <c r="H30157" s="676"/>
      <c r="I30157" s="676"/>
      <c r="J30157" s="770"/>
    </row>
    <row r="30158" spans="8:10" x14ac:dyDescent="0.35">
      <c r="H30158" s="676"/>
      <c r="I30158" s="676"/>
      <c r="J30158" s="770"/>
    </row>
    <row r="30159" spans="8:10" x14ac:dyDescent="0.35">
      <c r="H30159" s="676"/>
      <c r="I30159" s="676"/>
      <c r="J30159" s="770"/>
    </row>
    <row r="30160" spans="8:10" x14ac:dyDescent="0.35">
      <c r="H30160" s="676"/>
      <c r="I30160" s="676"/>
      <c r="J30160" s="770"/>
    </row>
    <row r="30161" spans="8:10" x14ac:dyDescent="0.35">
      <c r="H30161" s="676"/>
      <c r="I30161" s="676"/>
      <c r="J30161" s="770"/>
    </row>
    <row r="30162" spans="8:10" x14ac:dyDescent="0.35">
      <c r="H30162" s="676"/>
      <c r="I30162" s="676"/>
      <c r="J30162" s="770"/>
    </row>
    <row r="30163" spans="8:10" x14ac:dyDescent="0.35">
      <c r="H30163" s="676"/>
      <c r="I30163" s="676"/>
      <c r="J30163" s="770"/>
    </row>
    <row r="30164" spans="8:10" x14ac:dyDescent="0.35">
      <c r="H30164" s="676"/>
      <c r="I30164" s="676"/>
      <c r="J30164" s="770"/>
    </row>
    <row r="30165" spans="8:10" x14ac:dyDescent="0.35">
      <c r="H30165" s="676"/>
      <c r="I30165" s="676"/>
      <c r="J30165" s="770"/>
    </row>
    <row r="30166" spans="8:10" x14ac:dyDescent="0.35">
      <c r="H30166" s="676"/>
      <c r="I30166" s="676"/>
      <c r="J30166" s="770"/>
    </row>
    <row r="30167" spans="8:10" x14ac:dyDescent="0.35">
      <c r="H30167" s="676"/>
      <c r="I30167" s="676"/>
      <c r="J30167" s="770"/>
    </row>
    <row r="30168" spans="8:10" x14ac:dyDescent="0.35">
      <c r="H30168" s="676"/>
      <c r="I30168" s="676"/>
      <c r="J30168" s="770"/>
    </row>
    <row r="30169" spans="8:10" x14ac:dyDescent="0.35">
      <c r="H30169" s="676"/>
      <c r="I30169" s="676"/>
      <c r="J30169" s="770"/>
    </row>
    <row r="30170" spans="8:10" x14ac:dyDescent="0.35">
      <c r="H30170" s="676"/>
      <c r="I30170" s="676"/>
      <c r="J30170" s="770"/>
    </row>
    <row r="30171" spans="8:10" x14ac:dyDescent="0.35">
      <c r="H30171" s="676"/>
      <c r="I30171" s="676"/>
      <c r="J30171" s="770"/>
    </row>
    <row r="30172" spans="8:10" x14ac:dyDescent="0.35">
      <c r="H30172" s="676"/>
      <c r="I30172" s="676"/>
      <c r="J30172" s="770"/>
    </row>
    <row r="30173" spans="8:10" x14ac:dyDescent="0.35">
      <c r="H30173" s="676"/>
      <c r="I30173" s="676"/>
      <c r="J30173" s="770"/>
    </row>
    <row r="30174" spans="8:10" x14ac:dyDescent="0.35">
      <c r="H30174" s="676"/>
      <c r="I30174" s="676"/>
      <c r="J30174" s="770"/>
    </row>
    <row r="30175" spans="8:10" x14ac:dyDescent="0.35">
      <c r="H30175" s="676"/>
      <c r="I30175" s="676"/>
      <c r="J30175" s="770"/>
    </row>
    <row r="30176" spans="8:10" x14ac:dyDescent="0.35">
      <c r="H30176" s="676"/>
      <c r="I30176" s="676"/>
      <c r="J30176" s="770"/>
    </row>
    <row r="30177" spans="8:10" x14ac:dyDescent="0.35">
      <c r="H30177" s="676"/>
      <c r="I30177" s="676"/>
      <c r="J30177" s="770"/>
    </row>
    <row r="30178" spans="8:10" x14ac:dyDescent="0.35">
      <c r="H30178" s="676"/>
      <c r="I30178" s="676"/>
      <c r="J30178" s="770"/>
    </row>
    <row r="30179" spans="8:10" x14ac:dyDescent="0.35">
      <c r="H30179" s="676"/>
      <c r="I30179" s="676"/>
      <c r="J30179" s="770"/>
    </row>
    <row r="30180" spans="8:10" x14ac:dyDescent="0.35">
      <c r="H30180" s="676"/>
      <c r="I30180" s="676"/>
      <c r="J30180" s="770"/>
    </row>
    <row r="30181" spans="8:10" x14ac:dyDescent="0.35">
      <c r="H30181" s="676"/>
      <c r="I30181" s="676"/>
      <c r="J30181" s="770"/>
    </row>
    <row r="30182" spans="8:10" x14ac:dyDescent="0.35">
      <c r="H30182" s="676"/>
      <c r="I30182" s="676"/>
      <c r="J30182" s="770"/>
    </row>
    <row r="30183" spans="8:10" x14ac:dyDescent="0.35">
      <c r="H30183" s="676"/>
      <c r="I30183" s="676"/>
      <c r="J30183" s="770"/>
    </row>
    <row r="30184" spans="8:10" x14ac:dyDescent="0.35">
      <c r="H30184" s="676"/>
      <c r="I30184" s="676"/>
      <c r="J30184" s="770"/>
    </row>
    <row r="30185" spans="8:10" x14ac:dyDescent="0.35">
      <c r="H30185" s="676"/>
      <c r="I30185" s="676"/>
      <c r="J30185" s="770"/>
    </row>
    <row r="30186" spans="8:10" x14ac:dyDescent="0.35">
      <c r="H30186" s="676"/>
      <c r="I30186" s="676"/>
      <c r="J30186" s="770"/>
    </row>
    <row r="30187" spans="8:10" x14ac:dyDescent="0.35">
      <c r="H30187" s="676"/>
      <c r="I30187" s="676"/>
      <c r="J30187" s="770"/>
    </row>
    <row r="30188" spans="8:10" x14ac:dyDescent="0.35">
      <c r="H30188" s="676"/>
      <c r="I30188" s="676"/>
      <c r="J30188" s="770"/>
    </row>
    <row r="30189" spans="8:10" x14ac:dyDescent="0.35">
      <c r="H30189" s="676"/>
      <c r="I30189" s="676"/>
      <c r="J30189" s="770"/>
    </row>
    <row r="30190" spans="8:10" x14ac:dyDescent="0.35">
      <c r="H30190" s="676"/>
      <c r="I30190" s="676"/>
      <c r="J30190" s="770"/>
    </row>
    <row r="30191" spans="8:10" x14ac:dyDescent="0.35">
      <c r="H30191" s="676"/>
      <c r="I30191" s="676"/>
      <c r="J30191" s="770"/>
    </row>
    <row r="30192" spans="8:10" x14ac:dyDescent="0.35">
      <c r="H30192" s="676"/>
      <c r="I30192" s="676"/>
      <c r="J30192" s="770"/>
    </row>
    <row r="30193" spans="8:10" x14ac:dyDescent="0.35">
      <c r="H30193" s="676"/>
      <c r="I30193" s="676"/>
      <c r="J30193" s="770"/>
    </row>
    <row r="30194" spans="8:10" x14ac:dyDescent="0.35">
      <c r="H30194" s="676"/>
      <c r="I30194" s="676"/>
      <c r="J30194" s="770"/>
    </row>
    <row r="30195" spans="8:10" x14ac:dyDescent="0.35">
      <c r="H30195" s="676"/>
      <c r="I30195" s="676"/>
      <c r="J30195" s="770"/>
    </row>
    <row r="30196" spans="8:10" x14ac:dyDescent="0.35">
      <c r="H30196" s="676"/>
      <c r="I30196" s="676"/>
      <c r="J30196" s="770"/>
    </row>
    <row r="30197" spans="8:10" x14ac:dyDescent="0.35">
      <c r="H30197" s="676"/>
      <c r="I30197" s="676"/>
      <c r="J30197" s="770"/>
    </row>
    <row r="30198" spans="8:10" x14ac:dyDescent="0.35">
      <c r="H30198" s="676"/>
      <c r="I30198" s="676"/>
      <c r="J30198" s="770"/>
    </row>
    <row r="30199" spans="8:10" x14ac:dyDescent="0.35">
      <c r="H30199" s="676"/>
      <c r="I30199" s="676"/>
      <c r="J30199" s="770"/>
    </row>
    <row r="30200" spans="8:10" x14ac:dyDescent="0.35">
      <c r="H30200" s="676"/>
      <c r="I30200" s="676"/>
      <c r="J30200" s="770"/>
    </row>
    <row r="30201" spans="8:10" x14ac:dyDescent="0.35">
      <c r="H30201" s="676"/>
      <c r="I30201" s="676"/>
      <c r="J30201" s="770"/>
    </row>
    <row r="30202" spans="8:10" x14ac:dyDescent="0.35">
      <c r="H30202" s="676"/>
      <c r="I30202" s="676"/>
      <c r="J30202" s="770"/>
    </row>
    <row r="30203" spans="8:10" x14ac:dyDescent="0.35">
      <c r="H30203" s="676"/>
      <c r="I30203" s="676"/>
      <c r="J30203" s="770"/>
    </row>
    <row r="30204" spans="8:10" x14ac:dyDescent="0.35">
      <c r="H30204" s="676"/>
      <c r="I30204" s="676"/>
      <c r="J30204" s="770"/>
    </row>
    <row r="30205" spans="8:10" x14ac:dyDescent="0.35">
      <c r="H30205" s="676"/>
      <c r="I30205" s="676"/>
      <c r="J30205" s="770"/>
    </row>
    <row r="30206" spans="8:10" x14ac:dyDescent="0.35">
      <c r="H30206" s="676"/>
      <c r="I30206" s="676"/>
      <c r="J30206" s="770"/>
    </row>
    <row r="30207" spans="8:10" x14ac:dyDescent="0.35">
      <c r="H30207" s="676"/>
      <c r="I30207" s="676"/>
      <c r="J30207" s="770"/>
    </row>
    <row r="30208" spans="8:10" x14ac:dyDescent="0.35">
      <c r="H30208" s="676"/>
      <c r="I30208" s="676"/>
      <c r="J30208" s="770"/>
    </row>
    <row r="30209" spans="8:10" x14ac:dyDescent="0.35">
      <c r="H30209" s="676"/>
      <c r="I30209" s="676"/>
      <c r="J30209" s="770"/>
    </row>
    <row r="30210" spans="8:10" x14ac:dyDescent="0.35">
      <c r="H30210" s="676"/>
      <c r="I30210" s="676"/>
      <c r="J30210" s="770"/>
    </row>
    <row r="30211" spans="8:10" x14ac:dyDescent="0.35">
      <c r="H30211" s="676"/>
      <c r="I30211" s="676"/>
      <c r="J30211" s="770"/>
    </row>
    <row r="30212" spans="8:10" x14ac:dyDescent="0.35">
      <c r="H30212" s="676"/>
      <c r="I30212" s="676"/>
      <c r="J30212" s="770"/>
    </row>
    <row r="30213" spans="8:10" x14ac:dyDescent="0.35">
      <c r="H30213" s="676"/>
      <c r="I30213" s="676"/>
      <c r="J30213" s="770"/>
    </row>
    <row r="30214" spans="8:10" x14ac:dyDescent="0.35">
      <c r="H30214" s="676"/>
      <c r="I30214" s="676"/>
      <c r="J30214" s="770"/>
    </row>
    <row r="30215" spans="8:10" x14ac:dyDescent="0.35">
      <c r="H30215" s="676"/>
      <c r="I30215" s="676"/>
      <c r="J30215" s="770"/>
    </row>
    <row r="30216" spans="8:10" x14ac:dyDescent="0.35">
      <c r="H30216" s="676"/>
      <c r="I30216" s="676"/>
      <c r="J30216" s="770"/>
    </row>
    <row r="30217" spans="8:10" x14ac:dyDescent="0.35">
      <c r="H30217" s="676"/>
      <c r="I30217" s="676"/>
      <c r="J30217" s="770"/>
    </row>
    <row r="30218" spans="8:10" x14ac:dyDescent="0.35">
      <c r="H30218" s="676"/>
      <c r="I30218" s="676"/>
      <c r="J30218" s="770"/>
    </row>
    <row r="30219" spans="8:10" x14ac:dyDescent="0.35">
      <c r="H30219" s="676"/>
      <c r="I30219" s="676"/>
      <c r="J30219" s="770"/>
    </row>
    <row r="30220" spans="8:10" x14ac:dyDescent="0.35">
      <c r="H30220" s="676"/>
      <c r="I30220" s="676"/>
      <c r="J30220" s="770"/>
    </row>
    <row r="30221" spans="8:10" x14ac:dyDescent="0.35">
      <c r="H30221" s="676"/>
      <c r="I30221" s="676"/>
      <c r="J30221" s="770"/>
    </row>
    <row r="30222" spans="8:10" x14ac:dyDescent="0.35">
      <c r="H30222" s="676"/>
      <c r="I30222" s="676"/>
      <c r="J30222" s="770"/>
    </row>
    <row r="30223" spans="8:10" x14ac:dyDescent="0.35">
      <c r="H30223" s="676"/>
      <c r="I30223" s="676"/>
      <c r="J30223" s="770"/>
    </row>
    <row r="30224" spans="8:10" x14ac:dyDescent="0.35">
      <c r="H30224" s="676"/>
      <c r="I30224" s="676"/>
      <c r="J30224" s="770"/>
    </row>
    <row r="30225" spans="8:10" x14ac:dyDescent="0.35">
      <c r="H30225" s="676"/>
      <c r="I30225" s="676"/>
      <c r="J30225" s="770"/>
    </row>
    <row r="30226" spans="8:10" x14ac:dyDescent="0.35">
      <c r="H30226" s="676"/>
      <c r="I30226" s="676"/>
      <c r="J30226" s="770"/>
    </row>
    <row r="30227" spans="8:10" x14ac:dyDescent="0.35">
      <c r="H30227" s="676"/>
      <c r="I30227" s="676"/>
      <c r="J30227" s="770"/>
    </row>
    <row r="30228" spans="8:10" x14ac:dyDescent="0.35">
      <c r="H30228" s="676"/>
      <c r="I30228" s="676"/>
      <c r="J30228" s="770"/>
    </row>
    <row r="30229" spans="8:10" x14ac:dyDescent="0.35">
      <c r="H30229" s="676"/>
      <c r="I30229" s="676"/>
      <c r="J30229" s="770"/>
    </row>
    <row r="30230" spans="8:10" x14ac:dyDescent="0.35">
      <c r="H30230" s="676"/>
      <c r="I30230" s="676"/>
      <c r="J30230" s="770"/>
    </row>
    <row r="30231" spans="8:10" x14ac:dyDescent="0.35">
      <c r="H30231" s="676"/>
      <c r="I30231" s="676"/>
      <c r="J30231" s="770"/>
    </row>
    <row r="30232" spans="8:10" x14ac:dyDescent="0.35">
      <c r="H30232" s="676"/>
      <c r="I30232" s="676"/>
      <c r="J30232" s="770"/>
    </row>
    <row r="30233" spans="8:10" x14ac:dyDescent="0.35">
      <c r="H30233" s="676"/>
      <c r="I30233" s="676"/>
      <c r="J30233" s="770"/>
    </row>
    <row r="30234" spans="8:10" x14ac:dyDescent="0.35">
      <c r="H30234" s="676"/>
      <c r="I30234" s="676"/>
      <c r="J30234" s="770"/>
    </row>
    <row r="30235" spans="8:10" x14ac:dyDescent="0.35">
      <c r="H30235" s="676"/>
      <c r="I30235" s="676"/>
      <c r="J30235" s="770"/>
    </row>
    <row r="30236" spans="8:10" x14ac:dyDescent="0.35">
      <c r="H30236" s="676"/>
      <c r="I30236" s="676"/>
      <c r="J30236" s="770"/>
    </row>
    <row r="30237" spans="8:10" x14ac:dyDescent="0.35">
      <c r="H30237" s="676"/>
      <c r="I30237" s="676"/>
      <c r="J30237" s="770"/>
    </row>
    <row r="30238" spans="8:10" x14ac:dyDescent="0.35">
      <c r="H30238" s="676"/>
      <c r="I30238" s="676"/>
      <c r="J30238" s="770"/>
    </row>
    <row r="30239" spans="8:10" x14ac:dyDescent="0.35">
      <c r="H30239" s="676"/>
      <c r="I30239" s="676"/>
      <c r="J30239" s="770"/>
    </row>
    <row r="30240" spans="8:10" x14ac:dyDescent="0.35">
      <c r="H30240" s="676"/>
      <c r="I30240" s="676"/>
      <c r="J30240" s="770"/>
    </row>
    <row r="30241" spans="8:10" x14ac:dyDescent="0.35">
      <c r="H30241" s="676"/>
      <c r="I30241" s="676"/>
      <c r="J30241" s="770"/>
    </row>
    <row r="30242" spans="8:10" x14ac:dyDescent="0.35">
      <c r="H30242" s="676"/>
      <c r="I30242" s="676"/>
      <c r="J30242" s="770"/>
    </row>
    <row r="30243" spans="8:10" x14ac:dyDescent="0.35">
      <c r="H30243" s="676"/>
      <c r="I30243" s="676"/>
      <c r="J30243" s="770"/>
    </row>
    <row r="30244" spans="8:10" x14ac:dyDescent="0.35">
      <c r="H30244" s="676"/>
      <c r="I30244" s="676"/>
      <c r="J30244" s="770"/>
    </row>
    <row r="30245" spans="8:10" x14ac:dyDescent="0.35">
      <c r="H30245" s="676"/>
      <c r="I30245" s="676"/>
      <c r="J30245" s="770"/>
    </row>
    <row r="30246" spans="8:10" x14ac:dyDescent="0.35">
      <c r="H30246" s="676"/>
      <c r="I30246" s="676"/>
      <c r="J30246" s="770"/>
    </row>
    <row r="30247" spans="8:10" x14ac:dyDescent="0.35">
      <c r="H30247" s="676"/>
      <c r="I30247" s="676"/>
      <c r="J30247" s="770"/>
    </row>
    <row r="30248" spans="8:10" x14ac:dyDescent="0.35">
      <c r="H30248" s="676"/>
      <c r="I30248" s="676"/>
      <c r="J30248" s="770"/>
    </row>
    <row r="30249" spans="8:10" x14ac:dyDescent="0.35">
      <c r="H30249" s="676"/>
      <c r="I30249" s="676"/>
      <c r="J30249" s="770"/>
    </row>
    <row r="30250" spans="8:10" x14ac:dyDescent="0.35">
      <c r="H30250" s="676"/>
      <c r="I30250" s="676"/>
      <c r="J30250" s="770"/>
    </row>
    <row r="30251" spans="8:10" x14ac:dyDescent="0.35">
      <c r="H30251" s="676"/>
      <c r="I30251" s="676"/>
      <c r="J30251" s="770"/>
    </row>
    <row r="30252" spans="8:10" x14ac:dyDescent="0.35">
      <c r="H30252" s="676"/>
      <c r="I30252" s="676"/>
      <c r="J30252" s="770"/>
    </row>
    <row r="30253" spans="8:10" x14ac:dyDescent="0.35">
      <c r="H30253" s="676"/>
      <c r="I30253" s="676"/>
      <c r="J30253" s="770"/>
    </row>
    <row r="30254" spans="8:10" x14ac:dyDescent="0.35">
      <c r="H30254" s="676"/>
      <c r="I30254" s="676"/>
      <c r="J30254" s="770"/>
    </row>
    <row r="30255" spans="8:10" x14ac:dyDescent="0.35">
      <c r="H30255" s="676"/>
      <c r="I30255" s="676"/>
      <c r="J30255" s="770"/>
    </row>
    <row r="30256" spans="8:10" x14ac:dyDescent="0.35">
      <c r="H30256" s="676"/>
      <c r="I30256" s="676"/>
      <c r="J30256" s="770"/>
    </row>
    <row r="30257" spans="8:10" x14ac:dyDescent="0.35">
      <c r="H30257" s="676"/>
      <c r="I30257" s="676"/>
      <c r="J30257" s="770"/>
    </row>
    <row r="30258" spans="8:10" x14ac:dyDescent="0.35">
      <c r="H30258" s="676"/>
      <c r="I30258" s="676"/>
      <c r="J30258" s="770"/>
    </row>
    <row r="30259" spans="8:10" x14ac:dyDescent="0.35">
      <c r="H30259" s="676"/>
      <c r="I30259" s="676"/>
      <c r="J30259" s="770"/>
    </row>
    <row r="30260" spans="8:10" x14ac:dyDescent="0.35">
      <c r="H30260" s="676"/>
      <c r="I30260" s="676"/>
      <c r="J30260" s="770"/>
    </row>
    <row r="30261" spans="8:10" x14ac:dyDescent="0.35">
      <c r="H30261" s="676"/>
      <c r="I30261" s="676"/>
      <c r="J30261" s="770"/>
    </row>
    <row r="30262" spans="8:10" x14ac:dyDescent="0.35">
      <c r="H30262" s="676"/>
      <c r="I30262" s="676"/>
      <c r="J30262" s="770"/>
    </row>
    <row r="30263" spans="8:10" x14ac:dyDescent="0.35">
      <c r="H30263" s="676"/>
      <c r="I30263" s="676"/>
      <c r="J30263" s="770"/>
    </row>
    <row r="30264" spans="8:10" x14ac:dyDescent="0.35">
      <c r="H30264" s="676"/>
      <c r="I30264" s="676"/>
      <c r="J30264" s="770"/>
    </row>
    <row r="30265" spans="8:10" x14ac:dyDescent="0.35">
      <c r="H30265" s="676"/>
      <c r="I30265" s="676"/>
      <c r="J30265" s="770"/>
    </row>
    <row r="30266" spans="8:10" x14ac:dyDescent="0.35">
      <c r="H30266" s="676"/>
      <c r="I30266" s="676"/>
      <c r="J30266" s="770"/>
    </row>
    <row r="30267" spans="8:10" x14ac:dyDescent="0.35">
      <c r="H30267" s="676"/>
      <c r="I30267" s="676"/>
      <c r="J30267" s="770"/>
    </row>
    <row r="30268" spans="8:10" x14ac:dyDescent="0.35">
      <c r="H30268" s="676"/>
      <c r="I30268" s="676"/>
      <c r="J30268" s="770"/>
    </row>
    <row r="30269" spans="8:10" x14ac:dyDescent="0.35">
      <c r="H30269" s="676"/>
      <c r="I30269" s="676"/>
      <c r="J30269" s="770"/>
    </row>
    <row r="30270" spans="8:10" x14ac:dyDescent="0.35">
      <c r="H30270" s="676"/>
      <c r="I30270" s="676"/>
      <c r="J30270" s="770"/>
    </row>
    <row r="30271" spans="8:10" x14ac:dyDescent="0.35">
      <c r="H30271" s="676"/>
      <c r="I30271" s="676"/>
      <c r="J30271" s="770"/>
    </row>
    <row r="30272" spans="8:10" x14ac:dyDescent="0.35">
      <c r="H30272" s="676"/>
      <c r="I30272" s="676"/>
      <c r="J30272" s="770"/>
    </row>
    <row r="30273" spans="8:10" x14ac:dyDescent="0.35">
      <c r="H30273" s="676"/>
      <c r="I30273" s="676"/>
      <c r="J30273" s="770"/>
    </row>
    <row r="30274" spans="8:10" x14ac:dyDescent="0.35">
      <c r="H30274" s="676"/>
      <c r="I30274" s="676"/>
      <c r="J30274" s="770"/>
    </row>
    <row r="30275" spans="8:10" x14ac:dyDescent="0.35">
      <c r="H30275" s="676"/>
      <c r="I30275" s="676"/>
      <c r="J30275" s="770"/>
    </row>
    <row r="30276" spans="8:10" x14ac:dyDescent="0.35">
      <c r="H30276" s="676"/>
      <c r="I30276" s="676"/>
      <c r="J30276" s="770"/>
    </row>
    <row r="30277" spans="8:10" x14ac:dyDescent="0.35">
      <c r="H30277" s="676"/>
      <c r="I30277" s="676"/>
      <c r="J30277" s="770"/>
    </row>
    <row r="30278" spans="8:10" x14ac:dyDescent="0.35">
      <c r="H30278" s="676"/>
      <c r="I30278" s="676"/>
      <c r="J30278" s="770"/>
    </row>
    <row r="30279" spans="8:10" x14ac:dyDescent="0.35">
      <c r="H30279" s="676"/>
      <c r="I30279" s="676"/>
      <c r="J30279" s="770"/>
    </row>
    <row r="30280" spans="8:10" x14ac:dyDescent="0.35">
      <c r="H30280" s="676"/>
      <c r="I30280" s="676"/>
      <c r="J30280" s="770"/>
    </row>
    <row r="30281" spans="8:10" x14ac:dyDescent="0.35">
      <c r="H30281" s="676"/>
      <c r="I30281" s="676"/>
      <c r="J30281" s="770"/>
    </row>
    <row r="30282" spans="8:10" x14ac:dyDescent="0.35">
      <c r="H30282" s="676"/>
      <c r="I30282" s="676"/>
      <c r="J30282" s="770"/>
    </row>
    <row r="30283" spans="8:10" x14ac:dyDescent="0.35">
      <c r="H30283" s="676"/>
      <c r="I30283" s="676"/>
      <c r="J30283" s="770"/>
    </row>
    <row r="30284" spans="8:10" x14ac:dyDescent="0.35">
      <c r="H30284" s="676"/>
      <c r="I30284" s="676"/>
      <c r="J30284" s="770"/>
    </row>
    <row r="30285" spans="8:10" x14ac:dyDescent="0.35">
      <c r="H30285" s="676"/>
      <c r="I30285" s="676"/>
      <c r="J30285" s="770"/>
    </row>
    <row r="30286" spans="8:10" x14ac:dyDescent="0.35">
      <c r="H30286" s="676"/>
      <c r="I30286" s="676"/>
      <c r="J30286" s="770"/>
    </row>
    <row r="30287" spans="8:10" x14ac:dyDescent="0.35">
      <c r="H30287" s="676"/>
      <c r="I30287" s="676"/>
      <c r="J30287" s="770"/>
    </row>
    <row r="30288" spans="8:10" x14ac:dyDescent="0.35">
      <c r="H30288" s="676"/>
      <c r="I30288" s="676"/>
      <c r="J30288" s="770"/>
    </row>
    <row r="30289" spans="8:10" x14ac:dyDescent="0.35">
      <c r="H30289" s="676"/>
      <c r="I30289" s="676"/>
      <c r="J30289" s="770"/>
    </row>
    <row r="30290" spans="8:10" x14ac:dyDescent="0.35">
      <c r="H30290" s="676"/>
      <c r="I30290" s="676"/>
      <c r="J30290" s="770"/>
    </row>
    <row r="30291" spans="8:10" x14ac:dyDescent="0.35">
      <c r="H30291" s="676"/>
      <c r="I30291" s="676"/>
      <c r="J30291" s="770"/>
    </row>
    <row r="30292" spans="8:10" x14ac:dyDescent="0.35">
      <c r="H30292" s="676"/>
      <c r="I30292" s="676"/>
      <c r="J30292" s="770"/>
    </row>
    <row r="30293" spans="8:10" x14ac:dyDescent="0.35">
      <c r="H30293" s="676"/>
      <c r="I30293" s="676"/>
      <c r="J30293" s="770"/>
    </row>
    <row r="30294" spans="8:10" x14ac:dyDescent="0.35">
      <c r="H30294" s="676"/>
      <c r="I30294" s="676"/>
      <c r="J30294" s="770"/>
    </row>
    <row r="30295" spans="8:10" x14ac:dyDescent="0.35">
      <c r="H30295" s="676"/>
      <c r="I30295" s="676"/>
      <c r="J30295" s="770"/>
    </row>
    <row r="30296" spans="8:10" x14ac:dyDescent="0.35">
      <c r="H30296" s="676"/>
      <c r="I30296" s="676"/>
      <c r="J30296" s="770"/>
    </row>
    <row r="30297" spans="8:10" x14ac:dyDescent="0.35">
      <c r="H30297" s="676"/>
      <c r="I30297" s="676"/>
      <c r="J30297" s="770"/>
    </row>
    <row r="30298" spans="8:10" x14ac:dyDescent="0.35">
      <c r="H30298" s="676"/>
      <c r="I30298" s="676"/>
      <c r="J30298" s="770"/>
    </row>
    <row r="30299" spans="8:10" x14ac:dyDescent="0.35">
      <c r="H30299" s="676"/>
      <c r="I30299" s="676"/>
      <c r="J30299" s="770"/>
    </row>
    <row r="30300" spans="8:10" x14ac:dyDescent="0.35">
      <c r="H30300" s="676"/>
      <c r="I30300" s="676"/>
      <c r="J30300" s="770"/>
    </row>
    <row r="30301" spans="8:10" x14ac:dyDescent="0.35">
      <c r="H30301" s="676"/>
      <c r="I30301" s="676"/>
      <c r="J30301" s="770"/>
    </row>
    <row r="30302" spans="8:10" x14ac:dyDescent="0.35">
      <c r="H30302" s="676"/>
      <c r="I30302" s="676"/>
      <c r="J30302" s="770"/>
    </row>
    <row r="30303" spans="8:10" x14ac:dyDescent="0.35">
      <c r="H30303" s="676"/>
      <c r="I30303" s="676"/>
      <c r="J30303" s="770"/>
    </row>
    <row r="30304" spans="8:10" x14ac:dyDescent="0.35">
      <c r="H30304" s="676"/>
      <c r="I30304" s="676"/>
      <c r="J30304" s="770"/>
    </row>
    <row r="30305" spans="8:10" x14ac:dyDescent="0.35">
      <c r="H30305" s="676"/>
      <c r="I30305" s="676"/>
      <c r="J30305" s="770"/>
    </row>
    <row r="30306" spans="8:10" x14ac:dyDescent="0.35">
      <c r="H30306" s="676"/>
      <c r="I30306" s="676"/>
      <c r="J30306" s="770"/>
    </row>
    <row r="30307" spans="8:10" x14ac:dyDescent="0.35">
      <c r="H30307" s="676"/>
      <c r="I30307" s="676"/>
      <c r="J30307" s="770"/>
    </row>
    <row r="30308" spans="8:10" x14ac:dyDescent="0.35">
      <c r="H30308" s="676"/>
      <c r="I30308" s="676"/>
      <c r="J30308" s="770"/>
    </row>
    <row r="30309" spans="8:10" x14ac:dyDescent="0.35">
      <c r="H30309" s="676"/>
      <c r="I30309" s="676"/>
      <c r="J30309" s="770"/>
    </row>
    <row r="30310" spans="8:10" x14ac:dyDescent="0.35">
      <c r="H30310" s="676"/>
      <c r="I30310" s="676"/>
      <c r="J30310" s="770"/>
    </row>
    <row r="30311" spans="8:10" x14ac:dyDescent="0.35">
      <c r="H30311" s="676"/>
      <c r="I30311" s="676"/>
      <c r="J30311" s="770"/>
    </row>
    <row r="30312" spans="8:10" x14ac:dyDescent="0.35">
      <c r="H30312" s="676"/>
      <c r="I30312" s="676"/>
      <c r="J30312" s="770"/>
    </row>
    <row r="30313" spans="8:10" x14ac:dyDescent="0.35">
      <c r="H30313" s="676"/>
      <c r="I30313" s="676"/>
      <c r="J30313" s="770"/>
    </row>
    <row r="30314" spans="8:10" x14ac:dyDescent="0.35">
      <c r="H30314" s="676"/>
      <c r="I30314" s="676"/>
      <c r="J30314" s="770"/>
    </row>
    <row r="30315" spans="8:10" x14ac:dyDescent="0.35">
      <c r="H30315" s="676"/>
      <c r="I30315" s="676"/>
      <c r="J30315" s="770"/>
    </row>
    <row r="30316" spans="8:10" x14ac:dyDescent="0.35">
      <c r="H30316" s="676"/>
      <c r="I30316" s="676"/>
      <c r="J30316" s="770"/>
    </row>
    <row r="30317" spans="8:10" x14ac:dyDescent="0.35">
      <c r="H30317" s="676"/>
      <c r="I30317" s="676"/>
      <c r="J30317" s="770"/>
    </row>
    <row r="30318" spans="8:10" x14ac:dyDescent="0.35">
      <c r="H30318" s="676"/>
      <c r="I30318" s="676"/>
      <c r="J30318" s="770"/>
    </row>
    <row r="30319" spans="8:10" x14ac:dyDescent="0.35">
      <c r="H30319" s="676"/>
      <c r="I30319" s="676"/>
      <c r="J30319" s="770"/>
    </row>
    <row r="30320" spans="8:10" x14ac:dyDescent="0.35">
      <c r="H30320" s="676"/>
      <c r="I30320" s="676"/>
      <c r="J30320" s="770"/>
    </row>
    <row r="30321" spans="8:10" x14ac:dyDescent="0.35">
      <c r="H30321" s="676"/>
      <c r="I30321" s="676"/>
      <c r="J30321" s="770"/>
    </row>
    <row r="30322" spans="8:10" x14ac:dyDescent="0.35">
      <c r="H30322" s="676"/>
      <c r="I30322" s="676"/>
      <c r="J30322" s="770"/>
    </row>
    <row r="30323" spans="8:10" x14ac:dyDescent="0.35">
      <c r="H30323" s="676"/>
      <c r="I30323" s="676"/>
      <c r="J30323" s="770"/>
    </row>
    <row r="30324" spans="8:10" x14ac:dyDescent="0.35">
      <c r="H30324" s="676"/>
      <c r="I30324" s="676"/>
      <c r="J30324" s="770"/>
    </row>
    <row r="30325" spans="8:10" x14ac:dyDescent="0.35">
      <c r="H30325" s="676"/>
      <c r="I30325" s="676"/>
      <c r="J30325" s="770"/>
    </row>
    <row r="30326" spans="8:10" x14ac:dyDescent="0.35">
      <c r="H30326" s="676"/>
      <c r="I30326" s="676"/>
      <c r="J30326" s="770"/>
    </row>
    <row r="30327" spans="8:10" x14ac:dyDescent="0.35">
      <c r="H30327" s="676"/>
      <c r="I30327" s="676"/>
      <c r="J30327" s="770"/>
    </row>
    <row r="30328" spans="8:10" x14ac:dyDescent="0.35">
      <c r="H30328" s="676"/>
      <c r="I30328" s="676"/>
      <c r="J30328" s="770"/>
    </row>
    <row r="30329" spans="8:10" x14ac:dyDescent="0.35">
      <c r="H30329" s="676"/>
      <c r="I30329" s="676"/>
      <c r="J30329" s="770"/>
    </row>
    <row r="30330" spans="8:10" x14ac:dyDescent="0.35">
      <c r="H30330" s="676"/>
      <c r="I30330" s="676"/>
      <c r="J30330" s="770"/>
    </row>
    <row r="30331" spans="8:10" x14ac:dyDescent="0.35">
      <c r="H30331" s="676"/>
      <c r="I30331" s="676"/>
      <c r="J30331" s="770"/>
    </row>
    <row r="30332" spans="8:10" x14ac:dyDescent="0.35">
      <c r="H30332" s="676"/>
      <c r="I30332" s="676"/>
      <c r="J30332" s="770"/>
    </row>
    <row r="30333" spans="8:10" x14ac:dyDescent="0.35">
      <c r="H30333" s="676"/>
      <c r="I30333" s="676"/>
      <c r="J30333" s="770"/>
    </row>
    <row r="30334" spans="8:10" x14ac:dyDescent="0.35">
      <c r="H30334" s="676"/>
      <c r="I30334" s="676"/>
      <c r="J30334" s="770"/>
    </row>
    <row r="30335" spans="8:10" x14ac:dyDescent="0.35">
      <c r="H30335" s="676"/>
      <c r="I30335" s="676"/>
      <c r="J30335" s="770"/>
    </row>
    <row r="30336" spans="8:10" x14ac:dyDescent="0.35">
      <c r="H30336" s="676"/>
      <c r="I30336" s="676"/>
      <c r="J30336" s="770"/>
    </row>
    <row r="30337" spans="8:10" x14ac:dyDescent="0.35">
      <c r="H30337" s="676"/>
      <c r="I30337" s="676"/>
      <c r="J30337" s="770"/>
    </row>
    <row r="30338" spans="8:10" x14ac:dyDescent="0.35">
      <c r="H30338" s="676"/>
      <c r="I30338" s="676"/>
      <c r="J30338" s="770"/>
    </row>
    <row r="30339" spans="8:10" x14ac:dyDescent="0.35">
      <c r="H30339" s="676"/>
      <c r="I30339" s="676"/>
      <c r="J30339" s="770"/>
    </row>
    <row r="30340" spans="8:10" x14ac:dyDescent="0.35">
      <c r="H30340" s="676"/>
      <c r="I30340" s="676"/>
      <c r="J30340" s="770"/>
    </row>
    <row r="30341" spans="8:10" x14ac:dyDescent="0.35">
      <c r="H30341" s="676"/>
      <c r="I30341" s="676"/>
      <c r="J30341" s="770"/>
    </row>
    <row r="30342" spans="8:10" x14ac:dyDescent="0.35">
      <c r="H30342" s="676"/>
      <c r="I30342" s="676"/>
      <c r="J30342" s="770"/>
    </row>
    <row r="30343" spans="8:10" x14ac:dyDescent="0.35">
      <c r="H30343" s="676"/>
      <c r="I30343" s="676"/>
      <c r="J30343" s="770"/>
    </row>
    <row r="30344" spans="8:10" x14ac:dyDescent="0.35">
      <c r="H30344" s="676"/>
      <c r="I30344" s="676"/>
      <c r="J30344" s="770"/>
    </row>
    <row r="30345" spans="8:10" x14ac:dyDescent="0.35">
      <c r="H30345" s="676"/>
      <c r="I30345" s="676"/>
      <c r="J30345" s="770"/>
    </row>
    <row r="30346" spans="8:10" x14ac:dyDescent="0.35">
      <c r="H30346" s="676"/>
      <c r="I30346" s="676"/>
      <c r="J30346" s="770"/>
    </row>
    <row r="30347" spans="8:10" x14ac:dyDescent="0.35">
      <c r="H30347" s="676"/>
      <c r="I30347" s="676"/>
      <c r="J30347" s="770"/>
    </row>
    <row r="30348" spans="8:10" x14ac:dyDescent="0.35">
      <c r="H30348" s="676"/>
      <c r="I30348" s="676"/>
      <c r="J30348" s="770"/>
    </row>
    <row r="30349" spans="8:10" x14ac:dyDescent="0.35">
      <c r="H30349" s="676"/>
      <c r="I30349" s="676"/>
      <c r="J30349" s="770"/>
    </row>
    <row r="30350" spans="8:10" x14ac:dyDescent="0.35">
      <c r="H30350" s="676"/>
      <c r="I30350" s="676"/>
      <c r="J30350" s="770"/>
    </row>
    <row r="30351" spans="8:10" x14ac:dyDescent="0.35">
      <c r="H30351" s="676"/>
      <c r="I30351" s="676"/>
      <c r="J30351" s="770"/>
    </row>
    <row r="30352" spans="8:10" x14ac:dyDescent="0.35">
      <c r="H30352" s="676"/>
      <c r="I30352" s="676"/>
      <c r="J30352" s="770"/>
    </row>
    <row r="30353" spans="8:10" x14ac:dyDescent="0.35">
      <c r="H30353" s="676"/>
      <c r="I30353" s="676"/>
      <c r="J30353" s="770"/>
    </row>
    <row r="30354" spans="8:10" x14ac:dyDescent="0.35">
      <c r="H30354" s="676"/>
      <c r="I30354" s="676"/>
      <c r="J30354" s="770"/>
    </row>
    <row r="30355" spans="8:10" x14ac:dyDescent="0.35">
      <c r="H30355" s="676"/>
      <c r="I30355" s="676"/>
      <c r="J30355" s="770"/>
    </row>
    <row r="30356" spans="8:10" x14ac:dyDescent="0.35">
      <c r="H30356" s="676"/>
      <c r="I30356" s="676"/>
      <c r="J30356" s="770"/>
    </row>
    <row r="30357" spans="8:10" x14ac:dyDescent="0.35">
      <c r="H30357" s="676"/>
      <c r="I30357" s="676"/>
      <c r="J30357" s="770"/>
    </row>
    <row r="30358" spans="8:10" x14ac:dyDescent="0.35">
      <c r="H30358" s="676"/>
      <c r="I30358" s="676"/>
      <c r="J30358" s="770"/>
    </row>
    <row r="30359" spans="8:10" x14ac:dyDescent="0.35">
      <c r="H30359" s="676"/>
      <c r="I30359" s="676"/>
      <c r="J30359" s="770"/>
    </row>
    <row r="30360" spans="8:10" x14ac:dyDescent="0.35">
      <c r="H30360" s="676"/>
      <c r="I30360" s="676"/>
      <c r="J30360" s="770"/>
    </row>
    <row r="30361" spans="8:10" x14ac:dyDescent="0.35">
      <c r="H30361" s="676"/>
      <c r="I30361" s="676"/>
      <c r="J30361" s="770"/>
    </row>
    <row r="30362" spans="8:10" x14ac:dyDescent="0.35">
      <c r="H30362" s="676"/>
      <c r="I30362" s="676"/>
      <c r="J30362" s="770"/>
    </row>
    <row r="30363" spans="8:10" x14ac:dyDescent="0.35">
      <c r="H30363" s="676"/>
      <c r="I30363" s="676"/>
      <c r="J30363" s="770"/>
    </row>
    <row r="30364" spans="8:10" x14ac:dyDescent="0.35">
      <c r="H30364" s="676"/>
      <c r="I30364" s="676"/>
      <c r="J30364" s="770"/>
    </row>
    <row r="30365" spans="8:10" x14ac:dyDescent="0.35">
      <c r="H30365" s="676"/>
      <c r="I30365" s="676"/>
      <c r="J30365" s="770"/>
    </row>
    <row r="30366" spans="8:10" x14ac:dyDescent="0.35">
      <c r="H30366" s="676"/>
      <c r="I30366" s="676"/>
      <c r="J30366" s="770"/>
    </row>
    <row r="30367" spans="8:10" x14ac:dyDescent="0.35">
      <c r="H30367" s="676"/>
      <c r="I30367" s="676"/>
      <c r="J30367" s="770"/>
    </row>
    <row r="30368" spans="8:10" x14ac:dyDescent="0.35">
      <c r="H30368" s="676"/>
      <c r="I30368" s="676"/>
      <c r="J30368" s="770"/>
    </row>
    <row r="30369" spans="8:10" x14ac:dyDescent="0.35">
      <c r="H30369" s="676"/>
      <c r="I30369" s="676"/>
      <c r="J30369" s="770"/>
    </row>
    <row r="30370" spans="8:10" x14ac:dyDescent="0.35">
      <c r="H30370" s="676"/>
      <c r="I30370" s="676"/>
      <c r="J30370" s="770"/>
    </row>
    <row r="30371" spans="8:10" x14ac:dyDescent="0.35">
      <c r="H30371" s="676"/>
      <c r="I30371" s="676"/>
      <c r="J30371" s="770"/>
    </row>
    <row r="30372" spans="8:10" x14ac:dyDescent="0.35">
      <c r="H30372" s="676"/>
      <c r="I30372" s="676"/>
      <c r="J30372" s="770"/>
    </row>
    <row r="30373" spans="8:10" x14ac:dyDescent="0.35">
      <c r="H30373" s="676"/>
      <c r="I30373" s="676"/>
      <c r="J30373" s="770"/>
    </row>
    <row r="30374" spans="8:10" x14ac:dyDescent="0.35">
      <c r="H30374" s="676"/>
      <c r="I30374" s="676"/>
      <c r="J30374" s="770"/>
    </row>
    <row r="30375" spans="8:10" x14ac:dyDescent="0.35">
      <c r="H30375" s="676"/>
      <c r="I30375" s="676"/>
      <c r="J30375" s="770"/>
    </row>
    <row r="30376" spans="8:10" x14ac:dyDescent="0.35">
      <c r="H30376" s="676"/>
      <c r="I30376" s="676"/>
      <c r="J30376" s="770"/>
    </row>
    <row r="30377" spans="8:10" x14ac:dyDescent="0.35">
      <c r="H30377" s="676"/>
      <c r="I30377" s="676"/>
      <c r="J30377" s="770"/>
    </row>
    <row r="30378" spans="8:10" x14ac:dyDescent="0.35">
      <c r="H30378" s="676"/>
      <c r="I30378" s="676"/>
      <c r="J30378" s="770"/>
    </row>
    <row r="30379" spans="8:10" x14ac:dyDescent="0.35">
      <c r="H30379" s="676"/>
      <c r="I30379" s="676"/>
      <c r="J30379" s="770"/>
    </row>
    <row r="30380" spans="8:10" x14ac:dyDescent="0.35">
      <c r="H30380" s="676"/>
      <c r="I30380" s="676"/>
      <c r="J30380" s="770"/>
    </row>
    <row r="30381" spans="8:10" x14ac:dyDescent="0.35">
      <c r="H30381" s="676"/>
      <c r="I30381" s="676"/>
      <c r="J30381" s="770"/>
    </row>
    <row r="30382" spans="8:10" x14ac:dyDescent="0.35">
      <c r="H30382" s="676"/>
      <c r="I30382" s="676"/>
      <c r="J30382" s="770"/>
    </row>
    <row r="30383" spans="8:10" x14ac:dyDescent="0.35">
      <c r="H30383" s="676"/>
      <c r="I30383" s="676"/>
      <c r="J30383" s="770"/>
    </row>
    <row r="30384" spans="8:10" x14ac:dyDescent="0.35">
      <c r="H30384" s="676"/>
      <c r="I30384" s="676"/>
      <c r="J30384" s="770"/>
    </row>
    <row r="30385" spans="8:10" x14ac:dyDescent="0.35">
      <c r="H30385" s="676"/>
      <c r="I30385" s="676"/>
      <c r="J30385" s="770"/>
    </row>
    <row r="30386" spans="8:10" x14ac:dyDescent="0.35">
      <c r="H30386" s="676"/>
      <c r="I30386" s="676"/>
      <c r="J30386" s="770"/>
    </row>
    <row r="30387" spans="8:10" x14ac:dyDescent="0.35">
      <c r="H30387" s="676"/>
      <c r="I30387" s="676"/>
      <c r="J30387" s="770"/>
    </row>
    <row r="30388" spans="8:10" x14ac:dyDescent="0.35">
      <c r="H30388" s="676"/>
      <c r="I30388" s="676"/>
      <c r="J30388" s="770"/>
    </row>
    <row r="30389" spans="8:10" x14ac:dyDescent="0.35">
      <c r="H30389" s="676"/>
      <c r="I30389" s="676"/>
      <c r="J30389" s="770"/>
    </row>
    <row r="30390" spans="8:10" x14ac:dyDescent="0.35">
      <c r="H30390" s="676"/>
      <c r="I30390" s="676"/>
      <c r="J30390" s="770"/>
    </row>
    <row r="30391" spans="8:10" x14ac:dyDescent="0.35">
      <c r="H30391" s="676"/>
      <c r="I30391" s="676"/>
      <c r="J30391" s="770"/>
    </row>
    <row r="30392" spans="8:10" x14ac:dyDescent="0.35">
      <c r="H30392" s="676"/>
      <c r="I30392" s="676"/>
      <c r="J30392" s="770"/>
    </row>
    <row r="30393" spans="8:10" x14ac:dyDescent="0.35">
      <c r="H30393" s="676"/>
      <c r="I30393" s="676"/>
      <c r="J30393" s="770"/>
    </row>
    <row r="30394" spans="8:10" x14ac:dyDescent="0.35">
      <c r="H30394" s="676"/>
      <c r="I30394" s="676"/>
      <c r="J30394" s="770"/>
    </row>
    <row r="30395" spans="8:10" x14ac:dyDescent="0.35">
      <c r="H30395" s="676"/>
      <c r="I30395" s="676"/>
      <c r="J30395" s="770"/>
    </row>
    <row r="30396" spans="8:10" x14ac:dyDescent="0.35">
      <c r="H30396" s="676"/>
      <c r="I30396" s="676"/>
      <c r="J30396" s="770"/>
    </row>
    <row r="30397" spans="8:10" x14ac:dyDescent="0.35">
      <c r="H30397" s="676"/>
      <c r="I30397" s="676"/>
      <c r="J30397" s="770"/>
    </row>
    <row r="30398" spans="8:10" x14ac:dyDescent="0.35">
      <c r="H30398" s="676"/>
      <c r="I30398" s="676"/>
      <c r="J30398" s="770"/>
    </row>
    <row r="30399" spans="8:10" x14ac:dyDescent="0.35">
      <c r="H30399" s="676"/>
      <c r="I30399" s="676"/>
      <c r="J30399" s="770"/>
    </row>
    <row r="30400" spans="8:10" x14ac:dyDescent="0.35">
      <c r="H30400" s="676"/>
      <c r="I30400" s="676"/>
      <c r="J30400" s="770"/>
    </row>
    <row r="30401" spans="8:10" x14ac:dyDescent="0.35">
      <c r="H30401" s="676"/>
      <c r="I30401" s="676"/>
      <c r="J30401" s="770"/>
    </row>
    <row r="30402" spans="8:10" x14ac:dyDescent="0.35">
      <c r="H30402" s="676"/>
      <c r="I30402" s="676"/>
      <c r="J30402" s="770"/>
    </row>
    <row r="30403" spans="8:10" x14ac:dyDescent="0.35">
      <c r="H30403" s="676"/>
      <c r="I30403" s="676"/>
      <c r="J30403" s="770"/>
    </row>
    <row r="30404" spans="8:10" x14ac:dyDescent="0.35">
      <c r="H30404" s="676"/>
      <c r="I30404" s="676"/>
      <c r="J30404" s="770"/>
    </row>
    <row r="30405" spans="8:10" x14ac:dyDescent="0.35">
      <c r="H30405" s="676"/>
      <c r="I30405" s="676"/>
      <c r="J30405" s="770"/>
    </row>
    <row r="30406" spans="8:10" x14ac:dyDescent="0.35">
      <c r="H30406" s="676"/>
      <c r="I30406" s="676"/>
      <c r="J30406" s="770"/>
    </row>
    <row r="30407" spans="8:10" x14ac:dyDescent="0.35">
      <c r="H30407" s="676"/>
      <c r="I30407" s="676"/>
      <c r="J30407" s="770"/>
    </row>
    <row r="30408" spans="8:10" x14ac:dyDescent="0.35">
      <c r="H30408" s="676"/>
      <c r="I30408" s="676"/>
      <c r="J30408" s="770"/>
    </row>
    <row r="30409" spans="8:10" x14ac:dyDescent="0.35">
      <c r="H30409" s="676"/>
      <c r="I30409" s="676"/>
      <c r="J30409" s="770"/>
    </row>
    <row r="30410" spans="8:10" x14ac:dyDescent="0.35">
      <c r="H30410" s="676"/>
      <c r="I30410" s="676"/>
      <c r="J30410" s="770"/>
    </row>
    <row r="30411" spans="8:10" x14ac:dyDescent="0.35">
      <c r="H30411" s="676"/>
      <c r="I30411" s="676"/>
      <c r="J30411" s="770"/>
    </row>
    <row r="30412" spans="8:10" x14ac:dyDescent="0.35">
      <c r="H30412" s="676"/>
      <c r="I30412" s="676"/>
      <c r="J30412" s="770"/>
    </row>
    <row r="30413" spans="8:10" x14ac:dyDescent="0.35">
      <c r="H30413" s="676"/>
      <c r="I30413" s="676"/>
      <c r="J30413" s="770"/>
    </row>
    <row r="30414" spans="8:10" x14ac:dyDescent="0.35">
      <c r="H30414" s="676"/>
      <c r="I30414" s="676"/>
      <c r="J30414" s="770"/>
    </row>
    <row r="30415" spans="8:10" x14ac:dyDescent="0.35">
      <c r="H30415" s="676"/>
      <c r="I30415" s="676"/>
      <c r="J30415" s="770"/>
    </row>
    <row r="30416" spans="8:10" x14ac:dyDescent="0.35">
      <c r="H30416" s="676"/>
      <c r="I30416" s="676"/>
      <c r="J30416" s="770"/>
    </row>
    <row r="30417" spans="8:10" x14ac:dyDescent="0.35">
      <c r="H30417" s="676"/>
      <c r="I30417" s="676"/>
      <c r="J30417" s="770"/>
    </row>
    <row r="30418" spans="8:10" x14ac:dyDescent="0.35">
      <c r="H30418" s="676"/>
      <c r="I30418" s="676"/>
      <c r="J30418" s="770"/>
    </row>
    <row r="30419" spans="8:10" x14ac:dyDescent="0.35">
      <c r="H30419" s="676"/>
      <c r="I30419" s="676"/>
      <c r="J30419" s="770"/>
    </row>
    <row r="30420" spans="8:10" x14ac:dyDescent="0.35">
      <c r="H30420" s="676"/>
      <c r="I30420" s="676"/>
      <c r="J30420" s="770"/>
    </row>
    <row r="30421" spans="8:10" x14ac:dyDescent="0.35">
      <c r="H30421" s="676"/>
      <c r="I30421" s="676"/>
      <c r="J30421" s="770"/>
    </row>
    <row r="30422" spans="8:10" x14ac:dyDescent="0.35">
      <c r="H30422" s="676"/>
      <c r="I30422" s="676"/>
      <c r="J30422" s="770"/>
    </row>
    <row r="30423" spans="8:10" x14ac:dyDescent="0.35">
      <c r="H30423" s="676"/>
      <c r="I30423" s="676"/>
      <c r="J30423" s="770"/>
    </row>
    <row r="30424" spans="8:10" x14ac:dyDescent="0.35">
      <c r="H30424" s="676"/>
      <c r="I30424" s="676"/>
      <c r="J30424" s="770"/>
    </row>
    <row r="30425" spans="8:10" x14ac:dyDescent="0.35">
      <c r="H30425" s="676"/>
      <c r="I30425" s="676"/>
      <c r="J30425" s="770"/>
    </row>
    <row r="30426" spans="8:10" x14ac:dyDescent="0.35">
      <c r="H30426" s="676"/>
      <c r="I30426" s="676"/>
      <c r="J30426" s="770"/>
    </row>
    <row r="30427" spans="8:10" x14ac:dyDescent="0.35">
      <c r="H30427" s="676"/>
      <c r="I30427" s="676"/>
      <c r="J30427" s="770"/>
    </row>
    <row r="30428" spans="8:10" x14ac:dyDescent="0.35">
      <c r="H30428" s="676"/>
      <c r="I30428" s="676"/>
      <c r="J30428" s="770"/>
    </row>
    <row r="30429" spans="8:10" x14ac:dyDescent="0.35">
      <c r="H30429" s="676"/>
      <c r="I30429" s="676"/>
      <c r="J30429" s="770"/>
    </row>
    <row r="30430" spans="8:10" x14ac:dyDescent="0.35">
      <c r="H30430" s="676"/>
      <c r="I30430" s="676"/>
      <c r="J30430" s="770"/>
    </row>
    <row r="30431" spans="8:10" x14ac:dyDescent="0.35">
      <c r="H30431" s="676"/>
      <c r="I30431" s="676"/>
      <c r="J30431" s="770"/>
    </row>
    <row r="30432" spans="8:10" x14ac:dyDescent="0.35">
      <c r="H30432" s="676"/>
      <c r="I30432" s="676"/>
      <c r="J30432" s="770"/>
    </row>
    <row r="30433" spans="8:10" x14ac:dyDescent="0.35">
      <c r="H30433" s="676"/>
      <c r="I30433" s="676"/>
      <c r="J30433" s="770"/>
    </row>
    <row r="30434" spans="8:10" x14ac:dyDescent="0.35">
      <c r="H30434" s="676"/>
      <c r="I30434" s="676"/>
      <c r="J30434" s="770"/>
    </row>
    <row r="30435" spans="8:10" x14ac:dyDescent="0.35">
      <c r="H30435" s="676"/>
      <c r="I30435" s="676"/>
      <c r="J30435" s="770"/>
    </row>
    <row r="30436" spans="8:10" x14ac:dyDescent="0.35">
      <c r="H30436" s="676"/>
      <c r="I30436" s="676"/>
      <c r="J30436" s="770"/>
    </row>
    <row r="30437" spans="8:10" x14ac:dyDescent="0.35">
      <c r="H30437" s="676"/>
      <c r="I30437" s="676"/>
      <c r="J30437" s="770"/>
    </row>
    <row r="30438" spans="8:10" x14ac:dyDescent="0.35">
      <c r="H30438" s="676"/>
      <c r="I30438" s="676"/>
      <c r="J30438" s="770"/>
    </row>
    <row r="30439" spans="8:10" x14ac:dyDescent="0.35">
      <c r="H30439" s="676"/>
      <c r="I30439" s="676"/>
      <c r="J30439" s="770"/>
    </row>
    <row r="30440" spans="8:10" x14ac:dyDescent="0.35">
      <c r="H30440" s="676"/>
      <c r="I30440" s="676"/>
      <c r="J30440" s="770"/>
    </row>
    <row r="30441" spans="8:10" x14ac:dyDescent="0.35">
      <c r="H30441" s="676"/>
      <c r="I30441" s="676"/>
      <c r="J30441" s="770"/>
    </row>
    <row r="30442" spans="8:10" x14ac:dyDescent="0.35">
      <c r="H30442" s="676"/>
      <c r="I30442" s="676"/>
      <c r="J30442" s="770"/>
    </row>
    <row r="30443" spans="8:10" x14ac:dyDescent="0.35">
      <c r="H30443" s="676"/>
      <c r="I30443" s="676"/>
      <c r="J30443" s="770"/>
    </row>
    <row r="30444" spans="8:10" x14ac:dyDescent="0.35">
      <c r="H30444" s="676"/>
      <c r="I30444" s="676"/>
      <c r="J30444" s="770"/>
    </row>
    <row r="30445" spans="8:10" x14ac:dyDescent="0.35">
      <c r="H30445" s="676"/>
      <c r="I30445" s="676"/>
      <c r="J30445" s="770"/>
    </row>
    <row r="30446" spans="8:10" x14ac:dyDescent="0.35">
      <c r="H30446" s="676"/>
      <c r="I30446" s="676"/>
      <c r="J30446" s="770"/>
    </row>
    <row r="30447" spans="8:10" x14ac:dyDescent="0.35">
      <c r="H30447" s="676"/>
      <c r="I30447" s="676"/>
      <c r="J30447" s="770"/>
    </row>
    <row r="30448" spans="8:10" x14ac:dyDescent="0.35">
      <c r="H30448" s="676"/>
      <c r="I30448" s="676"/>
      <c r="J30448" s="770"/>
    </row>
    <row r="30449" spans="8:10" x14ac:dyDescent="0.35">
      <c r="H30449" s="676"/>
      <c r="I30449" s="676"/>
      <c r="J30449" s="770"/>
    </row>
    <row r="30450" spans="8:10" x14ac:dyDescent="0.35">
      <c r="H30450" s="676"/>
      <c r="I30450" s="676"/>
      <c r="J30450" s="770"/>
    </row>
    <row r="30451" spans="8:10" x14ac:dyDescent="0.35">
      <c r="H30451" s="676"/>
      <c r="I30451" s="676"/>
      <c r="J30451" s="770"/>
    </row>
    <row r="30452" spans="8:10" x14ac:dyDescent="0.35">
      <c r="H30452" s="676"/>
      <c r="I30452" s="676"/>
      <c r="J30452" s="770"/>
    </row>
    <row r="30453" spans="8:10" x14ac:dyDescent="0.35">
      <c r="H30453" s="676"/>
      <c r="I30453" s="676"/>
      <c r="J30453" s="770"/>
    </row>
    <row r="30454" spans="8:10" x14ac:dyDescent="0.35">
      <c r="H30454" s="676"/>
      <c r="I30454" s="676"/>
      <c r="J30454" s="770"/>
    </row>
    <row r="30455" spans="8:10" x14ac:dyDescent="0.35">
      <c r="H30455" s="676"/>
      <c r="I30455" s="676"/>
      <c r="J30455" s="770"/>
    </row>
    <row r="30456" spans="8:10" x14ac:dyDescent="0.35">
      <c r="H30456" s="676"/>
      <c r="I30456" s="676"/>
      <c r="J30456" s="770"/>
    </row>
    <row r="30457" spans="8:10" x14ac:dyDescent="0.35">
      <c r="H30457" s="676"/>
      <c r="I30457" s="676"/>
      <c r="J30457" s="770"/>
    </row>
    <row r="30458" spans="8:10" x14ac:dyDescent="0.35">
      <c r="H30458" s="676"/>
      <c r="I30458" s="676"/>
      <c r="J30458" s="770"/>
    </row>
    <row r="30459" spans="8:10" x14ac:dyDescent="0.35">
      <c r="H30459" s="676"/>
      <c r="I30459" s="676"/>
      <c r="J30459" s="770"/>
    </row>
    <row r="30460" spans="8:10" x14ac:dyDescent="0.35">
      <c r="H30460" s="676"/>
      <c r="I30460" s="676"/>
      <c r="J30460" s="770"/>
    </row>
    <row r="30461" spans="8:10" x14ac:dyDescent="0.35">
      <c r="H30461" s="676"/>
      <c r="I30461" s="676"/>
      <c r="J30461" s="770"/>
    </row>
    <row r="30462" spans="8:10" x14ac:dyDescent="0.35">
      <c r="H30462" s="676"/>
      <c r="I30462" s="676"/>
      <c r="J30462" s="770"/>
    </row>
    <row r="30463" spans="8:10" x14ac:dyDescent="0.35">
      <c r="H30463" s="676"/>
      <c r="I30463" s="676"/>
      <c r="J30463" s="770"/>
    </row>
    <row r="30464" spans="8:10" x14ac:dyDescent="0.35">
      <c r="H30464" s="676"/>
      <c r="I30464" s="676"/>
      <c r="J30464" s="770"/>
    </row>
    <row r="30465" spans="8:10" x14ac:dyDescent="0.35">
      <c r="H30465" s="676"/>
      <c r="I30465" s="676"/>
      <c r="J30465" s="770"/>
    </row>
    <row r="30466" spans="8:10" x14ac:dyDescent="0.35">
      <c r="H30466" s="676"/>
      <c r="I30466" s="676"/>
      <c r="J30466" s="770"/>
    </row>
    <row r="30467" spans="8:10" x14ac:dyDescent="0.35">
      <c r="H30467" s="676"/>
      <c r="I30467" s="676"/>
      <c r="J30467" s="770"/>
    </row>
    <row r="30468" spans="8:10" x14ac:dyDescent="0.35">
      <c r="H30468" s="676"/>
      <c r="I30468" s="676"/>
      <c r="J30468" s="770"/>
    </row>
    <row r="30469" spans="8:10" x14ac:dyDescent="0.35">
      <c r="H30469" s="676"/>
      <c r="I30469" s="676"/>
      <c r="J30469" s="770"/>
    </row>
    <row r="30470" spans="8:10" x14ac:dyDescent="0.35">
      <c r="H30470" s="676"/>
      <c r="I30470" s="676"/>
      <c r="J30470" s="770"/>
    </row>
    <row r="30471" spans="8:10" x14ac:dyDescent="0.35">
      <c r="H30471" s="676"/>
      <c r="I30471" s="676"/>
      <c r="J30471" s="770"/>
    </row>
    <row r="30472" spans="8:10" x14ac:dyDescent="0.35">
      <c r="H30472" s="676"/>
      <c r="I30472" s="676"/>
      <c r="J30472" s="770"/>
    </row>
    <row r="30473" spans="8:10" x14ac:dyDescent="0.35">
      <c r="H30473" s="676"/>
      <c r="I30473" s="676"/>
      <c r="J30473" s="770"/>
    </row>
    <row r="30474" spans="8:10" x14ac:dyDescent="0.35">
      <c r="H30474" s="676"/>
      <c r="I30474" s="676"/>
      <c r="J30474" s="770"/>
    </row>
    <row r="30475" spans="8:10" x14ac:dyDescent="0.35">
      <c r="H30475" s="676"/>
      <c r="I30475" s="676"/>
      <c r="J30475" s="770"/>
    </row>
    <row r="30476" spans="8:10" x14ac:dyDescent="0.35">
      <c r="H30476" s="676"/>
      <c r="I30476" s="676"/>
      <c r="J30476" s="770"/>
    </row>
    <row r="30477" spans="8:10" x14ac:dyDescent="0.35">
      <c r="H30477" s="676"/>
      <c r="I30477" s="676"/>
      <c r="J30477" s="770"/>
    </row>
    <row r="30478" spans="8:10" x14ac:dyDescent="0.35">
      <c r="H30478" s="676"/>
      <c r="I30478" s="676"/>
      <c r="J30478" s="770"/>
    </row>
    <row r="30479" spans="8:10" x14ac:dyDescent="0.35">
      <c r="H30479" s="676"/>
      <c r="I30479" s="676"/>
      <c r="J30479" s="770"/>
    </row>
    <row r="30480" spans="8:10" x14ac:dyDescent="0.35">
      <c r="H30480" s="676"/>
      <c r="I30480" s="676"/>
      <c r="J30480" s="770"/>
    </row>
    <row r="30481" spans="8:10" x14ac:dyDescent="0.35">
      <c r="H30481" s="676"/>
      <c r="I30481" s="676"/>
      <c r="J30481" s="770"/>
    </row>
    <row r="30482" spans="8:10" x14ac:dyDescent="0.35">
      <c r="H30482" s="676"/>
      <c r="I30482" s="676"/>
      <c r="J30482" s="770"/>
    </row>
    <row r="30483" spans="8:10" x14ac:dyDescent="0.35">
      <c r="H30483" s="676"/>
      <c r="I30483" s="676"/>
      <c r="J30483" s="770"/>
    </row>
    <row r="30484" spans="8:10" x14ac:dyDescent="0.35">
      <c r="H30484" s="676"/>
      <c r="I30484" s="676"/>
      <c r="J30484" s="770"/>
    </row>
    <row r="30485" spans="8:10" x14ac:dyDescent="0.35">
      <c r="H30485" s="676"/>
      <c r="I30485" s="676"/>
      <c r="J30485" s="770"/>
    </row>
    <row r="30486" spans="8:10" x14ac:dyDescent="0.35">
      <c r="H30486" s="676"/>
      <c r="I30486" s="676"/>
      <c r="J30486" s="770"/>
    </row>
    <row r="30487" spans="8:10" x14ac:dyDescent="0.35">
      <c r="H30487" s="676"/>
      <c r="I30487" s="676"/>
      <c r="J30487" s="770"/>
    </row>
    <row r="30488" spans="8:10" x14ac:dyDescent="0.35">
      <c r="H30488" s="676"/>
      <c r="I30488" s="676"/>
      <c r="J30488" s="770"/>
    </row>
    <row r="30489" spans="8:10" x14ac:dyDescent="0.35">
      <c r="H30489" s="676"/>
      <c r="I30489" s="676"/>
      <c r="J30489" s="770"/>
    </row>
    <row r="30490" spans="8:10" x14ac:dyDescent="0.35">
      <c r="H30490" s="676"/>
      <c r="I30490" s="676"/>
      <c r="J30490" s="770"/>
    </row>
    <row r="30491" spans="8:10" x14ac:dyDescent="0.35">
      <c r="H30491" s="676"/>
      <c r="I30491" s="676"/>
      <c r="J30491" s="770"/>
    </row>
    <row r="30492" spans="8:10" x14ac:dyDescent="0.35">
      <c r="H30492" s="676"/>
      <c r="I30492" s="676"/>
      <c r="J30492" s="770"/>
    </row>
    <row r="30493" spans="8:10" x14ac:dyDescent="0.35">
      <c r="H30493" s="676"/>
      <c r="I30493" s="676"/>
      <c r="J30493" s="770"/>
    </row>
    <row r="30494" spans="8:10" x14ac:dyDescent="0.35">
      <c r="H30494" s="676"/>
      <c r="I30494" s="676"/>
      <c r="J30494" s="770"/>
    </row>
    <row r="30495" spans="8:10" x14ac:dyDescent="0.35">
      <c r="H30495" s="676"/>
      <c r="I30495" s="676"/>
      <c r="J30495" s="770"/>
    </row>
    <row r="30496" spans="8:10" x14ac:dyDescent="0.35">
      <c r="H30496" s="676"/>
      <c r="I30496" s="676"/>
      <c r="J30496" s="770"/>
    </row>
    <row r="30497" spans="8:10" x14ac:dyDescent="0.35">
      <c r="H30497" s="676"/>
      <c r="I30497" s="676"/>
      <c r="J30497" s="770"/>
    </row>
    <row r="30498" spans="8:10" x14ac:dyDescent="0.35">
      <c r="H30498" s="676"/>
      <c r="I30498" s="676"/>
      <c r="J30498" s="770"/>
    </row>
    <row r="30499" spans="8:10" x14ac:dyDescent="0.35">
      <c r="H30499" s="676"/>
      <c r="I30499" s="676"/>
      <c r="J30499" s="770"/>
    </row>
    <row r="30500" spans="8:10" x14ac:dyDescent="0.35">
      <c r="H30500" s="676"/>
      <c r="I30500" s="676"/>
      <c r="J30500" s="770"/>
    </row>
    <row r="30501" spans="8:10" x14ac:dyDescent="0.35">
      <c r="H30501" s="676"/>
      <c r="I30501" s="676"/>
      <c r="J30501" s="770"/>
    </row>
    <row r="30502" spans="8:10" x14ac:dyDescent="0.35">
      <c r="H30502" s="676"/>
      <c r="I30502" s="676"/>
      <c r="J30502" s="770"/>
    </row>
    <row r="30503" spans="8:10" x14ac:dyDescent="0.35">
      <c r="H30503" s="676"/>
      <c r="I30503" s="676"/>
      <c r="J30503" s="770"/>
    </row>
    <row r="30504" spans="8:10" x14ac:dyDescent="0.35">
      <c r="H30504" s="676"/>
      <c r="I30504" s="676"/>
      <c r="J30504" s="770"/>
    </row>
    <row r="30505" spans="8:10" x14ac:dyDescent="0.35">
      <c r="H30505" s="676"/>
      <c r="I30505" s="676"/>
      <c r="J30505" s="770"/>
    </row>
    <row r="30506" spans="8:10" x14ac:dyDescent="0.35">
      <c r="H30506" s="676"/>
      <c r="I30506" s="676"/>
      <c r="J30506" s="770"/>
    </row>
    <row r="30507" spans="8:10" x14ac:dyDescent="0.35">
      <c r="H30507" s="676"/>
      <c r="I30507" s="676"/>
      <c r="J30507" s="770"/>
    </row>
    <row r="30508" spans="8:10" x14ac:dyDescent="0.35">
      <c r="H30508" s="676"/>
      <c r="I30508" s="676"/>
      <c r="J30508" s="770"/>
    </row>
    <row r="30509" spans="8:10" x14ac:dyDescent="0.35">
      <c r="H30509" s="676"/>
      <c r="I30509" s="676"/>
      <c r="J30509" s="770"/>
    </row>
    <row r="30510" spans="8:10" x14ac:dyDescent="0.35">
      <c r="H30510" s="676"/>
      <c r="I30510" s="676"/>
      <c r="J30510" s="770"/>
    </row>
    <row r="30511" spans="8:10" x14ac:dyDescent="0.35">
      <c r="H30511" s="676"/>
      <c r="I30511" s="676"/>
      <c r="J30511" s="770"/>
    </row>
    <row r="30512" spans="8:10" x14ac:dyDescent="0.35">
      <c r="H30512" s="676"/>
      <c r="I30512" s="676"/>
      <c r="J30512" s="770"/>
    </row>
    <row r="30513" spans="8:10" x14ac:dyDescent="0.35">
      <c r="H30513" s="676"/>
      <c r="I30513" s="676"/>
      <c r="J30513" s="770"/>
    </row>
    <row r="30514" spans="8:10" x14ac:dyDescent="0.35">
      <c r="H30514" s="676"/>
      <c r="I30514" s="676"/>
      <c r="J30514" s="770"/>
    </row>
    <row r="30515" spans="8:10" x14ac:dyDescent="0.35">
      <c r="H30515" s="676"/>
      <c r="I30515" s="676"/>
      <c r="J30515" s="770"/>
    </row>
    <row r="30516" spans="8:10" x14ac:dyDescent="0.35">
      <c r="H30516" s="676"/>
      <c r="I30516" s="676"/>
      <c r="J30516" s="770"/>
    </row>
    <row r="30517" spans="8:10" x14ac:dyDescent="0.35">
      <c r="H30517" s="676"/>
      <c r="I30517" s="676"/>
      <c r="J30517" s="770"/>
    </row>
    <row r="30518" spans="8:10" x14ac:dyDescent="0.35">
      <c r="H30518" s="676"/>
      <c r="I30518" s="676"/>
      <c r="J30518" s="770"/>
    </row>
    <row r="30519" spans="8:10" x14ac:dyDescent="0.35">
      <c r="H30519" s="676"/>
      <c r="I30519" s="676"/>
      <c r="J30519" s="770"/>
    </row>
    <row r="30520" spans="8:10" x14ac:dyDescent="0.35">
      <c r="H30520" s="676"/>
      <c r="I30520" s="676"/>
      <c r="J30520" s="770"/>
    </row>
    <row r="30521" spans="8:10" x14ac:dyDescent="0.35">
      <c r="H30521" s="676"/>
      <c r="I30521" s="676"/>
      <c r="J30521" s="770"/>
    </row>
    <row r="30522" spans="8:10" x14ac:dyDescent="0.35">
      <c r="H30522" s="676"/>
      <c r="I30522" s="676"/>
      <c r="J30522" s="770"/>
    </row>
    <row r="30523" spans="8:10" x14ac:dyDescent="0.35">
      <c r="H30523" s="676"/>
      <c r="I30523" s="676"/>
      <c r="J30523" s="770"/>
    </row>
    <row r="30524" spans="8:10" x14ac:dyDescent="0.35">
      <c r="H30524" s="676"/>
      <c r="I30524" s="676"/>
      <c r="J30524" s="770"/>
    </row>
    <row r="30525" spans="8:10" x14ac:dyDescent="0.35">
      <c r="H30525" s="676"/>
      <c r="I30525" s="676"/>
      <c r="J30525" s="770"/>
    </row>
    <row r="30526" spans="8:10" x14ac:dyDescent="0.35">
      <c r="H30526" s="676"/>
      <c r="I30526" s="676"/>
      <c r="J30526" s="770"/>
    </row>
    <row r="30527" spans="8:10" x14ac:dyDescent="0.35">
      <c r="H30527" s="676"/>
      <c r="I30527" s="676"/>
      <c r="J30527" s="770"/>
    </row>
    <row r="30528" spans="8:10" x14ac:dyDescent="0.35">
      <c r="H30528" s="676"/>
      <c r="I30528" s="676"/>
      <c r="J30528" s="770"/>
    </row>
    <row r="30529" spans="8:10" x14ac:dyDescent="0.35">
      <c r="H30529" s="676"/>
      <c r="I30529" s="676"/>
      <c r="J30529" s="770"/>
    </row>
    <row r="30530" spans="8:10" x14ac:dyDescent="0.35">
      <c r="H30530" s="676"/>
      <c r="I30530" s="676"/>
      <c r="J30530" s="770"/>
    </row>
    <row r="30531" spans="8:10" x14ac:dyDescent="0.35">
      <c r="H30531" s="676"/>
      <c r="I30531" s="676"/>
      <c r="J30531" s="770"/>
    </row>
    <row r="30532" spans="8:10" x14ac:dyDescent="0.35">
      <c r="H30532" s="676"/>
      <c r="I30532" s="676"/>
      <c r="J30532" s="770"/>
    </row>
    <row r="30533" spans="8:10" x14ac:dyDescent="0.35">
      <c r="H30533" s="676"/>
      <c r="I30533" s="676"/>
      <c r="J30533" s="770"/>
    </row>
    <row r="30534" spans="8:10" x14ac:dyDescent="0.35">
      <c r="H30534" s="676"/>
      <c r="I30534" s="676"/>
      <c r="J30534" s="770"/>
    </row>
    <row r="30535" spans="8:10" x14ac:dyDescent="0.35">
      <c r="H30535" s="676"/>
      <c r="I30535" s="676"/>
      <c r="J30535" s="770"/>
    </row>
    <row r="30536" spans="8:10" x14ac:dyDescent="0.35">
      <c r="H30536" s="676"/>
      <c r="I30536" s="676"/>
      <c r="J30536" s="770"/>
    </row>
    <row r="30537" spans="8:10" x14ac:dyDescent="0.35">
      <c r="H30537" s="676"/>
      <c r="I30537" s="676"/>
      <c r="J30537" s="770"/>
    </row>
    <row r="30538" spans="8:10" x14ac:dyDescent="0.35">
      <c r="H30538" s="676"/>
      <c r="I30538" s="676"/>
      <c r="J30538" s="770"/>
    </row>
    <row r="30539" spans="8:10" x14ac:dyDescent="0.35">
      <c r="H30539" s="676"/>
      <c r="I30539" s="676"/>
      <c r="J30539" s="770"/>
    </row>
    <row r="30540" spans="8:10" x14ac:dyDescent="0.35">
      <c r="H30540" s="676"/>
      <c r="I30540" s="676"/>
      <c r="J30540" s="770"/>
    </row>
    <row r="30541" spans="8:10" x14ac:dyDescent="0.35">
      <c r="H30541" s="676"/>
      <c r="I30541" s="676"/>
      <c r="J30541" s="770"/>
    </row>
    <row r="30542" spans="8:10" x14ac:dyDescent="0.35">
      <c r="H30542" s="676"/>
      <c r="I30542" s="676"/>
      <c r="J30542" s="770"/>
    </row>
    <row r="30543" spans="8:10" x14ac:dyDescent="0.35">
      <c r="H30543" s="676"/>
      <c r="I30543" s="676"/>
      <c r="J30543" s="770"/>
    </row>
    <row r="30544" spans="8:10" x14ac:dyDescent="0.35">
      <c r="H30544" s="676"/>
      <c r="I30544" s="676"/>
      <c r="J30544" s="770"/>
    </row>
    <row r="30545" spans="8:10" x14ac:dyDescent="0.35">
      <c r="H30545" s="676"/>
      <c r="I30545" s="676"/>
      <c r="J30545" s="770"/>
    </row>
    <row r="30546" spans="8:10" x14ac:dyDescent="0.35">
      <c r="H30546" s="676"/>
      <c r="I30546" s="676"/>
      <c r="J30546" s="770"/>
    </row>
    <row r="30547" spans="8:10" x14ac:dyDescent="0.35">
      <c r="H30547" s="676"/>
      <c r="I30547" s="676"/>
      <c r="J30547" s="770"/>
    </row>
    <row r="30548" spans="8:10" x14ac:dyDescent="0.35">
      <c r="H30548" s="676"/>
      <c r="I30548" s="676"/>
      <c r="J30548" s="770"/>
    </row>
    <row r="30549" spans="8:10" x14ac:dyDescent="0.35">
      <c r="H30549" s="676"/>
      <c r="I30549" s="676"/>
      <c r="J30549" s="770"/>
    </row>
    <row r="30550" spans="8:10" x14ac:dyDescent="0.35">
      <c r="H30550" s="676"/>
      <c r="I30550" s="676"/>
      <c r="J30550" s="770"/>
    </row>
    <row r="30551" spans="8:10" x14ac:dyDescent="0.35">
      <c r="H30551" s="676"/>
      <c r="I30551" s="676"/>
      <c r="J30551" s="770"/>
    </row>
    <row r="30552" spans="8:10" x14ac:dyDescent="0.35">
      <c r="H30552" s="676"/>
      <c r="I30552" s="676"/>
      <c r="J30552" s="770"/>
    </row>
    <row r="30553" spans="8:10" x14ac:dyDescent="0.35">
      <c r="H30553" s="676"/>
      <c r="I30553" s="676"/>
      <c r="J30553" s="770"/>
    </row>
    <row r="30554" spans="8:10" x14ac:dyDescent="0.35">
      <c r="H30554" s="676"/>
      <c r="I30554" s="676"/>
      <c r="J30554" s="770"/>
    </row>
    <row r="30555" spans="8:10" x14ac:dyDescent="0.35">
      <c r="H30555" s="676"/>
      <c r="I30555" s="676"/>
      <c r="J30555" s="770"/>
    </row>
    <row r="30556" spans="8:10" x14ac:dyDescent="0.35">
      <c r="H30556" s="676"/>
      <c r="I30556" s="676"/>
      <c r="J30556" s="770"/>
    </row>
    <row r="30557" spans="8:10" x14ac:dyDescent="0.35">
      <c r="H30557" s="676"/>
      <c r="I30557" s="676"/>
      <c r="J30557" s="770"/>
    </row>
    <row r="30558" spans="8:10" x14ac:dyDescent="0.35">
      <c r="H30558" s="676"/>
      <c r="I30558" s="676"/>
      <c r="J30558" s="770"/>
    </row>
    <row r="30559" spans="8:10" x14ac:dyDescent="0.35">
      <c r="H30559" s="676"/>
      <c r="I30559" s="676"/>
      <c r="J30559" s="770"/>
    </row>
    <row r="30560" spans="8:10" x14ac:dyDescent="0.35">
      <c r="H30560" s="676"/>
      <c r="I30560" s="676"/>
      <c r="J30560" s="770"/>
    </row>
    <row r="30561" spans="8:10" x14ac:dyDescent="0.35">
      <c r="H30561" s="676"/>
      <c r="I30561" s="676"/>
      <c r="J30561" s="770"/>
    </row>
    <row r="30562" spans="8:10" x14ac:dyDescent="0.35">
      <c r="H30562" s="676"/>
      <c r="I30562" s="676"/>
      <c r="J30562" s="770"/>
    </row>
    <row r="30563" spans="8:10" x14ac:dyDescent="0.35">
      <c r="H30563" s="676"/>
      <c r="I30563" s="676"/>
      <c r="J30563" s="770"/>
    </row>
    <row r="30564" spans="8:10" x14ac:dyDescent="0.35">
      <c r="H30564" s="676"/>
      <c r="I30564" s="676"/>
      <c r="J30564" s="770"/>
    </row>
    <row r="30565" spans="8:10" x14ac:dyDescent="0.35">
      <c r="H30565" s="676"/>
      <c r="I30565" s="676"/>
      <c r="J30565" s="770"/>
    </row>
    <row r="30566" spans="8:10" x14ac:dyDescent="0.35">
      <c r="H30566" s="676"/>
      <c r="I30566" s="676"/>
      <c r="J30566" s="770"/>
    </row>
    <row r="30567" spans="8:10" x14ac:dyDescent="0.35">
      <c r="H30567" s="676"/>
      <c r="I30567" s="676"/>
      <c r="J30567" s="770"/>
    </row>
    <row r="30568" spans="8:10" x14ac:dyDescent="0.35">
      <c r="H30568" s="676"/>
      <c r="I30568" s="676"/>
      <c r="J30568" s="770"/>
    </row>
    <row r="30569" spans="8:10" x14ac:dyDescent="0.35">
      <c r="H30569" s="676"/>
      <c r="I30569" s="676"/>
      <c r="J30569" s="770"/>
    </row>
    <row r="30570" spans="8:10" x14ac:dyDescent="0.35">
      <c r="H30570" s="676"/>
      <c r="I30570" s="676"/>
      <c r="J30570" s="770"/>
    </row>
    <row r="30571" spans="8:10" x14ac:dyDescent="0.35">
      <c r="H30571" s="676"/>
      <c r="I30571" s="676"/>
      <c r="J30571" s="770"/>
    </row>
    <row r="30572" spans="8:10" x14ac:dyDescent="0.35">
      <c r="H30572" s="676"/>
      <c r="I30572" s="676"/>
      <c r="J30572" s="770"/>
    </row>
    <row r="30573" spans="8:10" x14ac:dyDescent="0.35">
      <c r="H30573" s="676"/>
      <c r="I30573" s="676"/>
      <c r="J30573" s="770"/>
    </row>
    <row r="30574" spans="8:10" x14ac:dyDescent="0.35">
      <c r="H30574" s="676"/>
      <c r="I30574" s="676"/>
      <c r="J30574" s="770"/>
    </row>
    <row r="30575" spans="8:10" x14ac:dyDescent="0.35">
      <c r="H30575" s="676"/>
      <c r="I30575" s="676"/>
      <c r="J30575" s="770"/>
    </row>
    <row r="30576" spans="8:10" x14ac:dyDescent="0.35">
      <c r="H30576" s="676"/>
      <c r="I30576" s="676"/>
      <c r="J30576" s="770"/>
    </row>
    <row r="30577" spans="8:10" x14ac:dyDescent="0.35">
      <c r="H30577" s="676"/>
      <c r="I30577" s="676"/>
      <c r="J30577" s="770"/>
    </row>
    <row r="30578" spans="8:10" x14ac:dyDescent="0.35">
      <c r="H30578" s="676"/>
      <c r="I30578" s="676"/>
      <c r="J30578" s="770"/>
    </row>
    <row r="30579" spans="8:10" x14ac:dyDescent="0.35">
      <c r="H30579" s="676"/>
      <c r="I30579" s="676"/>
      <c r="J30579" s="770"/>
    </row>
    <row r="30580" spans="8:10" x14ac:dyDescent="0.35">
      <c r="H30580" s="676"/>
      <c r="I30580" s="676"/>
      <c r="J30580" s="770"/>
    </row>
    <row r="30581" spans="8:10" x14ac:dyDescent="0.35">
      <c r="H30581" s="676"/>
      <c r="I30581" s="676"/>
      <c r="J30581" s="770"/>
    </row>
    <row r="30582" spans="8:10" x14ac:dyDescent="0.35">
      <c r="H30582" s="676"/>
      <c r="I30582" s="676"/>
      <c r="J30582" s="770"/>
    </row>
    <row r="30583" spans="8:10" x14ac:dyDescent="0.35">
      <c r="H30583" s="676"/>
      <c r="I30583" s="676"/>
      <c r="J30583" s="770"/>
    </row>
    <row r="30584" spans="8:10" x14ac:dyDescent="0.35">
      <c r="H30584" s="676"/>
      <c r="I30584" s="676"/>
      <c r="J30584" s="770"/>
    </row>
    <row r="30585" spans="8:10" x14ac:dyDescent="0.35">
      <c r="H30585" s="676"/>
      <c r="I30585" s="676"/>
      <c r="J30585" s="770"/>
    </row>
    <row r="30586" spans="8:10" x14ac:dyDescent="0.35">
      <c r="H30586" s="676"/>
      <c r="I30586" s="676"/>
      <c r="J30586" s="770"/>
    </row>
    <row r="30587" spans="8:10" x14ac:dyDescent="0.35">
      <c r="H30587" s="676"/>
      <c r="I30587" s="676"/>
      <c r="J30587" s="770"/>
    </row>
    <row r="30588" spans="8:10" x14ac:dyDescent="0.35">
      <c r="H30588" s="676"/>
      <c r="I30588" s="676"/>
      <c r="J30588" s="770"/>
    </row>
    <row r="30589" spans="8:10" x14ac:dyDescent="0.35">
      <c r="H30589" s="676"/>
      <c r="I30589" s="676"/>
      <c r="J30589" s="770"/>
    </row>
    <row r="30590" spans="8:10" x14ac:dyDescent="0.35">
      <c r="H30590" s="676"/>
      <c r="I30590" s="676"/>
      <c r="J30590" s="770"/>
    </row>
    <row r="30591" spans="8:10" x14ac:dyDescent="0.35">
      <c r="H30591" s="676"/>
      <c r="I30591" s="676"/>
      <c r="J30591" s="770"/>
    </row>
    <row r="30592" spans="8:10" x14ac:dyDescent="0.35">
      <c r="H30592" s="676"/>
      <c r="I30592" s="676"/>
      <c r="J30592" s="770"/>
    </row>
    <row r="30593" spans="8:10" x14ac:dyDescent="0.35">
      <c r="H30593" s="676"/>
      <c r="I30593" s="676"/>
      <c r="J30593" s="770"/>
    </row>
    <row r="30594" spans="8:10" x14ac:dyDescent="0.35">
      <c r="H30594" s="676"/>
      <c r="I30594" s="676"/>
      <c r="J30594" s="770"/>
    </row>
    <row r="30595" spans="8:10" x14ac:dyDescent="0.35">
      <c r="H30595" s="676"/>
      <c r="I30595" s="676"/>
      <c r="J30595" s="770"/>
    </row>
    <row r="30596" spans="8:10" x14ac:dyDescent="0.35">
      <c r="H30596" s="676"/>
      <c r="I30596" s="676"/>
      <c r="J30596" s="770"/>
    </row>
    <row r="30597" spans="8:10" x14ac:dyDescent="0.35">
      <c r="H30597" s="676"/>
      <c r="I30597" s="676"/>
      <c r="J30597" s="770"/>
    </row>
    <row r="30598" spans="8:10" x14ac:dyDescent="0.35">
      <c r="H30598" s="676"/>
      <c r="I30598" s="676"/>
      <c r="J30598" s="770"/>
    </row>
    <row r="30599" spans="8:10" x14ac:dyDescent="0.35">
      <c r="H30599" s="676"/>
      <c r="I30599" s="676"/>
      <c r="J30599" s="770"/>
    </row>
    <row r="30600" spans="8:10" x14ac:dyDescent="0.35">
      <c r="H30600" s="676"/>
      <c r="I30600" s="676"/>
      <c r="J30600" s="770"/>
    </row>
    <row r="30601" spans="8:10" x14ac:dyDescent="0.35">
      <c r="H30601" s="676"/>
      <c r="I30601" s="676"/>
      <c r="J30601" s="770"/>
    </row>
    <row r="30602" spans="8:10" x14ac:dyDescent="0.35">
      <c r="H30602" s="676"/>
      <c r="I30602" s="676"/>
      <c r="J30602" s="770"/>
    </row>
    <row r="30603" spans="8:10" x14ac:dyDescent="0.35">
      <c r="H30603" s="676"/>
      <c r="I30603" s="676"/>
      <c r="J30603" s="770"/>
    </row>
    <row r="30604" spans="8:10" x14ac:dyDescent="0.35">
      <c r="H30604" s="676"/>
      <c r="I30604" s="676"/>
      <c r="J30604" s="770"/>
    </row>
    <row r="30605" spans="8:10" x14ac:dyDescent="0.35">
      <c r="H30605" s="676"/>
      <c r="I30605" s="676"/>
      <c r="J30605" s="770"/>
    </row>
    <row r="30606" spans="8:10" x14ac:dyDescent="0.35">
      <c r="H30606" s="676"/>
      <c r="I30606" s="676"/>
      <c r="J30606" s="770"/>
    </row>
    <row r="30607" spans="8:10" x14ac:dyDescent="0.35">
      <c r="H30607" s="676"/>
      <c r="I30607" s="676"/>
      <c r="J30607" s="770"/>
    </row>
    <row r="30608" spans="8:10" x14ac:dyDescent="0.35">
      <c r="H30608" s="676"/>
      <c r="I30608" s="676"/>
      <c r="J30608" s="770"/>
    </row>
    <row r="30609" spans="8:10" x14ac:dyDescent="0.35">
      <c r="H30609" s="676"/>
      <c r="I30609" s="676"/>
      <c r="J30609" s="770"/>
    </row>
    <row r="30610" spans="8:10" x14ac:dyDescent="0.35">
      <c r="H30610" s="676"/>
      <c r="I30610" s="676"/>
      <c r="J30610" s="770"/>
    </row>
    <row r="30611" spans="8:10" x14ac:dyDescent="0.35">
      <c r="H30611" s="676"/>
      <c r="I30611" s="676"/>
      <c r="J30611" s="770"/>
    </row>
    <row r="30612" spans="8:10" x14ac:dyDescent="0.35">
      <c r="H30612" s="676"/>
      <c r="I30612" s="676"/>
      <c r="J30612" s="770"/>
    </row>
    <row r="30613" spans="8:10" x14ac:dyDescent="0.35">
      <c r="H30613" s="676"/>
      <c r="I30613" s="676"/>
      <c r="J30613" s="770"/>
    </row>
    <row r="30614" spans="8:10" x14ac:dyDescent="0.35">
      <c r="H30614" s="676"/>
      <c r="I30614" s="676"/>
      <c r="J30614" s="770"/>
    </row>
    <row r="30615" spans="8:10" x14ac:dyDescent="0.35">
      <c r="H30615" s="676"/>
      <c r="I30615" s="676"/>
      <c r="J30615" s="770"/>
    </row>
    <row r="30616" spans="8:10" x14ac:dyDescent="0.35">
      <c r="H30616" s="676"/>
      <c r="I30616" s="676"/>
      <c r="J30616" s="770"/>
    </row>
    <row r="30617" spans="8:10" x14ac:dyDescent="0.35">
      <c r="H30617" s="676"/>
      <c r="I30617" s="676"/>
      <c r="J30617" s="770"/>
    </row>
    <row r="30618" spans="8:10" x14ac:dyDescent="0.35">
      <c r="H30618" s="676"/>
      <c r="I30618" s="676"/>
      <c r="J30618" s="770"/>
    </row>
    <row r="30619" spans="8:10" x14ac:dyDescent="0.35">
      <c r="H30619" s="676"/>
      <c r="I30619" s="676"/>
      <c r="J30619" s="770"/>
    </row>
    <row r="30620" spans="8:10" x14ac:dyDescent="0.35">
      <c r="H30620" s="676"/>
      <c r="I30620" s="676"/>
      <c r="J30620" s="770"/>
    </row>
    <row r="30621" spans="8:10" x14ac:dyDescent="0.35">
      <c r="H30621" s="676"/>
      <c r="I30621" s="676"/>
      <c r="J30621" s="770"/>
    </row>
    <row r="30622" spans="8:10" x14ac:dyDescent="0.35">
      <c r="H30622" s="676"/>
      <c r="I30622" s="676"/>
      <c r="J30622" s="770"/>
    </row>
    <row r="30623" spans="8:10" x14ac:dyDescent="0.35">
      <c r="H30623" s="676"/>
      <c r="I30623" s="676"/>
      <c r="J30623" s="770"/>
    </row>
    <row r="30624" spans="8:10" x14ac:dyDescent="0.35">
      <c r="H30624" s="676"/>
      <c r="I30624" s="676"/>
      <c r="J30624" s="770"/>
    </row>
    <row r="30625" spans="8:10" x14ac:dyDescent="0.35">
      <c r="H30625" s="676"/>
      <c r="I30625" s="676"/>
      <c r="J30625" s="770"/>
    </row>
    <row r="30626" spans="8:10" x14ac:dyDescent="0.35">
      <c r="H30626" s="676"/>
      <c r="I30626" s="676"/>
      <c r="J30626" s="770"/>
    </row>
    <row r="30627" spans="8:10" x14ac:dyDescent="0.35">
      <c r="H30627" s="676"/>
      <c r="I30627" s="676"/>
      <c r="J30627" s="770"/>
    </row>
    <row r="30628" spans="8:10" x14ac:dyDescent="0.35">
      <c r="H30628" s="676"/>
      <c r="I30628" s="676"/>
      <c r="J30628" s="770"/>
    </row>
    <row r="30629" spans="8:10" x14ac:dyDescent="0.35">
      <c r="H30629" s="676"/>
      <c r="I30629" s="676"/>
      <c r="J30629" s="770"/>
    </row>
    <row r="30630" spans="8:10" x14ac:dyDescent="0.35">
      <c r="H30630" s="676"/>
      <c r="I30630" s="676"/>
      <c r="J30630" s="770"/>
    </row>
    <row r="30631" spans="8:10" x14ac:dyDescent="0.35">
      <c r="H30631" s="676"/>
      <c r="I30631" s="676"/>
      <c r="J30631" s="770"/>
    </row>
    <row r="30632" spans="8:10" x14ac:dyDescent="0.35">
      <c r="H30632" s="676"/>
      <c r="I30632" s="676"/>
      <c r="J30632" s="770"/>
    </row>
    <row r="30633" spans="8:10" x14ac:dyDescent="0.35">
      <c r="H30633" s="676"/>
      <c r="I30633" s="676"/>
      <c r="J30633" s="770"/>
    </row>
    <row r="30634" spans="8:10" x14ac:dyDescent="0.35">
      <c r="H30634" s="676"/>
      <c r="I30634" s="676"/>
      <c r="J30634" s="770"/>
    </row>
    <row r="30635" spans="8:10" x14ac:dyDescent="0.35">
      <c r="H30635" s="676"/>
      <c r="I30635" s="676"/>
      <c r="J30635" s="770"/>
    </row>
    <row r="30636" spans="8:10" x14ac:dyDescent="0.35">
      <c r="H30636" s="676"/>
      <c r="I30636" s="676"/>
      <c r="J30636" s="770"/>
    </row>
    <row r="30637" spans="8:10" x14ac:dyDescent="0.35">
      <c r="H30637" s="676"/>
      <c r="I30637" s="676"/>
      <c r="J30637" s="770"/>
    </row>
    <row r="30638" spans="8:10" x14ac:dyDescent="0.35">
      <c r="H30638" s="676"/>
      <c r="I30638" s="676"/>
      <c r="J30638" s="770"/>
    </row>
    <row r="30639" spans="8:10" x14ac:dyDescent="0.35">
      <c r="H30639" s="676"/>
      <c r="I30639" s="676"/>
      <c r="J30639" s="770"/>
    </row>
    <row r="30640" spans="8:10" x14ac:dyDescent="0.35">
      <c r="H30640" s="676"/>
      <c r="I30640" s="676"/>
      <c r="J30640" s="770"/>
    </row>
    <row r="30641" spans="8:10" x14ac:dyDescent="0.35">
      <c r="H30641" s="676"/>
      <c r="I30641" s="676"/>
      <c r="J30641" s="770"/>
    </row>
    <row r="30642" spans="8:10" x14ac:dyDescent="0.35">
      <c r="H30642" s="676"/>
      <c r="I30642" s="676"/>
      <c r="J30642" s="770"/>
    </row>
    <row r="30643" spans="8:10" x14ac:dyDescent="0.35">
      <c r="H30643" s="676"/>
      <c r="I30643" s="676"/>
      <c r="J30643" s="770"/>
    </row>
    <row r="30644" spans="8:10" x14ac:dyDescent="0.35">
      <c r="H30644" s="676"/>
      <c r="I30644" s="676"/>
      <c r="J30644" s="770"/>
    </row>
    <row r="30645" spans="8:10" x14ac:dyDescent="0.35">
      <c r="H30645" s="676"/>
      <c r="I30645" s="676"/>
      <c r="J30645" s="770"/>
    </row>
    <row r="30646" spans="8:10" x14ac:dyDescent="0.35">
      <c r="H30646" s="676"/>
      <c r="I30646" s="676"/>
      <c r="J30646" s="770"/>
    </row>
    <row r="30647" spans="8:10" x14ac:dyDescent="0.35">
      <c r="H30647" s="676"/>
      <c r="I30647" s="676"/>
      <c r="J30647" s="770"/>
    </row>
    <row r="30648" spans="8:10" x14ac:dyDescent="0.35">
      <c r="H30648" s="676"/>
      <c r="I30648" s="676"/>
      <c r="J30648" s="770"/>
    </row>
    <row r="30649" spans="8:10" x14ac:dyDescent="0.35">
      <c r="H30649" s="676"/>
      <c r="I30649" s="676"/>
      <c r="J30649" s="770"/>
    </row>
    <row r="30650" spans="8:10" x14ac:dyDescent="0.35">
      <c r="H30650" s="676"/>
      <c r="I30650" s="676"/>
      <c r="J30650" s="770"/>
    </row>
    <row r="30651" spans="8:10" x14ac:dyDescent="0.35">
      <c r="H30651" s="676"/>
      <c r="I30651" s="676"/>
      <c r="J30651" s="770"/>
    </row>
    <row r="30652" spans="8:10" x14ac:dyDescent="0.35">
      <c r="H30652" s="676"/>
      <c r="I30652" s="676"/>
      <c r="J30652" s="770"/>
    </row>
    <row r="30653" spans="8:10" x14ac:dyDescent="0.35">
      <c r="H30653" s="676"/>
      <c r="I30653" s="676"/>
      <c r="J30653" s="770"/>
    </row>
    <row r="30654" spans="8:10" x14ac:dyDescent="0.35">
      <c r="H30654" s="676"/>
      <c r="I30654" s="676"/>
      <c r="J30654" s="770"/>
    </row>
    <row r="30655" spans="8:10" x14ac:dyDescent="0.35">
      <c r="H30655" s="676"/>
      <c r="I30655" s="676"/>
      <c r="J30655" s="770"/>
    </row>
    <row r="30656" spans="8:10" x14ac:dyDescent="0.35">
      <c r="H30656" s="676"/>
      <c r="I30656" s="676"/>
      <c r="J30656" s="770"/>
    </row>
    <row r="30657" spans="8:10" x14ac:dyDescent="0.35">
      <c r="H30657" s="676"/>
      <c r="I30657" s="676"/>
      <c r="J30657" s="770"/>
    </row>
    <row r="30658" spans="8:10" x14ac:dyDescent="0.35">
      <c r="H30658" s="676"/>
      <c r="I30658" s="676"/>
      <c r="J30658" s="770"/>
    </row>
    <row r="30659" spans="8:10" x14ac:dyDescent="0.35">
      <c r="H30659" s="676"/>
      <c r="I30659" s="676"/>
      <c r="J30659" s="770"/>
    </row>
    <row r="30660" spans="8:10" x14ac:dyDescent="0.35">
      <c r="H30660" s="676"/>
      <c r="I30660" s="676"/>
      <c r="J30660" s="770"/>
    </row>
    <row r="30661" spans="8:10" x14ac:dyDescent="0.35">
      <c r="H30661" s="676"/>
      <c r="I30661" s="676"/>
      <c r="J30661" s="770"/>
    </row>
    <row r="30662" spans="8:10" x14ac:dyDescent="0.35">
      <c r="H30662" s="676"/>
      <c r="I30662" s="676"/>
      <c r="J30662" s="770"/>
    </row>
    <row r="30663" spans="8:10" x14ac:dyDescent="0.35">
      <c r="H30663" s="676"/>
      <c r="I30663" s="676"/>
      <c r="J30663" s="770"/>
    </row>
    <row r="30664" spans="8:10" x14ac:dyDescent="0.35">
      <c r="H30664" s="676"/>
      <c r="I30664" s="676"/>
      <c r="J30664" s="770"/>
    </row>
    <row r="30665" spans="8:10" x14ac:dyDescent="0.35">
      <c r="H30665" s="676"/>
      <c r="I30665" s="676"/>
      <c r="J30665" s="770"/>
    </row>
    <row r="30666" spans="8:10" x14ac:dyDescent="0.35">
      <c r="H30666" s="676"/>
      <c r="I30666" s="676"/>
      <c r="J30666" s="770"/>
    </row>
    <row r="30667" spans="8:10" x14ac:dyDescent="0.35">
      <c r="H30667" s="676"/>
      <c r="I30667" s="676"/>
      <c r="J30667" s="770"/>
    </row>
    <row r="30668" spans="8:10" x14ac:dyDescent="0.35">
      <c r="H30668" s="676"/>
      <c r="I30668" s="676"/>
      <c r="J30668" s="770"/>
    </row>
    <row r="30669" spans="8:10" x14ac:dyDescent="0.35">
      <c r="H30669" s="676"/>
      <c r="I30669" s="676"/>
      <c r="J30669" s="770"/>
    </row>
    <row r="30670" spans="8:10" x14ac:dyDescent="0.35">
      <c r="H30670" s="676"/>
      <c r="I30670" s="676"/>
      <c r="J30670" s="770"/>
    </row>
    <row r="30671" spans="8:10" x14ac:dyDescent="0.35">
      <c r="H30671" s="676"/>
      <c r="I30671" s="676"/>
      <c r="J30671" s="770"/>
    </row>
    <row r="30672" spans="8:10" x14ac:dyDescent="0.35">
      <c r="H30672" s="676"/>
      <c r="I30672" s="676"/>
      <c r="J30672" s="770"/>
    </row>
    <row r="30673" spans="8:10" x14ac:dyDescent="0.35">
      <c r="H30673" s="676"/>
      <c r="I30673" s="676"/>
      <c r="J30673" s="770"/>
    </row>
    <row r="30674" spans="8:10" x14ac:dyDescent="0.35">
      <c r="H30674" s="676"/>
      <c r="I30674" s="676"/>
      <c r="J30674" s="770"/>
    </row>
    <row r="30675" spans="8:10" x14ac:dyDescent="0.35">
      <c r="H30675" s="676"/>
      <c r="I30675" s="676"/>
      <c r="J30675" s="770"/>
    </row>
    <row r="30676" spans="8:10" x14ac:dyDescent="0.35">
      <c r="H30676" s="676"/>
      <c r="I30676" s="676"/>
      <c r="J30676" s="770"/>
    </row>
    <row r="30677" spans="8:10" x14ac:dyDescent="0.35">
      <c r="H30677" s="676"/>
      <c r="I30677" s="676"/>
      <c r="J30677" s="770"/>
    </row>
    <row r="30678" spans="8:10" x14ac:dyDescent="0.35">
      <c r="H30678" s="676"/>
      <c r="I30678" s="676"/>
      <c r="J30678" s="770"/>
    </row>
    <row r="30679" spans="8:10" x14ac:dyDescent="0.35">
      <c r="H30679" s="676"/>
      <c r="I30679" s="676"/>
      <c r="J30679" s="770"/>
    </row>
    <row r="30680" spans="8:10" x14ac:dyDescent="0.35">
      <c r="H30680" s="676"/>
      <c r="I30680" s="676"/>
      <c r="J30680" s="770"/>
    </row>
    <row r="30681" spans="8:10" x14ac:dyDescent="0.35">
      <c r="H30681" s="676"/>
      <c r="I30681" s="676"/>
      <c r="J30681" s="770"/>
    </row>
    <row r="30682" spans="8:10" x14ac:dyDescent="0.35">
      <c r="H30682" s="676"/>
      <c r="I30682" s="676"/>
      <c r="J30682" s="770"/>
    </row>
    <row r="30683" spans="8:10" x14ac:dyDescent="0.35">
      <c r="H30683" s="676"/>
      <c r="I30683" s="676"/>
      <c r="J30683" s="770"/>
    </row>
    <row r="30684" spans="8:10" x14ac:dyDescent="0.35">
      <c r="H30684" s="676"/>
      <c r="I30684" s="676"/>
      <c r="J30684" s="770"/>
    </row>
    <row r="30685" spans="8:10" x14ac:dyDescent="0.35">
      <c r="H30685" s="676"/>
      <c r="I30685" s="676"/>
      <c r="J30685" s="770"/>
    </row>
    <row r="30686" spans="8:10" x14ac:dyDescent="0.35">
      <c r="H30686" s="676"/>
      <c r="I30686" s="676"/>
      <c r="J30686" s="770"/>
    </row>
    <row r="30687" spans="8:10" x14ac:dyDescent="0.35">
      <c r="H30687" s="676"/>
      <c r="I30687" s="676"/>
      <c r="J30687" s="770"/>
    </row>
    <row r="30688" spans="8:10" x14ac:dyDescent="0.35">
      <c r="H30688" s="676"/>
      <c r="I30688" s="676"/>
      <c r="J30688" s="770"/>
    </row>
    <row r="30689" spans="8:10" x14ac:dyDescent="0.35">
      <c r="H30689" s="676"/>
      <c r="I30689" s="676"/>
      <c r="J30689" s="770"/>
    </row>
    <row r="30690" spans="8:10" x14ac:dyDescent="0.35">
      <c r="H30690" s="676"/>
      <c r="I30690" s="676"/>
      <c r="J30690" s="770"/>
    </row>
    <row r="30691" spans="8:10" x14ac:dyDescent="0.35">
      <c r="H30691" s="676"/>
      <c r="I30691" s="676"/>
      <c r="J30691" s="770"/>
    </row>
    <row r="30692" spans="8:10" x14ac:dyDescent="0.35">
      <c r="H30692" s="676"/>
      <c r="I30692" s="676"/>
      <c r="J30692" s="770"/>
    </row>
    <row r="30693" spans="8:10" x14ac:dyDescent="0.35">
      <c r="H30693" s="676"/>
      <c r="I30693" s="676"/>
      <c r="J30693" s="770"/>
    </row>
    <row r="30694" spans="8:10" x14ac:dyDescent="0.35">
      <c r="H30694" s="676"/>
      <c r="I30694" s="676"/>
      <c r="J30694" s="770"/>
    </row>
    <row r="30695" spans="8:10" x14ac:dyDescent="0.35">
      <c r="H30695" s="676"/>
      <c r="I30695" s="676"/>
      <c r="J30695" s="770"/>
    </row>
    <row r="30696" spans="8:10" x14ac:dyDescent="0.35">
      <c r="H30696" s="676"/>
      <c r="I30696" s="676"/>
      <c r="J30696" s="770"/>
    </row>
    <row r="30697" spans="8:10" x14ac:dyDescent="0.35">
      <c r="H30697" s="676"/>
      <c r="I30697" s="676"/>
      <c r="J30697" s="770"/>
    </row>
    <row r="30698" spans="8:10" x14ac:dyDescent="0.35">
      <c r="H30698" s="676"/>
      <c r="I30698" s="676"/>
      <c r="J30698" s="770"/>
    </row>
    <row r="30699" spans="8:10" x14ac:dyDescent="0.35">
      <c r="H30699" s="676"/>
      <c r="I30699" s="676"/>
      <c r="J30699" s="770"/>
    </row>
    <row r="30700" spans="8:10" x14ac:dyDescent="0.35">
      <c r="H30700" s="676"/>
      <c r="I30700" s="676"/>
      <c r="J30700" s="770"/>
    </row>
    <row r="30701" spans="8:10" x14ac:dyDescent="0.35">
      <c r="H30701" s="676"/>
      <c r="I30701" s="676"/>
      <c r="J30701" s="770"/>
    </row>
    <row r="30702" spans="8:10" x14ac:dyDescent="0.35">
      <c r="H30702" s="676"/>
      <c r="I30702" s="676"/>
      <c r="J30702" s="770"/>
    </row>
    <row r="30703" spans="8:10" x14ac:dyDescent="0.35">
      <c r="H30703" s="676"/>
      <c r="I30703" s="676"/>
      <c r="J30703" s="770"/>
    </row>
    <row r="30704" spans="8:10" x14ac:dyDescent="0.35">
      <c r="H30704" s="676"/>
      <c r="I30704" s="676"/>
      <c r="J30704" s="770"/>
    </row>
    <row r="30705" spans="8:10" x14ac:dyDescent="0.35">
      <c r="H30705" s="676"/>
      <c r="I30705" s="676"/>
      <c r="J30705" s="770"/>
    </row>
    <row r="30706" spans="8:10" x14ac:dyDescent="0.35">
      <c r="H30706" s="676"/>
      <c r="I30706" s="676"/>
      <c r="J30706" s="770"/>
    </row>
    <row r="30707" spans="8:10" x14ac:dyDescent="0.35">
      <c r="H30707" s="676"/>
      <c r="I30707" s="676"/>
      <c r="J30707" s="770"/>
    </row>
    <row r="30708" spans="8:10" x14ac:dyDescent="0.35">
      <c r="H30708" s="676"/>
      <c r="I30708" s="676"/>
      <c r="J30708" s="770"/>
    </row>
    <row r="30709" spans="8:10" x14ac:dyDescent="0.35">
      <c r="H30709" s="676"/>
      <c r="I30709" s="676"/>
      <c r="J30709" s="770"/>
    </row>
    <row r="30710" spans="8:10" x14ac:dyDescent="0.35">
      <c r="H30710" s="676"/>
      <c r="I30710" s="676"/>
      <c r="J30710" s="770"/>
    </row>
    <row r="30711" spans="8:10" x14ac:dyDescent="0.35">
      <c r="H30711" s="676"/>
      <c r="I30711" s="676"/>
      <c r="J30711" s="770"/>
    </row>
    <row r="30712" spans="8:10" x14ac:dyDescent="0.35">
      <c r="H30712" s="676"/>
      <c r="I30712" s="676"/>
      <c r="J30712" s="770"/>
    </row>
    <row r="30713" spans="8:10" x14ac:dyDescent="0.35">
      <c r="H30713" s="676"/>
      <c r="I30713" s="676"/>
      <c r="J30713" s="770"/>
    </row>
    <row r="30714" spans="8:10" x14ac:dyDescent="0.35">
      <c r="H30714" s="676"/>
      <c r="I30714" s="676"/>
      <c r="J30714" s="770"/>
    </row>
    <row r="30715" spans="8:10" x14ac:dyDescent="0.35">
      <c r="H30715" s="676"/>
      <c r="I30715" s="676"/>
      <c r="J30715" s="770"/>
    </row>
    <row r="30716" spans="8:10" x14ac:dyDescent="0.35">
      <c r="H30716" s="676"/>
      <c r="I30716" s="676"/>
      <c r="J30716" s="770"/>
    </row>
    <row r="30717" spans="8:10" x14ac:dyDescent="0.35">
      <c r="H30717" s="676"/>
      <c r="I30717" s="676"/>
      <c r="J30717" s="770"/>
    </row>
    <row r="30718" spans="8:10" x14ac:dyDescent="0.35">
      <c r="H30718" s="676"/>
      <c r="I30718" s="676"/>
      <c r="J30718" s="770"/>
    </row>
    <row r="30719" spans="8:10" x14ac:dyDescent="0.35">
      <c r="H30719" s="676"/>
      <c r="I30719" s="676"/>
      <c r="J30719" s="770"/>
    </row>
    <row r="30720" spans="8:10" x14ac:dyDescent="0.35">
      <c r="H30720" s="676"/>
      <c r="I30720" s="676"/>
      <c r="J30720" s="770"/>
    </row>
    <row r="30721" spans="8:10" x14ac:dyDescent="0.35">
      <c r="H30721" s="676"/>
      <c r="I30721" s="676"/>
      <c r="J30721" s="770"/>
    </row>
    <row r="30722" spans="8:10" x14ac:dyDescent="0.35">
      <c r="H30722" s="676"/>
      <c r="I30722" s="676"/>
      <c r="J30722" s="770"/>
    </row>
    <row r="30723" spans="8:10" x14ac:dyDescent="0.35">
      <c r="H30723" s="676"/>
      <c r="I30723" s="676"/>
      <c r="J30723" s="770"/>
    </row>
    <row r="30724" spans="8:10" x14ac:dyDescent="0.35">
      <c r="H30724" s="676"/>
      <c r="I30724" s="676"/>
      <c r="J30724" s="770"/>
    </row>
    <row r="30725" spans="8:10" x14ac:dyDescent="0.35">
      <c r="H30725" s="676"/>
      <c r="I30725" s="676"/>
      <c r="J30725" s="770"/>
    </row>
    <row r="30726" spans="8:10" x14ac:dyDescent="0.35">
      <c r="H30726" s="676"/>
      <c r="I30726" s="676"/>
      <c r="J30726" s="770"/>
    </row>
    <row r="30727" spans="8:10" x14ac:dyDescent="0.35">
      <c r="H30727" s="676"/>
      <c r="I30727" s="676"/>
      <c r="J30727" s="770"/>
    </row>
    <row r="30728" spans="8:10" x14ac:dyDescent="0.35">
      <c r="H30728" s="676"/>
      <c r="I30728" s="676"/>
      <c r="J30728" s="770"/>
    </row>
    <row r="30729" spans="8:10" x14ac:dyDescent="0.35">
      <c r="H30729" s="676"/>
      <c r="I30729" s="676"/>
      <c r="J30729" s="770"/>
    </row>
    <row r="30730" spans="8:10" x14ac:dyDescent="0.35">
      <c r="H30730" s="676"/>
      <c r="I30730" s="676"/>
      <c r="J30730" s="770"/>
    </row>
    <row r="30731" spans="8:10" x14ac:dyDescent="0.35">
      <c r="H30731" s="676"/>
      <c r="I30731" s="676"/>
      <c r="J30731" s="770"/>
    </row>
    <row r="30732" spans="8:10" x14ac:dyDescent="0.35">
      <c r="H30732" s="676"/>
      <c r="I30732" s="676"/>
      <c r="J30732" s="770"/>
    </row>
    <row r="30733" spans="8:10" x14ac:dyDescent="0.35">
      <c r="H30733" s="676"/>
      <c r="I30733" s="676"/>
      <c r="J30733" s="770"/>
    </row>
    <row r="30734" spans="8:10" x14ac:dyDescent="0.35">
      <c r="H30734" s="676"/>
      <c r="I30734" s="676"/>
      <c r="J30734" s="770"/>
    </row>
    <row r="30735" spans="8:10" x14ac:dyDescent="0.35">
      <c r="H30735" s="676"/>
      <c r="I30735" s="676"/>
      <c r="J30735" s="770"/>
    </row>
    <row r="30736" spans="8:10" x14ac:dyDescent="0.35">
      <c r="H30736" s="676"/>
      <c r="I30736" s="676"/>
      <c r="J30736" s="770"/>
    </row>
    <row r="30737" spans="8:10" x14ac:dyDescent="0.35">
      <c r="H30737" s="676"/>
      <c r="I30737" s="676"/>
      <c r="J30737" s="770"/>
    </row>
    <row r="30738" spans="8:10" x14ac:dyDescent="0.35">
      <c r="H30738" s="676"/>
      <c r="I30738" s="676"/>
      <c r="J30738" s="770"/>
    </row>
    <row r="30739" spans="8:10" x14ac:dyDescent="0.35">
      <c r="H30739" s="676"/>
      <c r="I30739" s="676"/>
      <c r="J30739" s="770"/>
    </row>
    <row r="30740" spans="8:10" x14ac:dyDescent="0.35">
      <c r="H30740" s="676"/>
      <c r="I30740" s="676"/>
      <c r="J30740" s="770"/>
    </row>
    <row r="30741" spans="8:10" x14ac:dyDescent="0.35">
      <c r="H30741" s="676"/>
      <c r="I30741" s="676"/>
      <c r="J30741" s="770"/>
    </row>
    <row r="30742" spans="8:10" x14ac:dyDescent="0.35">
      <c r="H30742" s="676"/>
      <c r="I30742" s="676"/>
      <c r="J30742" s="770"/>
    </row>
    <row r="30743" spans="8:10" x14ac:dyDescent="0.35">
      <c r="H30743" s="676"/>
      <c r="I30743" s="676"/>
      <c r="J30743" s="770"/>
    </row>
    <row r="30744" spans="8:10" x14ac:dyDescent="0.35">
      <c r="H30744" s="676"/>
      <c r="I30744" s="676"/>
      <c r="J30744" s="770"/>
    </row>
    <row r="30745" spans="8:10" x14ac:dyDescent="0.35">
      <c r="H30745" s="676"/>
      <c r="I30745" s="676"/>
      <c r="J30745" s="770"/>
    </row>
    <row r="30746" spans="8:10" x14ac:dyDescent="0.35">
      <c r="H30746" s="676"/>
      <c r="I30746" s="676"/>
      <c r="J30746" s="770"/>
    </row>
    <row r="30747" spans="8:10" x14ac:dyDescent="0.35">
      <c r="H30747" s="676"/>
      <c r="I30747" s="676"/>
      <c r="J30747" s="770"/>
    </row>
    <row r="30748" spans="8:10" x14ac:dyDescent="0.35">
      <c r="H30748" s="676"/>
      <c r="I30748" s="676"/>
      <c r="J30748" s="770"/>
    </row>
    <row r="30749" spans="8:10" x14ac:dyDescent="0.35">
      <c r="H30749" s="676"/>
      <c r="I30749" s="676"/>
      <c r="J30749" s="770"/>
    </row>
    <row r="30750" spans="8:10" x14ac:dyDescent="0.35">
      <c r="H30750" s="676"/>
      <c r="I30750" s="676"/>
      <c r="J30750" s="770"/>
    </row>
    <row r="30751" spans="8:10" x14ac:dyDescent="0.35">
      <c r="H30751" s="676"/>
      <c r="I30751" s="676"/>
      <c r="J30751" s="770"/>
    </row>
    <row r="30752" spans="8:10" x14ac:dyDescent="0.35">
      <c r="H30752" s="676"/>
      <c r="I30752" s="676"/>
      <c r="J30752" s="770"/>
    </row>
    <row r="30753" spans="8:10" x14ac:dyDescent="0.35">
      <c r="H30753" s="676"/>
      <c r="I30753" s="676"/>
      <c r="J30753" s="770"/>
    </row>
    <row r="30754" spans="8:10" x14ac:dyDescent="0.35">
      <c r="H30754" s="676"/>
      <c r="I30754" s="676"/>
      <c r="J30754" s="770"/>
    </row>
    <row r="30755" spans="8:10" x14ac:dyDescent="0.35">
      <c r="H30755" s="676"/>
      <c r="I30755" s="676"/>
      <c r="J30755" s="770"/>
    </row>
    <row r="30756" spans="8:10" x14ac:dyDescent="0.35">
      <c r="H30756" s="676"/>
      <c r="I30756" s="676"/>
      <c r="J30756" s="770"/>
    </row>
    <row r="30757" spans="8:10" x14ac:dyDescent="0.35">
      <c r="H30757" s="676"/>
      <c r="I30757" s="676"/>
      <c r="J30757" s="770"/>
    </row>
    <row r="30758" spans="8:10" x14ac:dyDescent="0.35">
      <c r="H30758" s="676"/>
      <c r="I30758" s="676"/>
      <c r="J30758" s="770"/>
    </row>
    <row r="30759" spans="8:10" x14ac:dyDescent="0.35">
      <c r="H30759" s="676"/>
      <c r="I30759" s="676"/>
      <c r="J30759" s="770"/>
    </row>
    <row r="30760" spans="8:10" x14ac:dyDescent="0.35">
      <c r="H30760" s="676"/>
      <c r="I30760" s="676"/>
      <c r="J30760" s="770"/>
    </row>
    <row r="30761" spans="8:10" x14ac:dyDescent="0.35">
      <c r="H30761" s="676"/>
      <c r="I30761" s="676"/>
      <c r="J30761" s="770"/>
    </row>
    <row r="30762" spans="8:10" x14ac:dyDescent="0.35">
      <c r="H30762" s="676"/>
      <c r="I30762" s="676"/>
      <c r="J30762" s="770"/>
    </row>
    <row r="30763" spans="8:10" x14ac:dyDescent="0.35">
      <c r="H30763" s="676"/>
      <c r="I30763" s="676"/>
      <c r="J30763" s="770"/>
    </row>
    <row r="30764" spans="8:10" x14ac:dyDescent="0.35">
      <c r="H30764" s="676"/>
      <c r="I30764" s="676"/>
      <c r="J30764" s="770"/>
    </row>
    <row r="30765" spans="8:10" x14ac:dyDescent="0.35">
      <c r="H30765" s="676"/>
      <c r="I30765" s="676"/>
      <c r="J30765" s="770"/>
    </row>
    <row r="30766" spans="8:10" x14ac:dyDescent="0.35">
      <c r="H30766" s="676"/>
      <c r="I30766" s="676"/>
      <c r="J30766" s="770"/>
    </row>
    <row r="30767" spans="8:10" x14ac:dyDescent="0.35">
      <c r="H30767" s="676"/>
      <c r="I30767" s="676"/>
      <c r="J30767" s="770"/>
    </row>
    <row r="30768" spans="8:10" x14ac:dyDescent="0.35">
      <c r="H30768" s="676"/>
      <c r="I30768" s="676"/>
      <c r="J30768" s="770"/>
    </row>
    <row r="30769" spans="8:10" x14ac:dyDescent="0.35">
      <c r="H30769" s="676"/>
      <c r="I30769" s="676"/>
      <c r="J30769" s="770"/>
    </row>
    <row r="30770" spans="8:10" x14ac:dyDescent="0.35">
      <c r="H30770" s="676"/>
      <c r="I30770" s="676"/>
      <c r="J30770" s="770"/>
    </row>
    <row r="30771" spans="8:10" x14ac:dyDescent="0.35">
      <c r="H30771" s="676"/>
      <c r="I30771" s="676"/>
      <c r="J30771" s="770"/>
    </row>
    <row r="30772" spans="8:10" x14ac:dyDescent="0.35">
      <c r="H30772" s="676"/>
      <c r="I30772" s="676"/>
      <c r="J30772" s="770"/>
    </row>
    <row r="30773" spans="8:10" x14ac:dyDescent="0.35">
      <c r="H30773" s="676"/>
      <c r="I30773" s="676"/>
      <c r="J30773" s="770"/>
    </row>
    <row r="30774" spans="8:10" x14ac:dyDescent="0.35">
      <c r="H30774" s="676"/>
      <c r="I30774" s="676"/>
      <c r="J30774" s="770"/>
    </row>
    <row r="30775" spans="8:10" x14ac:dyDescent="0.35">
      <c r="H30775" s="676"/>
      <c r="I30775" s="676"/>
      <c r="J30775" s="770"/>
    </row>
    <row r="30776" spans="8:10" x14ac:dyDescent="0.35">
      <c r="H30776" s="676"/>
      <c r="I30776" s="676"/>
      <c r="J30776" s="770"/>
    </row>
    <row r="30777" spans="8:10" x14ac:dyDescent="0.35">
      <c r="H30777" s="676"/>
      <c r="I30777" s="676"/>
      <c r="J30777" s="770"/>
    </row>
    <row r="30778" spans="8:10" x14ac:dyDescent="0.35">
      <c r="H30778" s="676"/>
      <c r="I30778" s="676"/>
      <c r="J30778" s="770"/>
    </row>
    <row r="30779" spans="8:10" x14ac:dyDescent="0.35">
      <c r="H30779" s="676"/>
      <c r="I30779" s="676"/>
      <c r="J30779" s="770"/>
    </row>
    <row r="30780" spans="8:10" x14ac:dyDescent="0.35">
      <c r="H30780" s="676"/>
      <c r="I30780" s="676"/>
      <c r="J30780" s="770"/>
    </row>
    <row r="30781" spans="8:10" x14ac:dyDescent="0.35">
      <c r="H30781" s="676"/>
      <c r="I30781" s="676"/>
      <c r="J30781" s="770"/>
    </row>
    <row r="30782" spans="8:10" x14ac:dyDescent="0.35">
      <c r="H30782" s="676"/>
      <c r="I30782" s="676"/>
      <c r="J30782" s="770"/>
    </row>
    <row r="30783" spans="8:10" x14ac:dyDescent="0.35">
      <c r="H30783" s="676"/>
      <c r="I30783" s="676"/>
      <c r="J30783" s="770"/>
    </row>
    <row r="30784" spans="8:10" x14ac:dyDescent="0.35">
      <c r="H30784" s="676"/>
      <c r="I30784" s="676"/>
      <c r="J30784" s="770"/>
    </row>
    <row r="30785" spans="8:10" x14ac:dyDescent="0.35">
      <c r="H30785" s="676"/>
      <c r="I30785" s="676"/>
      <c r="J30785" s="770"/>
    </row>
    <row r="30786" spans="8:10" x14ac:dyDescent="0.35">
      <c r="H30786" s="676"/>
      <c r="I30786" s="676"/>
      <c r="J30786" s="770"/>
    </row>
    <row r="30787" spans="8:10" x14ac:dyDescent="0.35">
      <c r="H30787" s="676"/>
      <c r="I30787" s="676"/>
      <c r="J30787" s="770"/>
    </row>
    <row r="30788" spans="8:10" x14ac:dyDescent="0.35">
      <c r="H30788" s="676"/>
      <c r="I30788" s="676"/>
      <c r="J30788" s="770"/>
    </row>
    <row r="30789" spans="8:10" x14ac:dyDescent="0.35">
      <c r="H30789" s="676"/>
      <c r="I30789" s="676"/>
      <c r="J30789" s="770"/>
    </row>
    <row r="30790" spans="8:10" x14ac:dyDescent="0.35">
      <c r="H30790" s="676"/>
      <c r="I30790" s="676"/>
      <c r="J30790" s="770"/>
    </row>
    <row r="30791" spans="8:10" x14ac:dyDescent="0.35">
      <c r="H30791" s="676"/>
      <c r="I30791" s="676"/>
      <c r="J30791" s="770"/>
    </row>
    <row r="30792" spans="8:10" x14ac:dyDescent="0.35">
      <c r="H30792" s="676"/>
      <c r="I30792" s="676"/>
      <c r="J30792" s="770"/>
    </row>
    <row r="30793" spans="8:10" x14ac:dyDescent="0.35">
      <c r="H30793" s="676"/>
      <c r="I30793" s="676"/>
      <c r="J30793" s="770"/>
    </row>
    <row r="30794" spans="8:10" x14ac:dyDescent="0.35">
      <c r="H30794" s="676"/>
      <c r="I30794" s="676"/>
      <c r="J30794" s="770"/>
    </row>
    <row r="30795" spans="8:10" x14ac:dyDescent="0.35">
      <c r="H30795" s="676"/>
      <c r="I30795" s="676"/>
      <c r="J30795" s="770"/>
    </row>
    <row r="30796" spans="8:10" x14ac:dyDescent="0.35">
      <c r="H30796" s="676"/>
      <c r="I30796" s="676"/>
      <c r="J30796" s="770"/>
    </row>
    <row r="30797" spans="8:10" x14ac:dyDescent="0.35">
      <c r="H30797" s="676"/>
      <c r="I30797" s="676"/>
      <c r="J30797" s="770"/>
    </row>
    <row r="30798" spans="8:10" x14ac:dyDescent="0.35">
      <c r="H30798" s="676"/>
      <c r="I30798" s="676"/>
      <c r="J30798" s="770"/>
    </row>
    <row r="30799" spans="8:10" x14ac:dyDescent="0.35">
      <c r="H30799" s="676"/>
      <c r="I30799" s="676"/>
      <c r="J30799" s="770"/>
    </row>
    <row r="30800" spans="8:10" x14ac:dyDescent="0.35">
      <c r="H30800" s="676"/>
      <c r="I30800" s="676"/>
      <c r="J30800" s="770"/>
    </row>
    <row r="30801" spans="8:10" x14ac:dyDescent="0.35">
      <c r="H30801" s="676"/>
      <c r="I30801" s="676"/>
      <c r="J30801" s="770"/>
    </row>
    <row r="30802" spans="8:10" x14ac:dyDescent="0.35">
      <c r="H30802" s="676"/>
      <c r="I30802" s="676"/>
      <c r="J30802" s="770"/>
    </row>
    <row r="30803" spans="8:10" x14ac:dyDescent="0.35">
      <c r="H30803" s="676"/>
      <c r="I30803" s="676"/>
      <c r="J30803" s="770"/>
    </row>
    <row r="30804" spans="8:10" x14ac:dyDescent="0.35">
      <c r="H30804" s="676"/>
      <c r="I30804" s="676"/>
      <c r="J30804" s="770"/>
    </row>
    <row r="30805" spans="8:10" x14ac:dyDescent="0.35">
      <c r="H30805" s="676"/>
      <c r="I30805" s="676"/>
      <c r="J30805" s="770"/>
    </row>
    <row r="30806" spans="8:10" x14ac:dyDescent="0.35">
      <c r="H30806" s="676"/>
      <c r="I30806" s="676"/>
      <c r="J30806" s="770"/>
    </row>
    <row r="30807" spans="8:10" x14ac:dyDescent="0.35">
      <c r="H30807" s="676"/>
      <c r="I30807" s="676"/>
      <c r="J30807" s="770"/>
    </row>
    <row r="30808" spans="8:10" x14ac:dyDescent="0.35">
      <c r="H30808" s="676"/>
      <c r="I30808" s="676"/>
      <c r="J30808" s="770"/>
    </row>
    <row r="30809" spans="8:10" x14ac:dyDescent="0.35">
      <c r="H30809" s="676"/>
      <c r="I30809" s="676"/>
      <c r="J30809" s="770"/>
    </row>
    <row r="30810" spans="8:10" x14ac:dyDescent="0.35">
      <c r="H30810" s="676"/>
      <c r="I30810" s="676"/>
      <c r="J30810" s="770"/>
    </row>
    <row r="30811" spans="8:10" x14ac:dyDescent="0.35">
      <c r="H30811" s="676"/>
      <c r="I30811" s="676"/>
      <c r="J30811" s="770"/>
    </row>
    <row r="30812" spans="8:10" x14ac:dyDescent="0.35">
      <c r="H30812" s="676"/>
      <c r="I30812" s="676"/>
      <c r="J30812" s="770"/>
    </row>
    <row r="30813" spans="8:10" x14ac:dyDescent="0.35">
      <c r="H30813" s="676"/>
      <c r="I30813" s="676"/>
      <c r="J30813" s="770"/>
    </row>
    <row r="30814" spans="8:10" x14ac:dyDescent="0.35">
      <c r="H30814" s="676"/>
      <c r="I30814" s="676"/>
      <c r="J30814" s="770"/>
    </row>
    <row r="30815" spans="8:10" x14ac:dyDescent="0.35">
      <c r="H30815" s="676"/>
      <c r="I30815" s="676"/>
      <c r="J30815" s="770"/>
    </row>
    <row r="30816" spans="8:10" x14ac:dyDescent="0.35">
      <c r="H30816" s="676"/>
      <c r="I30816" s="676"/>
      <c r="J30816" s="770"/>
    </row>
    <row r="30817" spans="8:10" x14ac:dyDescent="0.35">
      <c r="H30817" s="676"/>
      <c r="I30817" s="676"/>
      <c r="J30817" s="770"/>
    </row>
    <row r="30818" spans="8:10" x14ac:dyDescent="0.35">
      <c r="H30818" s="676"/>
      <c r="I30818" s="676"/>
      <c r="J30818" s="770"/>
    </row>
    <row r="30819" spans="8:10" x14ac:dyDescent="0.35">
      <c r="H30819" s="676"/>
      <c r="I30819" s="676"/>
      <c r="J30819" s="770"/>
    </row>
    <row r="30820" spans="8:10" x14ac:dyDescent="0.35">
      <c r="H30820" s="676"/>
      <c r="I30820" s="676"/>
      <c r="J30820" s="770"/>
    </row>
    <row r="30821" spans="8:10" x14ac:dyDescent="0.35">
      <c r="H30821" s="676"/>
      <c r="I30821" s="676"/>
      <c r="J30821" s="770"/>
    </row>
    <row r="30822" spans="8:10" x14ac:dyDescent="0.35">
      <c r="H30822" s="676"/>
      <c r="I30822" s="676"/>
      <c r="J30822" s="770"/>
    </row>
    <row r="30823" spans="8:10" x14ac:dyDescent="0.35">
      <c r="H30823" s="676"/>
      <c r="I30823" s="676"/>
      <c r="J30823" s="770"/>
    </row>
    <row r="30824" spans="8:10" x14ac:dyDescent="0.35">
      <c r="H30824" s="676"/>
      <c r="I30824" s="676"/>
      <c r="J30824" s="770"/>
    </row>
    <row r="30825" spans="8:10" x14ac:dyDescent="0.35">
      <c r="H30825" s="676"/>
      <c r="I30825" s="676"/>
      <c r="J30825" s="770"/>
    </row>
    <row r="30826" spans="8:10" x14ac:dyDescent="0.35">
      <c r="H30826" s="676"/>
      <c r="I30826" s="676"/>
      <c r="J30826" s="770"/>
    </row>
    <row r="30827" spans="8:10" x14ac:dyDescent="0.35">
      <c r="H30827" s="676"/>
      <c r="I30827" s="676"/>
      <c r="J30827" s="770"/>
    </row>
    <row r="30828" spans="8:10" x14ac:dyDescent="0.35">
      <c r="H30828" s="676"/>
      <c r="I30828" s="676"/>
      <c r="J30828" s="770"/>
    </row>
    <row r="30829" spans="8:10" x14ac:dyDescent="0.35">
      <c r="H30829" s="676"/>
      <c r="I30829" s="676"/>
      <c r="J30829" s="770"/>
    </row>
    <row r="30830" spans="8:10" x14ac:dyDescent="0.35">
      <c r="H30830" s="676"/>
      <c r="I30830" s="676"/>
      <c r="J30830" s="770"/>
    </row>
    <row r="30831" spans="8:10" x14ac:dyDescent="0.35">
      <c r="H30831" s="676"/>
      <c r="I30831" s="676"/>
      <c r="J30831" s="770"/>
    </row>
    <row r="30832" spans="8:10" x14ac:dyDescent="0.35">
      <c r="H30832" s="676"/>
      <c r="I30832" s="676"/>
      <c r="J30832" s="770"/>
    </row>
    <row r="30833" spans="8:10" x14ac:dyDescent="0.35">
      <c r="H30833" s="676"/>
      <c r="I30833" s="676"/>
      <c r="J30833" s="770"/>
    </row>
    <row r="30834" spans="8:10" x14ac:dyDescent="0.35">
      <c r="H30834" s="676"/>
      <c r="I30834" s="676"/>
      <c r="J30834" s="770"/>
    </row>
    <row r="30835" spans="8:10" x14ac:dyDescent="0.35">
      <c r="H30835" s="676"/>
      <c r="I30835" s="676"/>
      <c r="J30835" s="770"/>
    </row>
    <row r="30836" spans="8:10" x14ac:dyDescent="0.35">
      <c r="H30836" s="676"/>
      <c r="I30836" s="676"/>
      <c r="J30836" s="770"/>
    </row>
    <row r="30837" spans="8:10" x14ac:dyDescent="0.35">
      <c r="H30837" s="676"/>
      <c r="I30837" s="676"/>
      <c r="J30837" s="770"/>
    </row>
    <row r="30838" spans="8:10" x14ac:dyDescent="0.35">
      <c r="H30838" s="676"/>
      <c r="I30838" s="676"/>
      <c r="J30838" s="770"/>
    </row>
    <row r="30839" spans="8:10" x14ac:dyDescent="0.35">
      <c r="H30839" s="676"/>
      <c r="I30839" s="676"/>
      <c r="J30839" s="770"/>
    </row>
    <row r="30840" spans="8:10" x14ac:dyDescent="0.35">
      <c r="H30840" s="676"/>
      <c r="I30840" s="676"/>
      <c r="J30840" s="770"/>
    </row>
    <row r="30841" spans="8:10" x14ac:dyDescent="0.35">
      <c r="H30841" s="676"/>
      <c r="I30841" s="676"/>
      <c r="J30841" s="770"/>
    </row>
    <row r="30842" spans="8:10" x14ac:dyDescent="0.35">
      <c r="H30842" s="676"/>
      <c r="I30842" s="676"/>
      <c r="J30842" s="770"/>
    </row>
    <row r="30843" spans="8:10" x14ac:dyDescent="0.35">
      <c r="H30843" s="676"/>
      <c r="I30843" s="676"/>
      <c r="J30843" s="770"/>
    </row>
    <row r="30844" spans="8:10" x14ac:dyDescent="0.35">
      <c r="H30844" s="676"/>
      <c r="I30844" s="676"/>
      <c r="J30844" s="770"/>
    </row>
    <row r="30845" spans="8:10" x14ac:dyDescent="0.35">
      <c r="H30845" s="676"/>
      <c r="I30845" s="676"/>
      <c r="J30845" s="770"/>
    </row>
    <row r="30846" spans="8:10" x14ac:dyDescent="0.35">
      <c r="H30846" s="676"/>
      <c r="I30846" s="676"/>
      <c r="J30846" s="770"/>
    </row>
    <row r="30847" spans="8:10" x14ac:dyDescent="0.35">
      <c r="H30847" s="676"/>
      <c r="I30847" s="676"/>
      <c r="J30847" s="770"/>
    </row>
    <row r="30848" spans="8:10" x14ac:dyDescent="0.35">
      <c r="H30848" s="676"/>
      <c r="I30848" s="676"/>
      <c r="J30848" s="770"/>
    </row>
    <row r="30849" spans="8:10" x14ac:dyDescent="0.35">
      <c r="H30849" s="676"/>
      <c r="I30849" s="676"/>
      <c r="J30849" s="770"/>
    </row>
    <row r="30850" spans="8:10" x14ac:dyDescent="0.35">
      <c r="H30850" s="676"/>
      <c r="I30850" s="676"/>
      <c r="J30850" s="770"/>
    </row>
    <row r="30851" spans="8:10" x14ac:dyDescent="0.35">
      <c r="H30851" s="676"/>
      <c r="I30851" s="676"/>
      <c r="J30851" s="770"/>
    </row>
    <row r="30852" spans="8:10" x14ac:dyDescent="0.35">
      <c r="H30852" s="676"/>
      <c r="I30852" s="676"/>
      <c r="J30852" s="770"/>
    </row>
    <row r="30853" spans="8:10" x14ac:dyDescent="0.35">
      <c r="H30853" s="676"/>
      <c r="I30853" s="676"/>
      <c r="J30853" s="770"/>
    </row>
    <row r="30854" spans="8:10" x14ac:dyDescent="0.35">
      <c r="H30854" s="676"/>
      <c r="I30854" s="676"/>
      <c r="J30854" s="770"/>
    </row>
    <row r="30855" spans="8:10" x14ac:dyDescent="0.35">
      <c r="H30855" s="676"/>
      <c r="I30855" s="676"/>
      <c r="J30855" s="770"/>
    </row>
    <row r="30856" spans="8:10" x14ac:dyDescent="0.35">
      <c r="H30856" s="676"/>
      <c r="I30856" s="676"/>
      <c r="J30856" s="770"/>
    </row>
    <row r="30857" spans="8:10" x14ac:dyDescent="0.35">
      <c r="H30857" s="676"/>
      <c r="I30857" s="676"/>
      <c r="J30857" s="770"/>
    </row>
    <row r="30858" spans="8:10" x14ac:dyDescent="0.35">
      <c r="H30858" s="676"/>
      <c r="I30858" s="676"/>
      <c r="J30858" s="770"/>
    </row>
    <row r="30859" spans="8:10" x14ac:dyDescent="0.35">
      <c r="H30859" s="676"/>
      <c r="I30859" s="676"/>
      <c r="J30859" s="770"/>
    </row>
    <row r="30860" spans="8:10" x14ac:dyDescent="0.35">
      <c r="H30860" s="676"/>
      <c r="I30860" s="676"/>
      <c r="J30860" s="770"/>
    </row>
    <row r="30861" spans="8:10" x14ac:dyDescent="0.35">
      <c r="H30861" s="676"/>
      <c r="I30861" s="676"/>
      <c r="J30861" s="770"/>
    </row>
    <row r="30862" spans="8:10" x14ac:dyDescent="0.35">
      <c r="H30862" s="676"/>
      <c r="I30862" s="676"/>
      <c r="J30862" s="770"/>
    </row>
    <row r="30863" spans="8:10" x14ac:dyDescent="0.35">
      <c r="H30863" s="676"/>
      <c r="I30863" s="676"/>
      <c r="J30863" s="770"/>
    </row>
    <row r="30864" spans="8:10" x14ac:dyDescent="0.35">
      <c r="H30864" s="676"/>
      <c r="I30864" s="676"/>
      <c r="J30864" s="770"/>
    </row>
    <row r="30865" spans="8:10" x14ac:dyDescent="0.35">
      <c r="H30865" s="676"/>
      <c r="I30865" s="676"/>
      <c r="J30865" s="770"/>
    </row>
    <row r="30866" spans="8:10" x14ac:dyDescent="0.35">
      <c r="H30866" s="676"/>
      <c r="I30866" s="676"/>
      <c r="J30866" s="770"/>
    </row>
    <row r="30867" spans="8:10" x14ac:dyDescent="0.35">
      <c r="H30867" s="676"/>
      <c r="I30867" s="676"/>
      <c r="J30867" s="770"/>
    </row>
    <row r="30868" spans="8:10" x14ac:dyDescent="0.35">
      <c r="H30868" s="676"/>
      <c r="I30868" s="676"/>
      <c r="J30868" s="770"/>
    </row>
    <row r="30869" spans="8:10" x14ac:dyDescent="0.35">
      <c r="H30869" s="676"/>
      <c r="I30869" s="676"/>
      <c r="J30869" s="770"/>
    </row>
    <row r="30870" spans="8:10" x14ac:dyDescent="0.35">
      <c r="H30870" s="676"/>
      <c r="I30870" s="676"/>
      <c r="J30870" s="770"/>
    </row>
    <row r="30871" spans="8:10" x14ac:dyDescent="0.35">
      <c r="H30871" s="676"/>
      <c r="I30871" s="676"/>
      <c r="J30871" s="770"/>
    </row>
    <row r="30872" spans="8:10" x14ac:dyDescent="0.35">
      <c r="H30872" s="676"/>
      <c r="I30872" s="676"/>
      <c r="J30872" s="770"/>
    </row>
    <row r="30873" spans="8:10" x14ac:dyDescent="0.35">
      <c r="H30873" s="676"/>
      <c r="I30873" s="676"/>
      <c r="J30873" s="770"/>
    </row>
    <row r="30874" spans="8:10" x14ac:dyDescent="0.35">
      <c r="H30874" s="676"/>
      <c r="I30874" s="676"/>
      <c r="J30874" s="770"/>
    </row>
    <row r="30875" spans="8:10" x14ac:dyDescent="0.35">
      <c r="H30875" s="676"/>
      <c r="I30875" s="676"/>
      <c r="J30875" s="770"/>
    </row>
    <row r="30876" spans="8:10" x14ac:dyDescent="0.35">
      <c r="H30876" s="676"/>
      <c r="I30876" s="676"/>
      <c r="J30876" s="770"/>
    </row>
    <row r="30877" spans="8:10" x14ac:dyDescent="0.35">
      <c r="H30877" s="676"/>
      <c r="I30877" s="676"/>
      <c r="J30877" s="770"/>
    </row>
    <row r="30878" spans="8:10" x14ac:dyDescent="0.35">
      <c r="H30878" s="676"/>
      <c r="I30878" s="676"/>
      <c r="J30878" s="770"/>
    </row>
    <row r="30879" spans="8:10" x14ac:dyDescent="0.35">
      <c r="H30879" s="676"/>
      <c r="I30879" s="676"/>
      <c r="J30879" s="770"/>
    </row>
    <row r="30880" spans="8:10" x14ac:dyDescent="0.35">
      <c r="H30880" s="676"/>
      <c r="I30880" s="676"/>
      <c r="J30880" s="770"/>
    </row>
    <row r="30881" spans="8:10" x14ac:dyDescent="0.35">
      <c r="H30881" s="676"/>
      <c r="I30881" s="676"/>
      <c r="J30881" s="770"/>
    </row>
    <row r="30882" spans="8:10" x14ac:dyDescent="0.35">
      <c r="H30882" s="676"/>
      <c r="I30882" s="676"/>
      <c r="J30882" s="770"/>
    </row>
    <row r="30883" spans="8:10" x14ac:dyDescent="0.35">
      <c r="H30883" s="676"/>
      <c r="I30883" s="676"/>
      <c r="J30883" s="770"/>
    </row>
    <row r="30884" spans="8:10" x14ac:dyDescent="0.35">
      <c r="H30884" s="676"/>
      <c r="I30884" s="676"/>
      <c r="J30884" s="770"/>
    </row>
    <row r="30885" spans="8:10" x14ac:dyDescent="0.35">
      <c r="H30885" s="676"/>
      <c r="I30885" s="676"/>
      <c r="J30885" s="770"/>
    </row>
    <row r="30886" spans="8:10" x14ac:dyDescent="0.35">
      <c r="H30886" s="676"/>
      <c r="I30886" s="676"/>
      <c r="J30886" s="770"/>
    </row>
    <row r="30887" spans="8:10" x14ac:dyDescent="0.35">
      <c r="H30887" s="676"/>
      <c r="I30887" s="676"/>
      <c r="J30887" s="770"/>
    </row>
    <row r="30888" spans="8:10" x14ac:dyDescent="0.35">
      <c r="H30888" s="676"/>
      <c r="I30888" s="676"/>
      <c r="J30888" s="770"/>
    </row>
    <row r="30889" spans="8:10" x14ac:dyDescent="0.35">
      <c r="H30889" s="676"/>
      <c r="I30889" s="676"/>
      <c r="J30889" s="770"/>
    </row>
    <row r="30890" spans="8:10" x14ac:dyDescent="0.35">
      <c r="H30890" s="676"/>
      <c r="I30890" s="676"/>
      <c r="J30890" s="770"/>
    </row>
    <row r="30891" spans="8:10" x14ac:dyDescent="0.35">
      <c r="H30891" s="676"/>
      <c r="I30891" s="676"/>
      <c r="J30891" s="770"/>
    </row>
    <row r="30892" spans="8:10" x14ac:dyDescent="0.35">
      <c r="H30892" s="676"/>
      <c r="I30892" s="676"/>
      <c r="J30892" s="770"/>
    </row>
    <row r="30893" spans="8:10" x14ac:dyDescent="0.35">
      <c r="H30893" s="676"/>
      <c r="I30893" s="676"/>
      <c r="J30893" s="770"/>
    </row>
    <row r="30894" spans="8:10" x14ac:dyDescent="0.35">
      <c r="H30894" s="676"/>
      <c r="I30894" s="676"/>
      <c r="J30894" s="770"/>
    </row>
    <row r="30895" spans="8:10" x14ac:dyDescent="0.35">
      <c r="H30895" s="676"/>
      <c r="I30895" s="676"/>
      <c r="J30895" s="770"/>
    </row>
    <row r="30896" spans="8:10" x14ac:dyDescent="0.35">
      <c r="H30896" s="676"/>
      <c r="I30896" s="676"/>
      <c r="J30896" s="770"/>
    </row>
    <row r="30897" spans="8:10" x14ac:dyDescent="0.35">
      <c r="H30897" s="676"/>
      <c r="I30897" s="676"/>
      <c r="J30897" s="770"/>
    </row>
    <row r="30898" spans="8:10" x14ac:dyDescent="0.35">
      <c r="H30898" s="676"/>
      <c r="I30898" s="676"/>
      <c r="J30898" s="770"/>
    </row>
    <row r="30899" spans="8:10" x14ac:dyDescent="0.35">
      <c r="H30899" s="676"/>
      <c r="I30899" s="676"/>
      <c r="J30899" s="770"/>
    </row>
    <row r="30900" spans="8:10" x14ac:dyDescent="0.35">
      <c r="H30900" s="676"/>
      <c r="I30900" s="676"/>
      <c r="J30900" s="770"/>
    </row>
    <row r="30901" spans="8:10" x14ac:dyDescent="0.35">
      <c r="H30901" s="676"/>
      <c r="I30901" s="676"/>
      <c r="J30901" s="770"/>
    </row>
    <row r="30902" spans="8:10" x14ac:dyDescent="0.35">
      <c r="H30902" s="676"/>
      <c r="I30902" s="676"/>
      <c r="J30902" s="770"/>
    </row>
    <row r="30903" spans="8:10" x14ac:dyDescent="0.35">
      <c r="H30903" s="676"/>
      <c r="I30903" s="676"/>
      <c r="J30903" s="770"/>
    </row>
    <row r="30904" spans="8:10" x14ac:dyDescent="0.35">
      <c r="H30904" s="676"/>
      <c r="I30904" s="676"/>
      <c r="J30904" s="770"/>
    </row>
    <row r="30905" spans="8:10" x14ac:dyDescent="0.35">
      <c r="H30905" s="676"/>
      <c r="I30905" s="676"/>
      <c r="J30905" s="770"/>
    </row>
    <row r="30906" spans="8:10" x14ac:dyDescent="0.35">
      <c r="H30906" s="676"/>
      <c r="I30906" s="676"/>
      <c r="J30906" s="770"/>
    </row>
    <row r="30907" spans="8:10" x14ac:dyDescent="0.35">
      <c r="H30907" s="676"/>
      <c r="I30907" s="676"/>
      <c r="J30907" s="770"/>
    </row>
    <row r="30908" spans="8:10" x14ac:dyDescent="0.35">
      <c r="H30908" s="676"/>
      <c r="I30908" s="676"/>
      <c r="J30908" s="770"/>
    </row>
    <row r="30909" spans="8:10" x14ac:dyDescent="0.35">
      <c r="H30909" s="676"/>
      <c r="I30909" s="676"/>
      <c r="J30909" s="770"/>
    </row>
    <row r="30910" spans="8:10" x14ac:dyDescent="0.35">
      <c r="H30910" s="676"/>
      <c r="I30910" s="676"/>
      <c r="J30910" s="770"/>
    </row>
    <row r="30911" spans="8:10" x14ac:dyDescent="0.35">
      <c r="H30911" s="676"/>
      <c r="I30911" s="676"/>
      <c r="J30911" s="770"/>
    </row>
    <row r="30912" spans="8:10" x14ac:dyDescent="0.35">
      <c r="H30912" s="676"/>
      <c r="I30912" s="676"/>
      <c r="J30912" s="770"/>
    </row>
    <row r="30913" spans="8:10" x14ac:dyDescent="0.35">
      <c r="H30913" s="676"/>
      <c r="I30913" s="676"/>
      <c r="J30913" s="770"/>
    </row>
    <row r="30914" spans="8:10" x14ac:dyDescent="0.35">
      <c r="H30914" s="676"/>
      <c r="I30914" s="676"/>
      <c r="J30914" s="770"/>
    </row>
    <row r="30915" spans="8:10" x14ac:dyDescent="0.35">
      <c r="H30915" s="676"/>
      <c r="I30915" s="676"/>
      <c r="J30915" s="770"/>
    </row>
    <row r="30916" spans="8:10" x14ac:dyDescent="0.35">
      <c r="H30916" s="676"/>
      <c r="I30916" s="676"/>
      <c r="J30916" s="770"/>
    </row>
    <row r="30917" spans="8:10" x14ac:dyDescent="0.35">
      <c r="H30917" s="676"/>
      <c r="I30917" s="676"/>
      <c r="J30917" s="770"/>
    </row>
    <row r="30918" spans="8:10" x14ac:dyDescent="0.35">
      <c r="H30918" s="676"/>
      <c r="I30918" s="676"/>
      <c r="J30918" s="770"/>
    </row>
    <row r="30919" spans="8:10" x14ac:dyDescent="0.35">
      <c r="H30919" s="676"/>
      <c r="I30919" s="676"/>
      <c r="J30919" s="770"/>
    </row>
    <row r="30920" spans="8:10" x14ac:dyDescent="0.35">
      <c r="H30920" s="676"/>
      <c r="I30920" s="676"/>
      <c r="J30920" s="770"/>
    </row>
    <row r="30921" spans="8:10" x14ac:dyDescent="0.35">
      <c r="H30921" s="676"/>
      <c r="I30921" s="676"/>
      <c r="J30921" s="770"/>
    </row>
    <row r="30922" spans="8:10" x14ac:dyDescent="0.35">
      <c r="H30922" s="676"/>
      <c r="I30922" s="676"/>
      <c r="J30922" s="770"/>
    </row>
    <row r="30923" spans="8:10" x14ac:dyDescent="0.35">
      <c r="H30923" s="676"/>
      <c r="I30923" s="676"/>
      <c r="J30923" s="770"/>
    </row>
    <row r="30924" spans="8:10" x14ac:dyDescent="0.35">
      <c r="H30924" s="676"/>
      <c r="I30924" s="676"/>
      <c r="J30924" s="770"/>
    </row>
    <row r="30925" spans="8:10" x14ac:dyDescent="0.35">
      <c r="H30925" s="676"/>
      <c r="I30925" s="676"/>
      <c r="J30925" s="770"/>
    </row>
    <row r="30926" spans="8:10" x14ac:dyDescent="0.35">
      <c r="H30926" s="676"/>
      <c r="I30926" s="676"/>
      <c r="J30926" s="770"/>
    </row>
    <row r="30927" spans="8:10" x14ac:dyDescent="0.35">
      <c r="H30927" s="676"/>
      <c r="I30927" s="676"/>
      <c r="J30927" s="770"/>
    </row>
    <row r="30928" spans="8:10" x14ac:dyDescent="0.35">
      <c r="H30928" s="676"/>
      <c r="I30928" s="676"/>
      <c r="J30928" s="770"/>
    </row>
    <row r="30929" spans="8:10" x14ac:dyDescent="0.35">
      <c r="H30929" s="676"/>
      <c r="I30929" s="676"/>
      <c r="J30929" s="770"/>
    </row>
    <row r="30930" spans="8:10" x14ac:dyDescent="0.35">
      <c r="H30930" s="676"/>
      <c r="I30930" s="676"/>
      <c r="J30930" s="770"/>
    </row>
    <row r="30931" spans="8:10" x14ac:dyDescent="0.35">
      <c r="H30931" s="676"/>
      <c r="I30931" s="676"/>
      <c r="J30931" s="770"/>
    </row>
    <row r="30932" spans="8:10" x14ac:dyDescent="0.35">
      <c r="H30932" s="676"/>
      <c r="I30932" s="676"/>
      <c r="J30932" s="770"/>
    </row>
    <row r="30933" spans="8:10" x14ac:dyDescent="0.35">
      <c r="H30933" s="676"/>
      <c r="I30933" s="676"/>
      <c r="J30933" s="770"/>
    </row>
    <row r="30934" spans="8:10" x14ac:dyDescent="0.35">
      <c r="H30934" s="676"/>
      <c r="I30934" s="676"/>
      <c r="J30934" s="770"/>
    </row>
    <row r="30935" spans="8:10" x14ac:dyDescent="0.35">
      <c r="H30935" s="676"/>
      <c r="I30935" s="676"/>
      <c r="J30935" s="770"/>
    </row>
    <row r="30936" spans="8:10" x14ac:dyDescent="0.35">
      <c r="H30936" s="676"/>
      <c r="I30936" s="676"/>
      <c r="J30936" s="770"/>
    </row>
    <row r="30937" spans="8:10" x14ac:dyDescent="0.35">
      <c r="H30937" s="676"/>
      <c r="I30937" s="676"/>
      <c r="J30937" s="770"/>
    </row>
    <row r="30938" spans="8:10" x14ac:dyDescent="0.35">
      <c r="H30938" s="676"/>
      <c r="I30938" s="676"/>
      <c r="J30938" s="770"/>
    </row>
    <row r="30939" spans="8:10" x14ac:dyDescent="0.35">
      <c r="H30939" s="676"/>
      <c r="I30939" s="676"/>
      <c r="J30939" s="770"/>
    </row>
    <row r="30940" spans="8:10" x14ac:dyDescent="0.35">
      <c r="H30940" s="676"/>
      <c r="I30940" s="676"/>
      <c r="J30940" s="770"/>
    </row>
    <row r="30941" spans="8:10" x14ac:dyDescent="0.35">
      <c r="H30941" s="676"/>
      <c r="I30941" s="676"/>
      <c r="J30941" s="770"/>
    </row>
    <row r="30942" spans="8:10" x14ac:dyDescent="0.35">
      <c r="H30942" s="676"/>
      <c r="I30942" s="676"/>
      <c r="J30942" s="770"/>
    </row>
    <row r="30943" spans="8:10" x14ac:dyDescent="0.35">
      <c r="H30943" s="676"/>
      <c r="I30943" s="676"/>
      <c r="J30943" s="770"/>
    </row>
    <row r="30944" spans="8:10" x14ac:dyDescent="0.35">
      <c r="H30944" s="676"/>
      <c r="I30944" s="676"/>
      <c r="J30944" s="770"/>
    </row>
    <row r="30945" spans="8:10" x14ac:dyDescent="0.35">
      <c r="H30945" s="676"/>
      <c r="I30945" s="676"/>
      <c r="J30945" s="770"/>
    </row>
    <row r="30946" spans="8:10" x14ac:dyDescent="0.35">
      <c r="H30946" s="676"/>
      <c r="I30946" s="676"/>
      <c r="J30946" s="770"/>
    </row>
    <row r="30947" spans="8:10" x14ac:dyDescent="0.35">
      <c r="H30947" s="676"/>
      <c r="I30947" s="676"/>
      <c r="J30947" s="770"/>
    </row>
    <row r="30948" spans="8:10" x14ac:dyDescent="0.35">
      <c r="H30948" s="676"/>
      <c r="I30948" s="676"/>
      <c r="J30948" s="770"/>
    </row>
    <row r="30949" spans="8:10" x14ac:dyDescent="0.35">
      <c r="H30949" s="676"/>
      <c r="I30949" s="676"/>
      <c r="J30949" s="770"/>
    </row>
    <row r="30950" spans="8:10" x14ac:dyDescent="0.35">
      <c r="H30950" s="676"/>
      <c r="I30950" s="676"/>
      <c r="J30950" s="770"/>
    </row>
    <row r="30951" spans="8:10" x14ac:dyDescent="0.35">
      <c r="H30951" s="676"/>
      <c r="I30951" s="676"/>
      <c r="J30951" s="770"/>
    </row>
    <row r="30952" spans="8:10" x14ac:dyDescent="0.35">
      <c r="H30952" s="676"/>
      <c r="I30952" s="676"/>
      <c r="J30952" s="770"/>
    </row>
    <row r="30953" spans="8:10" x14ac:dyDescent="0.35">
      <c r="H30953" s="676"/>
      <c r="I30953" s="676"/>
      <c r="J30953" s="770"/>
    </row>
    <row r="30954" spans="8:10" x14ac:dyDescent="0.35">
      <c r="H30954" s="676"/>
      <c r="I30954" s="676"/>
      <c r="J30954" s="770"/>
    </row>
    <row r="30955" spans="8:10" x14ac:dyDescent="0.35">
      <c r="H30955" s="676"/>
      <c r="I30955" s="676"/>
      <c r="J30955" s="770"/>
    </row>
    <row r="30956" spans="8:10" x14ac:dyDescent="0.35">
      <c r="H30956" s="676"/>
      <c r="I30956" s="676"/>
      <c r="J30956" s="770"/>
    </row>
    <row r="30957" spans="8:10" x14ac:dyDescent="0.35">
      <c r="H30957" s="676"/>
      <c r="I30957" s="676"/>
      <c r="J30957" s="770"/>
    </row>
    <row r="30958" spans="8:10" x14ac:dyDescent="0.35">
      <c r="H30958" s="676"/>
      <c r="I30958" s="676"/>
      <c r="J30958" s="770"/>
    </row>
    <row r="30959" spans="8:10" x14ac:dyDescent="0.35">
      <c r="H30959" s="676"/>
      <c r="I30959" s="676"/>
      <c r="J30959" s="770"/>
    </row>
    <row r="30960" spans="8:10" x14ac:dyDescent="0.35">
      <c r="H30960" s="676"/>
      <c r="I30960" s="676"/>
      <c r="J30960" s="770"/>
    </row>
    <row r="30961" spans="8:10" x14ac:dyDescent="0.35">
      <c r="H30961" s="676"/>
      <c r="I30961" s="676"/>
      <c r="J30961" s="770"/>
    </row>
    <row r="30962" spans="8:10" x14ac:dyDescent="0.35">
      <c r="H30962" s="676"/>
      <c r="I30962" s="676"/>
      <c r="J30962" s="770"/>
    </row>
    <row r="30963" spans="8:10" x14ac:dyDescent="0.35">
      <c r="H30963" s="676"/>
      <c r="I30963" s="676"/>
      <c r="J30963" s="770"/>
    </row>
    <row r="30964" spans="8:10" x14ac:dyDescent="0.35">
      <c r="H30964" s="676"/>
      <c r="I30964" s="676"/>
      <c r="J30964" s="770"/>
    </row>
    <row r="30965" spans="8:10" x14ac:dyDescent="0.35">
      <c r="H30965" s="676"/>
      <c r="I30965" s="676"/>
      <c r="J30965" s="770"/>
    </row>
    <row r="30966" spans="8:10" x14ac:dyDescent="0.35">
      <c r="H30966" s="676"/>
      <c r="I30966" s="676"/>
      <c r="J30966" s="770"/>
    </row>
    <row r="30967" spans="8:10" x14ac:dyDescent="0.35">
      <c r="H30967" s="676"/>
      <c r="I30967" s="676"/>
      <c r="J30967" s="770"/>
    </row>
    <row r="30968" spans="8:10" x14ac:dyDescent="0.35">
      <c r="H30968" s="676"/>
      <c r="I30968" s="676"/>
      <c r="J30968" s="770"/>
    </row>
    <row r="30969" spans="8:10" x14ac:dyDescent="0.35">
      <c r="H30969" s="676"/>
      <c r="I30969" s="676"/>
      <c r="J30969" s="770"/>
    </row>
    <row r="30970" spans="8:10" x14ac:dyDescent="0.35">
      <c r="H30970" s="676"/>
      <c r="I30970" s="676"/>
      <c r="J30970" s="770"/>
    </row>
    <row r="30971" spans="8:10" x14ac:dyDescent="0.35">
      <c r="H30971" s="676"/>
      <c r="I30971" s="676"/>
      <c r="J30971" s="770"/>
    </row>
    <row r="30972" spans="8:10" x14ac:dyDescent="0.35">
      <c r="H30972" s="676"/>
      <c r="I30972" s="676"/>
      <c r="J30972" s="770"/>
    </row>
    <row r="30973" spans="8:10" x14ac:dyDescent="0.35">
      <c r="H30973" s="676"/>
      <c r="I30973" s="676"/>
      <c r="J30973" s="770"/>
    </row>
    <row r="30974" spans="8:10" x14ac:dyDescent="0.35">
      <c r="H30974" s="676"/>
      <c r="I30974" s="676"/>
      <c r="J30974" s="770"/>
    </row>
    <row r="30975" spans="8:10" x14ac:dyDescent="0.35">
      <c r="H30975" s="676"/>
      <c r="I30975" s="676"/>
      <c r="J30975" s="770"/>
    </row>
    <row r="30976" spans="8:10" x14ac:dyDescent="0.35">
      <c r="H30976" s="676"/>
      <c r="I30976" s="676"/>
      <c r="J30976" s="770"/>
    </row>
    <row r="30977" spans="8:10" x14ac:dyDescent="0.35">
      <c r="H30977" s="676"/>
      <c r="I30977" s="676"/>
      <c r="J30977" s="770"/>
    </row>
    <row r="30978" spans="8:10" x14ac:dyDescent="0.35">
      <c r="H30978" s="676"/>
      <c r="I30978" s="676"/>
      <c r="J30978" s="770"/>
    </row>
    <row r="30979" spans="8:10" x14ac:dyDescent="0.35">
      <c r="H30979" s="676"/>
      <c r="I30979" s="676"/>
      <c r="J30979" s="770"/>
    </row>
    <row r="30980" spans="8:10" x14ac:dyDescent="0.35">
      <c r="H30980" s="676"/>
      <c r="I30980" s="676"/>
      <c r="J30980" s="770"/>
    </row>
    <row r="30981" spans="8:10" x14ac:dyDescent="0.35">
      <c r="H30981" s="676"/>
      <c r="I30981" s="676"/>
      <c r="J30981" s="770"/>
    </row>
    <row r="30982" spans="8:10" x14ac:dyDescent="0.35">
      <c r="H30982" s="676"/>
      <c r="I30982" s="676"/>
      <c r="J30982" s="770"/>
    </row>
    <row r="30983" spans="8:10" x14ac:dyDescent="0.35">
      <c r="H30983" s="676"/>
      <c r="I30983" s="676"/>
      <c r="J30983" s="770"/>
    </row>
    <row r="30984" spans="8:10" x14ac:dyDescent="0.35">
      <c r="H30984" s="676"/>
      <c r="I30984" s="676"/>
      <c r="J30984" s="770"/>
    </row>
    <row r="30985" spans="8:10" x14ac:dyDescent="0.35">
      <c r="H30985" s="676"/>
      <c r="I30985" s="676"/>
      <c r="J30985" s="770"/>
    </row>
    <row r="30986" spans="8:10" x14ac:dyDescent="0.35">
      <c r="H30986" s="676"/>
      <c r="I30986" s="676"/>
      <c r="J30986" s="770"/>
    </row>
    <row r="30987" spans="8:10" x14ac:dyDescent="0.35">
      <c r="H30987" s="676"/>
      <c r="I30987" s="676"/>
      <c r="J30987" s="770"/>
    </row>
    <row r="30988" spans="8:10" x14ac:dyDescent="0.35">
      <c r="H30988" s="676"/>
      <c r="I30988" s="676"/>
      <c r="J30988" s="770"/>
    </row>
    <row r="30989" spans="8:10" x14ac:dyDescent="0.35">
      <c r="H30989" s="676"/>
      <c r="I30989" s="676"/>
      <c r="J30989" s="770"/>
    </row>
    <row r="30990" spans="8:10" x14ac:dyDescent="0.35">
      <c r="H30990" s="676"/>
      <c r="I30990" s="676"/>
      <c r="J30990" s="770"/>
    </row>
    <row r="30991" spans="8:10" x14ac:dyDescent="0.35">
      <c r="H30991" s="676"/>
      <c r="I30991" s="676"/>
      <c r="J30991" s="770"/>
    </row>
    <row r="30992" spans="8:10" x14ac:dyDescent="0.35">
      <c r="H30992" s="676"/>
      <c r="I30992" s="676"/>
      <c r="J30992" s="770"/>
    </row>
    <row r="30993" spans="8:10" x14ac:dyDescent="0.35">
      <c r="H30993" s="676"/>
      <c r="I30993" s="676"/>
      <c r="J30993" s="770"/>
    </row>
    <row r="30994" spans="8:10" x14ac:dyDescent="0.35">
      <c r="H30994" s="676"/>
      <c r="I30994" s="676"/>
      <c r="J30994" s="770"/>
    </row>
    <row r="30995" spans="8:10" x14ac:dyDescent="0.35">
      <c r="H30995" s="676"/>
      <c r="I30995" s="676"/>
      <c r="J30995" s="770"/>
    </row>
    <row r="30996" spans="8:10" x14ac:dyDescent="0.35">
      <c r="H30996" s="676"/>
      <c r="I30996" s="676"/>
      <c r="J30996" s="770"/>
    </row>
    <row r="30997" spans="8:10" x14ac:dyDescent="0.35">
      <c r="H30997" s="676"/>
      <c r="I30997" s="676"/>
      <c r="J30997" s="770"/>
    </row>
    <row r="30998" spans="8:10" x14ac:dyDescent="0.35">
      <c r="H30998" s="676"/>
      <c r="I30998" s="676"/>
      <c r="J30998" s="770"/>
    </row>
    <row r="30999" spans="8:10" x14ac:dyDescent="0.35">
      <c r="H30999" s="676"/>
      <c r="I30999" s="676"/>
      <c r="J30999" s="770"/>
    </row>
    <row r="31000" spans="8:10" x14ac:dyDescent="0.35">
      <c r="H31000" s="676"/>
      <c r="I31000" s="676"/>
      <c r="J31000" s="770"/>
    </row>
    <row r="31001" spans="8:10" x14ac:dyDescent="0.35">
      <c r="H31001" s="676"/>
      <c r="I31001" s="676"/>
      <c r="J31001" s="770"/>
    </row>
    <row r="31002" spans="8:10" x14ac:dyDescent="0.35">
      <c r="H31002" s="676"/>
      <c r="I31002" s="676"/>
      <c r="J31002" s="770"/>
    </row>
    <row r="31003" spans="8:10" x14ac:dyDescent="0.35">
      <c r="H31003" s="676"/>
      <c r="I31003" s="676"/>
      <c r="J31003" s="770"/>
    </row>
    <row r="31004" spans="8:10" x14ac:dyDescent="0.35">
      <c r="H31004" s="676"/>
      <c r="I31004" s="676"/>
      <c r="J31004" s="770"/>
    </row>
    <row r="31005" spans="8:10" x14ac:dyDescent="0.35">
      <c r="H31005" s="676"/>
      <c r="I31005" s="676"/>
      <c r="J31005" s="770"/>
    </row>
    <row r="31006" spans="8:10" x14ac:dyDescent="0.35">
      <c r="H31006" s="676"/>
      <c r="I31006" s="676"/>
      <c r="J31006" s="770"/>
    </row>
    <row r="31007" spans="8:10" x14ac:dyDescent="0.35">
      <c r="H31007" s="676"/>
      <c r="I31007" s="676"/>
      <c r="J31007" s="770"/>
    </row>
    <row r="31008" spans="8:10" x14ac:dyDescent="0.35">
      <c r="H31008" s="676"/>
      <c r="I31008" s="676"/>
      <c r="J31008" s="770"/>
    </row>
    <row r="31009" spans="8:10" x14ac:dyDescent="0.35">
      <c r="H31009" s="676"/>
      <c r="I31009" s="676"/>
      <c r="J31009" s="770"/>
    </row>
    <row r="31010" spans="8:10" x14ac:dyDescent="0.35">
      <c r="H31010" s="676"/>
      <c r="I31010" s="676"/>
      <c r="J31010" s="770"/>
    </row>
    <row r="31011" spans="8:10" x14ac:dyDescent="0.35">
      <c r="H31011" s="676"/>
      <c r="I31011" s="676"/>
      <c r="J31011" s="770"/>
    </row>
    <row r="31012" spans="8:10" x14ac:dyDescent="0.35">
      <c r="H31012" s="676"/>
      <c r="I31012" s="676"/>
      <c r="J31012" s="770"/>
    </row>
    <row r="31013" spans="8:10" x14ac:dyDescent="0.35">
      <c r="H31013" s="676"/>
      <c r="I31013" s="676"/>
      <c r="J31013" s="770"/>
    </row>
    <row r="31014" spans="8:10" x14ac:dyDescent="0.35">
      <c r="H31014" s="676"/>
      <c r="I31014" s="676"/>
      <c r="J31014" s="770"/>
    </row>
    <row r="31015" spans="8:10" x14ac:dyDescent="0.35">
      <c r="H31015" s="676"/>
      <c r="I31015" s="676"/>
      <c r="J31015" s="770"/>
    </row>
    <row r="31016" spans="8:10" x14ac:dyDescent="0.35">
      <c r="H31016" s="676"/>
      <c r="I31016" s="676"/>
      <c r="J31016" s="770"/>
    </row>
    <row r="31017" spans="8:10" x14ac:dyDescent="0.35">
      <c r="H31017" s="676"/>
      <c r="I31017" s="676"/>
      <c r="J31017" s="770"/>
    </row>
    <row r="31018" spans="8:10" x14ac:dyDescent="0.35">
      <c r="H31018" s="676"/>
      <c r="I31018" s="676"/>
      <c r="J31018" s="770"/>
    </row>
    <row r="31019" spans="8:10" x14ac:dyDescent="0.35">
      <c r="H31019" s="676"/>
      <c r="I31019" s="676"/>
      <c r="J31019" s="770"/>
    </row>
    <row r="31020" spans="8:10" x14ac:dyDescent="0.35">
      <c r="H31020" s="676"/>
      <c r="I31020" s="676"/>
      <c r="J31020" s="770"/>
    </row>
    <row r="31021" spans="8:10" x14ac:dyDescent="0.35">
      <c r="H31021" s="676"/>
      <c r="I31021" s="676"/>
      <c r="J31021" s="770"/>
    </row>
    <row r="31022" spans="8:10" x14ac:dyDescent="0.35">
      <c r="H31022" s="676"/>
      <c r="I31022" s="676"/>
      <c r="J31022" s="770"/>
    </row>
    <row r="31023" spans="8:10" x14ac:dyDescent="0.35">
      <c r="H31023" s="676"/>
      <c r="I31023" s="676"/>
      <c r="J31023" s="770"/>
    </row>
    <row r="31024" spans="8:10" x14ac:dyDescent="0.35">
      <c r="H31024" s="676"/>
      <c r="I31024" s="676"/>
      <c r="J31024" s="770"/>
    </row>
    <row r="31025" spans="8:10" x14ac:dyDescent="0.35">
      <c r="H31025" s="676"/>
      <c r="I31025" s="676"/>
      <c r="J31025" s="770"/>
    </row>
    <row r="31026" spans="8:10" x14ac:dyDescent="0.35">
      <c r="H31026" s="676"/>
      <c r="I31026" s="676"/>
      <c r="J31026" s="770"/>
    </row>
    <row r="31027" spans="8:10" x14ac:dyDescent="0.35">
      <c r="H31027" s="676"/>
      <c r="I31027" s="676"/>
      <c r="J31027" s="770"/>
    </row>
    <row r="31028" spans="8:10" x14ac:dyDescent="0.35">
      <c r="H31028" s="676"/>
      <c r="I31028" s="676"/>
      <c r="J31028" s="770"/>
    </row>
    <row r="31029" spans="8:10" x14ac:dyDescent="0.35">
      <c r="H31029" s="676"/>
      <c r="I31029" s="676"/>
      <c r="J31029" s="770"/>
    </row>
    <row r="31030" spans="8:10" x14ac:dyDescent="0.35">
      <c r="H31030" s="676"/>
      <c r="I31030" s="676"/>
      <c r="J31030" s="770"/>
    </row>
    <row r="31031" spans="8:10" x14ac:dyDescent="0.35">
      <c r="H31031" s="676"/>
      <c r="I31031" s="676"/>
      <c r="J31031" s="770"/>
    </row>
    <row r="31032" spans="8:10" x14ac:dyDescent="0.35">
      <c r="H31032" s="676"/>
      <c r="I31032" s="676"/>
      <c r="J31032" s="770"/>
    </row>
    <row r="31033" spans="8:10" x14ac:dyDescent="0.35">
      <c r="H31033" s="676"/>
      <c r="I31033" s="676"/>
      <c r="J31033" s="770"/>
    </row>
    <row r="31034" spans="8:10" x14ac:dyDescent="0.35">
      <c r="H31034" s="676"/>
      <c r="I31034" s="676"/>
      <c r="J31034" s="770"/>
    </row>
    <row r="31035" spans="8:10" x14ac:dyDescent="0.35">
      <c r="H31035" s="676"/>
      <c r="I31035" s="676"/>
      <c r="J31035" s="770"/>
    </row>
    <row r="31036" spans="8:10" x14ac:dyDescent="0.35">
      <c r="H31036" s="676"/>
      <c r="I31036" s="676"/>
      <c r="J31036" s="770"/>
    </row>
    <row r="31037" spans="8:10" x14ac:dyDescent="0.35">
      <c r="H31037" s="676"/>
      <c r="I31037" s="676"/>
      <c r="J31037" s="770"/>
    </row>
    <row r="31038" spans="8:10" x14ac:dyDescent="0.35">
      <c r="H31038" s="676"/>
      <c r="I31038" s="676"/>
      <c r="J31038" s="770"/>
    </row>
    <row r="31039" spans="8:10" x14ac:dyDescent="0.35">
      <c r="H31039" s="676"/>
      <c r="I31039" s="676"/>
      <c r="J31039" s="770"/>
    </row>
    <row r="31040" spans="8:10" x14ac:dyDescent="0.35">
      <c r="H31040" s="676"/>
      <c r="I31040" s="676"/>
      <c r="J31040" s="770"/>
    </row>
    <row r="31041" spans="8:10" x14ac:dyDescent="0.35">
      <c r="H31041" s="676"/>
      <c r="I31041" s="676"/>
      <c r="J31041" s="770"/>
    </row>
    <row r="31042" spans="8:10" x14ac:dyDescent="0.35">
      <c r="H31042" s="676"/>
      <c r="I31042" s="676"/>
      <c r="J31042" s="770"/>
    </row>
    <row r="31043" spans="8:10" x14ac:dyDescent="0.35">
      <c r="H31043" s="676"/>
      <c r="I31043" s="676"/>
      <c r="J31043" s="770"/>
    </row>
    <row r="31044" spans="8:10" x14ac:dyDescent="0.35">
      <c r="H31044" s="676"/>
      <c r="I31044" s="676"/>
      <c r="J31044" s="770"/>
    </row>
    <row r="31045" spans="8:10" x14ac:dyDescent="0.35">
      <c r="H31045" s="676"/>
      <c r="I31045" s="676"/>
      <c r="J31045" s="770"/>
    </row>
    <row r="31046" spans="8:10" x14ac:dyDescent="0.35">
      <c r="H31046" s="676"/>
      <c r="I31046" s="676"/>
      <c r="J31046" s="770"/>
    </row>
    <row r="31047" spans="8:10" x14ac:dyDescent="0.35">
      <c r="H31047" s="676"/>
      <c r="I31047" s="676"/>
      <c r="J31047" s="770"/>
    </row>
    <row r="31048" spans="8:10" x14ac:dyDescent="0.35">
      <c r="H31048" s="676"/>
      <c r="I31048" s="676"/>
      <c r="J31048" s="770"/>
    </row>
    <row r="31049" spans="8:10" x14ac:dyDescent="0.35">
      <c r="H31049" s="676"/>
      <c r="I31049" s="676"/>
      <c r="J31049" s="770"/>
    </row>
    <row r="31050" spans="8:10" x14ac:dyDescent="0.35">
      <c r="H31050" s="676"/>
      <c r="I31050" s="676"/>
      <c r="J31050" s="770"/>
    </row>
    <row r="31051" spans="8:10" x14ac:dyDescent="0.35">
      <c r="H31051" s="676"/>
      <c r="I31051" s="676"/>
      <c r="J31051" s="770"/>
    </row>
    <row r="31052" spans="8:10" x14ac:dyDescent="0.35">
      <c r="H31052" s="676"/>
      <c r="I31052" s="676"/>
      <c r="J31052" s="770"/>
    </row>
    <row r="31053" spans="8:10" x14ac:dyDescent="0.35">
      <c r="H31053" s="676"/>
      <c r="I31053" s="676"/>
      <c r="J31053" s="770"/>
    </row>
    <row r="31054" spans="8:10" x14ac:dyDescent="0.35">
      <c r="H31054" s="676"/>
      <c r="I31054" s="676"/>
      <c r="J31054" s="770"/>
    </row>
    <row r="31055" spans="8:10" x14ac:dyDescent="0.35">
      <c r="H31055" s="676"/>
      <c r="I31055" s="676"/>
      <c r="J31055" s="770"/>
    </row>
    <row r="31056" spans="8:10" x14ac:dyDescent="0.35">
      <c r="H31056" s="676"/>
      <c r="I31056" s="676"/>
      <c r="J31056" s="770"/>
    </row>
    <row r="31057" spans="8:10" x14ac:dyDescent="0.35">
      <c r="H31057" s="676"/>
      <c r="I31057" s="676"/>
      <c r="J31057" s="770"/>
    </row>
    <row r="31058" spans="8:10" x14ac:dyDescent="0.35">
      <c r="H31058" s="676"/>
      <c r="I31058" s="676"/>
      <c r="J31058" s="770"/>
    </row>
    <row r="31059" spans="8:10" x14ac:dyDescent="0.35">
      <c r="H31059" s="676"/>
      <c r="I31059" s="676"/>
      <c r="J31059" s="770"/>
    </row>
    <row r="31060" spans="8:10" x14ac:dyDescent="0.35">
      <c r="H31060" s="676"/>
      <c r="I31060" s="676"/>
      <c r="J31060" s="770"/>
    </row>
    <row r="31061" spans="8:10" x14ac:dyDescent="0.35">
      <c r="H31061" s="676"/>
      <c r="I31061" s="676"/>
      <c r="J31061" s="770"/>
    </row>
    <row r="31062" spans="8:10" x14ac:dyDescent="0.35">
      <c r="H31062" s="676"/>
      <c r="I31062" s="676"/>
      <c r="J31062" s="770"/>
    </row>
    <row r="31063" spans="8:10" x14ac:dyDescent="0.35">
      <c r="H31063" s="676"/>
      <c r="I31063" s="676"/>
      <c r="J31063" s="770"/>
    </row>
    <row r="31064" spans="8:10" x14ac:dyDescent="0.35">
      <c r="H31064" s="676"/>
      <c r="I31064" s="676"/>
      <c r="J31064" s="770"/>
    </row>
    <row r="31065" spans="8:10" x14ac:dyDescent="0.35">
      <c r="H31065" s="676"/>
      <c r="I31065" s="676"/>
      <c r="J31065" s="770"/>
    </row>
    <row r="31066" spans="8:10" x14ac:dyDescent="0.35">
      <c r="H31066" s="676"/>
      <c r="I31066" s="676"/>
      <c r="J31066" s="770"/>
    </row>
    <row r="31067" spans="8:10" x14ac:dyDescent="0.35">
      <c r="H31067" s="676"/>
      <c r="I31067" s="676"/>
      <c r="J31067" s="770"/>
    </row>
    <row r="31068" spans="8:10" x14ac:dyDescent="0.35">
      <c r="H31068" s="676"/>
      <c r="I31068" s="676"/>
      <c r="J31068" s="770"/>
    </row>
    <row r="31069" spans="8:10" x14ac:dyDescent="0.35">
      <c r="H31069" s="676"/>
      <c r="I31069" s="676"/>
      <c r="J31069" s="770"/>
    </row>
    <row r="31070" spans="8:10" x14ac:dyDescent="0.35">
      <c r="H31070" s="676"/>
      <c r="I31070" s="676"/>
      <c r="J31070" s="770"/>
    </row>
    <row r="31071" spans="8:10" x14ac:dyDescent="0.35">
      <c r="H31071" s="676"/>
      <c r="I31071" s="676"/>
      <c r="J31071" s="770"/>
    </row>
    <row r="31072" spans="8:10" x14ac:dyDescent="0.35">
      <c r="H31072" s="676"/>
      <c r="I31072" s="676"/>
      <c r="J31072" s="770"/>
    </row>
    <row r="31073" spans="8:10" x14ac:dyDescent="0.35">
      <c r="H31073" s="676"/>
      <c r="I31073" s="676"/>
      <c r="J31073" s="770"/>
    </row>
    <row r="31074" spans="8:10" x14ac:dyDescent="0.35">
      <c r="H31074" s="676"/>
      <c r="I31074" s="676"/>
      <c r="J31074" s="770"/>
    </row>
    <row r="31075" spans="8:10" x14ac:dyDescent="0.35">
      <c r="H31075" s="676"/>
      <c r="I31075" s="676"/>
      <c r="J31075" s="770"/>
    </row>
    <row r="31076" spans="8:10" x14ac:dyDescent="0.35">
      <c r="H31076" s="676"/>
      <c r="I31076" s="676"/>
      <c r="J31076" s="770"/>
    </row>
    <row r="31077" spans="8:10" x14ac:dyDescent="0.35">
      <c r="H31077" s="676"/>
      <c r="I31077" s="676"/>
      <c r="J31077" s="770"/>
    </row>
    <row r="31078" spans="8:10" x14ac:dyDescent="0.35">
      <c r="H31078" s="676"/>
      <c r="I31078" s="676"/>
      <c r="J31078" s="770"/>
    </row>
    <row r="31079" spans="8:10" x14ac:dyDescent="0.35">
      <c r="H31079" s="676"/>
      <c r="I31079" s="676"/>
      <c r="J31079" s="770"/>
    </row>
    <row r="31080" spans="8:10" x14ac:dyDescent="0.35">
      <c r="H31080" s="676"/>
      <c r="I31080" s="676"/>
      <c r="J31080" s="770"/>
    </row>
    <row r="31081" spans="8:10" x14ac:dyDescent="0.35">
      <c r="H31081" s="676"/>
      <c r="I31081" s="676"/>
      <c r="J31081" s="770"/>
    </row>
    <row r="31082" spans="8:10" x14ac:dyDescent="0.35">
      <c r="H31082" s="676"/>
      <c r="I31082" s="676"/>
      <c r="J31082" s="770"/>
    </row>
    <row r="31083" spans="8:10" x14ac:dyDescent="0.35">
      <c r="H31083" s="676"/>
      <c r="I31083" s="676"/>
      <c r="J31083" s="770"/>
    </row>
    <row r="31084" spans="8:10" x14ac:dyDescent="0.35">
      <c r="H31084" s="676"/>
      <c r="I31084" s="676"/>
      <c r="J31084" s="770"/>
    </row>
    <row r="31085" spans="8:10" x14ac:dyDescent="0.35">
      <c r="H31085" s="676"/>
      <c r="I31085" s="676"/>
      <c r="J31085" s="770"/>
    </row>
    <row r="31086" spans="8:10" x14ac:dyDescent="0.35">
      <c r="H31086" s="676"/>
      <c r="I31086" s="676"/>
      <c r="J31086" s="770"/>
    </row>
    <row r="31087" spans="8:10" x14ac:dyDescent="0.35">
      <c r="H31087" s="676"/>
      <c r="I31087" s="676"/>
      <c r="J31087" s="770"/>
    </row>
    <row r="31088" spans="8:10" x14ac:dyDescent="0.35">
      <c r="H31088" s="676"/>
      <c r="I31088" s="676"/>
      <c r="J31088" s="770"/>
    </row>
    <row r="31089" spans="8:10" x14ac:dyDescent="0.35">
      <c r="H31089" s="676"/>
      <c r="I31089" s="676"/>
      <c r="J31089" s="770"/>
    </row>
    <row r="31090" spans="8:10" x14ac:dyDescent="0.35">
      <c r="H31090" s="676"/>
      <c r="I31090" s="676"/>
      <c r="J31090" s="770"/>
    </row>
    <row r="31091" spans="8:10" x14ac:dyDescent="0.35">
      <c r="H31091" s="676"/>
      <c r="I31091" s="676"/>
      <c r="J31091" s="770"/>
    </row>
    <row r="31092" spans="8:10" x14ac:dyDescent="0.35">
      <c r="H31092" s="676"/>
      <c r="I31092" s="676"/>
      <c r="J31092" s="770"/>
    </row>
    <row r="31093" spans="8:10" x14ac:dyDescent="0.35">
      <c r="H31093" s="676"/>
      <c r="I31093" s="676"/>
      <c r="J31093" s="770"/>
    </row>
    <row r="31094" spans="8:10" x14ac:dyDescent="0.35">
      <c r="H31094" s="676"/>
      <c r="I31094" s="676"/>
      <c r="J31094" s="770"/>
    </row>
    <row r="31095" spans="8:10" x14ac:dyDescent="0.35">
      <c r="H31095" s="676"/>
      <c r="I31095" s="676"/>
      <c r="J31095" s="770"/>
    </row>
    <row r="31096" spans="8:10" x14ac:dyDescent="0.35">
      <c r="H31096" s="676"/>
      <c r="I31096" s="676"/>
      <c r="J31096" s="770"/>
    </row>
    <row r="31097" spans="8:10" x14ac:dyDescent="0.35">
      <c r="H31097" s="676"/>
      <c r="I31097" s="676"/>
      <c r="J31097" s="770"/>
    </row>
    <row r="31098" spans="8:10" x14ac:dyDescent="0.35">
      <c r="H31098" s="676"/>
      <c r="I31098" s="676"/>
      <c r="J31098" s="770"/>
    </row>
    <row r="31099" spans="8:10" x14ac:dyDescent="0.35">
      <c r="H31099" s="676"/>
      <c r="I31099" s="676"/>
      <c r="J31099" s="770"/>
    </row>
    <row r="31100" spans="8:10" x14ac:dyDescent="0.35">
      <c r="H31100" s="676"/>
      <c r="I31100" s="676"/>
      <c r="J31100" s="770"/>
    </row>
    <row r="31101" spans="8:10" x14ac:dyDescent="0.35">
      <c r="H31101" s="676"/>
      <c r="I31101" s="676"/>
      <c r="J31101" s="770"/>
    </row>
    <row r="31102" spans="8:10" x14ac:dyDescent="0.35">
      <c r="H31102" s="676"/>
      <c r="I31102" s="676"/>
      <c r="J31102" s="770"/>
    </row>
    <row r="31103" spans="8:10" x14ac:dyDescent="0.35">
      <c r="H31103" s="676"/>
      <c r="I31103" s="676"/>
      <c r="J31103" s="770"/>
    </row>
    <row r="31104" spans="8:10" x14ac:dyDescent="0.35">
      <c r="H31104" s="676"/>
      <c r="I31104" s="676"/>
      <c r="J31104" s="770"/>
    </row>
    <row r="31105" spans="8:10" x14ac:dyDescent="0.35">
      <c r="H31105" s="676"/>
      <c r="I31105" s="676"/>
      <c r="J31105" s="770"/>
    </row>
    <row r="31106" spans="8:10" x14ac:dyDescent="0.35">
      <c r="H31106" s="676"/>
      <c r="I31106" s="676"/>
      <c r="J31106" s="770"/>
    </row>
    <row r="31107" spans="8:10" x14ac:dyDescent="0.35">
      <c r="H31107" s="676"/>
      <c r="I31107" s="676"/>
      <c r="J31107" s="770"/>
    </row>
    <row r="31108" spans="8:10" x14ac:dyDescent="0.35">
      <c r="H31108" s="676"/>
      <c r="I31108" s="676"/>
      <c r="J31108" s="770"/>
    </row>
    <row r="31109" spans="8:10" x14ac:dyDescent="0.35">
      <c r="H31109" s="676"/>
      <c r="I31109" s="676"/>
      <c r="J31109" s="770"/>
    </row>
    <row r="31110" spans="8:10" x14ac:dyDescent="0.35">
      <c r="H31110" s="676"/>
      <c r="I31110" s="676"/>
      <c r="J31110" s="770"/>
    </row>
    <row r="31111" spans="8:10" x14ac:dyDescent="0.35">
      <c r="H31111" s="676"/>
      <c r="I31111" s="676"/>
      <c r="J31111" s="770"/>
    </row>
    <row r="31112" spans="8:10" x14ac:dyDescent="0.35">
      <c r="H31112" s="676"/>
      <c r="I31112" s="676"/>
      <c r="J31112" s="770"/>
    </row>
    <row r="31113" spans="8:10" x14ac:dyDescent="0.35">
      <c r="H31113" s="676"/>
      <c r="I31113" s="676"/>
      <c r="J31113" s="770"/>
    </row>
    <row r="31114" spans="8:10" x14ac:dyDescent="0.35">
      <c r="H31114" s="676"/>
      <c r="I31114" s="676"/>
      <c r="J31114" s="770"/>
    </row>
    <row r="31115" spans="8:10" x14ac:dyDescent="0.35">
      <c r="H31115" s="676"/>
      <c r="I31115" s="676"/>
      <c r="J31115" s="770"/>
    </row>
    <row r="31116" spans="8:10" x14ac:dyDescent="0.35">
      <c r="H31116" s="676"/>
      <c r="I31116" s="676"/>
      <c r="J31116" s="770"/>
    </row>
    <row r="31117" spans="8:10" x14ac:dyDescent="0.35">
      <c r="H31117" s="676"/>
      <c r="I31117" s="676"/>
      <c r="J31117" s="770"/>
    </row>
    <row r="31118" spans="8:10" x14ac:dyDescent="0.35">
      <c r="H31118" s="676"/>
      <c r="I31118" s="676"/>
      <c r="J31118" s="770"/>
    </row>
    <row r="31119" spans="8:10" x14ac:dyDescent="0.35">
      <c r="H31119" s="676"/>
      <c r="I31119" s="676"/>
      <c r="J31119" s="770"/>
    </row>
    <row r="31120" spans="8:10" x14ac:dyDescent="0.35">
      <c r="H31120" s="676"/>
      <c r="I31120" s="676"/>
      <c r="J31120" s="770"/>
    </row>
    <row r="31121" spans="8:10" x14ac:dyDescent="0.35">
      <c r="H31121" s="676"/>
      <c r="I31121" s="676"/>
      <c r="J31121" s="770"/>
    </row>
    <row r="31122" spans="8:10" x14ac:dyDescent="0.35">
      <c r="H31122" s="676"/>
      <c r="I31122" s="676"/>
      <c r="J31122" s="770"/>
    </row>
    <row r="31123" spans="8:10" x14ac:dyDescent="0.35">
      <c r="H31123" s="676"/>
      <c r="I31123" s="676"/>
      <c r="J31123" s="770"/>
    </row>
    <row r="31124" spans="8:10" x14ac:dyDescent="0.35">
      <c r="H31124" s="676"/>
      <c r="I31124" s="676"/>
      <c r="J31124" s="770"/>
    </row>
    <row r="31125" spans="8:10" x14ac:dyDescent="0.35">
      <c r="H31125" s="676"/>
      <c r="I31125" s="676"/>
      <c r="J31125" s="770"/>
    </row>
    <row r="31126" spans="8:10" x14ac:dyDescent="0.35">
      <c r="H31126" s="676"/>
      <c r="I31126" s="676"/>
      <c r="J31126" s="770"/>
    </row>
    <row r="31127" spans="8:10" x14ac:dyDescent="0.35">
      <c r="H31127" s="676"/>
      <c r="I31127" s="676"/>
      <c r="J31127" s="770"/>
    </row>
    <row r="31128" spans="8:10" x14ac:dyDescent="0.35">
      <c r="H31128" s="676"/>
      <c r="I31128" s="676"/>
      <c r="J31128" s="770"/>
    </row>
    <row r="31129" spans="8:10" x14ac:dyDescent="0.35">
      <c r="H31129" s="676"/>
      <c r="I31129" s="676"/>
      <c r="J31129" s="770"/>
    </row>
    <row r="31130" spans="8:10" x14ac:dyDescent="0.35">
      <c r="H31130" s="676"/>
      <c r="I31130" s="676"/>
      <c r="J31130" s="770"/>
    </row>
    <row r="31131" spans="8:10" x14ac:dyDescent="0.35">
      <c r="H31131" s="676"/>
      <c r="I31131" s="676"/>
      <c r="J31131" s="770"/>
    </row>
    <row r="31132" spans="8:10" x14ac:dyDescent="0.35">
      <c r="H31132" s="676"/>
      <c r="I31132" s="676"/>
      <c r="J31132" s="770"/>
    </row>
    <row r="31133" spans="8:10" x14ac:dyDescent="0.35">
      <c r="H31133" s="676"/>
      <c r="I31133" s="676"/>
      <c r="J31133" s="770"/>
    </row>
    <row r="31134" spans="8:10" x14ac:dyDescent="0.35">
      <c r="H31134" s="676"/>
      <c r="I31134" s="676"/>
      <c r="J31134" s="770"/>
    </row>
    <row r="31135" spans="8:10" x14ac:dyDescent="0.35">
      <c r="H31135" s="676"/>
      <c r="I31135" s="676"/>
      <c r="J31135" s="770"/>
    </row>
    <row r="31136" spans="8:10" x14ac:dyDescent="0.35">
      <c r="H31136" s="676"/>
      <c r="I31136" s="676"/>
      <c r="J31136" s="770"/>
    </row>
    <row r="31137" spans="8:10" x14ac:dyDescent="0.35">
      <c r="H31137" s="676"/>
      <c r="I31137" s="676"/>
      <c r="J31137" s="770"/>
    </row>
    <row r="31138" spans="8:10" x14ac:dyDescent="0.35">
      <c r="H31138" s="676"/>
      <c r="I31138" s="676"/>
      <c r="J31138" s="770"/>
    </row>
    <row r="31139" spans="8:10" x14ac:dyDescent="0.35">
      <c r="H31139" s="676"/>
      <c r="I31139" s="676"/>
      <c r="J31139" s="770"/>
    </row>
    <row r="31140" spans="8:10" x14ac:dyDescent="0.35">
      <c r="H31140" s="676"/>
      <c r="I31140" s="676"/>
      <c r="J31140" s="770"/>
    </row>
    <row r="31141" spans="8:10" x14ac:dyDescent="0.35">
      <c r="H31141" s="676"/>
      <c r="I31141" s="676"/>
      <c r="J31141" s="770"/>
    </row>
    <row r="31142" spans="8:10" x14ac:dyDescent="0.35">
      <c r="H31142" s="676"/>
      <c r="I31142" s="676"/>
      <c r="J31142" s="770"/>
    </row>
    <row r="31143" spans="8:10" x14ac:dyDescent="0.35">
      <c r="H31143" s="676"/>
      <c r="I31143" s="676"/>
      <c r="J31143" s="770"/>
    </row>
    <row r="31144" spans="8:10" x14ac:dyDescent="0.35">
      <c r="H31144" s="676"/>
      <c r="I31144" s="676"/>
      <c r="J31144" s="770"/>
    </row>
    <row r="31145" spans="8:10" x14ac:dyDescent="0.35">
      <c r="H31145" s="676"/>
      <c r="I31145" s="676"/>
      <c r="J31145" s="770"/>
    </row>
    <row r="31146" spans="8:10" x14ac:dyDescent="0.35">
      <c r="H31146" s="676"/>
      <c r="I31146" s="676"/>
      <c r="J31146" s="770"/>
    </row>
    <row r="31147" spans="8:10" x14ac:dyDescent="0.35">
      <c r="H31147" s="676"/>
      <c r="I31147" s="676"/>
      <c r="J31147" s="770"/>
    </row>
    <row r="31148" spans="8:10" x14ac:dyDescent="0.35">
      <c r="H31148" s="676"/>
      <c r="I31148" s="676"/>
      <c r="J31148" s="770"/>
    </row>
    <row r="31149" spans="8:10" x14ac:dyDescent="0.35">
      <c r="H31149" s="676"/>
      <c r="I31149" s="676"/>
      <c r="J31149" s="770"/>
    </row>
    <row r="31150" spans="8:10" x14ac:dyDescent="0.35">
      <c r="H31150" s="676"/>
      <c r="I31150" s="676"/>
      <c r="J31150" s="770"/>
    </row>
    <row r="31151" spans="8:10" x14ac:dyDescent="0.35">
      <c r="H31151" s="676"/>
      <c r="I31151" s="676"/>
      <c r="J31151" s="770"/>
    </row>
    <row r="31152" spans="8:10" x14ac:dyDescent="0.35">
      <c r="H31152" s="676"/>
      <c r="I31152" s="676"/>
      <c r="J31152" s="770"/>
    </row>
    <row r="31153" spans="8:10" x14ac:dyDescent="0.35">
      <c r="H31153" s="676"/>
      <c r="I31153" s="676"/>
      <c r="J31153" s="770"/>
    </row>
    <row r="31154" spans="8:10" x14ac:dyDescent="0.35">
      <c r="H31154" s="676"/>
      <c r="I31154" s="676"/>
      <c r="J31154" s="770"/>
    </row>
    <row r="31155" spans="8:10" x14ac:dyDescent="0.35">
      <c r="H31155" s="676"/>
      <c r="I31155" s="676"/>
      <c r="J31155" s="770"/>
    </row>
    <row r="31156" spans="8:10" x14ac:dyDescent="0.35">
      <c r="H31156" s="676"/>
      <c r="I31156" s="676"/>
      <c r="J31156" s="770"/>
    </row>
    <row r="31157" spans="8:10" x14ac:dyDescent="0.35">
      <c r="H31157" s="676"/>
      <c r="I31157" s="676"/>
      <c r="J31157" s="770"/>
    </row>
    <row r="31158" spans="8:10" x14ac:dyDescent="0.35">
      <c r="H31158" s="676"/>
      <c r="I31158" s="676"/>
      <c r="J31158" s="770"/>
    </row>
    <row r="31159" spans="8:10" x14ac:dyDescent="0.35">
      <c r="H31159" s="676"/>
      <c r="I31159" s="676"/>
      <c r="J31159" s="770"/>
    </row>
    <row r="31160" spans="8:10" x14ac:dyDescent="0.35">
      <c r="H31160" s="676"/>
      <c r="I31160" s="676"/>
      <c r="J31160" s="770"/>
    </row>
    <row r="31161" spans="8:10" x14ac:dyDescent="0.35">
      <c r="H31161" s="676"/>
      <c r="I31161" s="676"/>
      <c r="J31161" s="770"/>
    </row>
    <row r="31162" spans="8:10" x14ac:dyDescent="0.35">
      <c r="H31162" s="676"/>
      <c r="I31162" s="676"/>
      <c r="J31162" s="770"/>
    </row>
    <row r="31163" spans="8:10" x14ac:dyDescent="0.35">
      <c r="H31163" s="676"/>
      <c r="I31163" s="676"/>
      <c r="J31163" s="770"/>
    </row>
    <row r="31164" spans="8:10" x14ac:dyDescent="0.35">
      <c r="H31164" s="676"/>
      <c r="I31164" s="676"/>
      <c r="J31164" s="770"/>
    </row>
    <row r="31165" spans="8:10" x14ac:dyDescent="0.35">
      <c r="H31165" s="676"/>
      <c r="I31165" s="676"/>
      <c r="J31165" s="770"/>
    </row>
    <row r="31166" spans="8:10" x14ac:dyDescent="0.35">
      <c r="H31166" s="676"/>
      <c r="I31166" s="676"/>
      <c r="J31166" s="770"/>
    </row>
    <row r="31167" spans="8:10" x14ac:dyDescent="0.35">
      <c r="H31167" s="676"/>
      <c r="I31167" s="676"/>
      <c r="J31167" s="770"/>
    </row>
    <row r="31168" spans="8:10" x14ac:dyDescent="0.35">
      <c r="H31168" s="676"/>
      <c r="I31168" s="676"/>
      <c r="J31168" s="770"/>
    </row>
    <row r="31169" spans="8:10" x14ac:dyDescent="0.35">
      <c r="H31169" s="676"/>
      <c r="I31169" s="676"/>
      <c r="J31169" s="770"/>
    </row>
    <row r="31170" spans="8:10" x14ac:dyDescent="0.35">
      <c r="H31170" s="676"/>
      <c r="I31170" s="676"/>
      <c r="J31170" s="770"/>
    </row>
    <row r="31171" spans="8:10" x14ac:dyDescent="0.35">
      <c r="H31171" s="676"/>
      <c r="I31171" s="676"/>
      <c r="J31171" s="770"/>
    </row>
    <row r="31172" spans="8:10" x14ac:dyDescent="0.35">
      <c r="H31172" s="676"/>
      <c r="I31172" s="676"/>
      <c r="J31172" s="770"/>
    </row>
    <row r="31173" spans="8:10" x14ac:dyDescent="0.35">
      <c r="H31173" s="676"/>
      <c r="I31173" s="676"/>
      <c r="J31173" s="770"/>
    </row>
    <row r="31174" spans="8:10" x14ac:dyDescent="0.35">
      <c r="H31174" s="676"/>
      <c r="I31174" s="676"/>
      <c r="J31174" s="770"/>
    </row>
    <row r="31175" spans="8:10" x14ac:dyDescent="0.35">
      <c r="H31175" s="676"/>
      <c r="I31175" s="676"/>
      <c r="J31175" s="770"/>
    </row>
    <row r="31176" spans="8:10" x14ac:dyDescent="0.35">
      <c r="H31176" s="676"/>
      <c r="I31176" s="676"/>
      <c r="J31176" s="770"/>
    </row>
    <row r="31177" spans="8:10" x14ac:dyDescent="0.35">
      <c r="H31177" s="676"/>
      <c r="I31177" s="676"/>
      <c r="J31177" s="770"/>
    </row>
    <row r="31178" spans="8:10" x14ac:dyDescent="0.35">
      <c r="H31178" s="676"/>
      <c r="I31178" s="676"/>
      <c r="J31178" s="770"/>
    </row>
    <row r="31179" spans="8:10" x14ac:dyDescent="0.35">
      <c r="H31179" s="676"/>
      <c r="I31179" s="676"/>
      <c r="J31179" s="770"/>
    </row>
    <row r="31180" spans="8:10" x14ac:dyDescent="0.35">
      <c r="H31180" s="676"/>
      <c r="I31180" s="676"/>
      <c r="J31180" s="770"/>
    </row>
    <row r="31181" spans="8:10" x14ac:dyDescent="0.35">
      <c r="H31181" s="676"/>
      <c r="I31181" s="676"/>
      <c r="J31181" s="770"/>
    </row>
    <row r="31182" spans="8:10" x14ac:dyDescent="0.35">
      <c r="H31182" s="676"/>
      <c r="I31182" s="676"/>
      <c r="J31182" s="770"/>
    </row>
    <row r="31183" spans="8:10" x14ac:dyDescent="0.35">
      <c r="H31183" s="676"/>
      <c r="I31183" s="676"/>
      <c r="J31183" s="770"/>
    </row>
    <row r="31184" spans="8:10" x14ac:dyDescent="0.35">
      <c r="H31184" s="676"/>
      <c r="I31184" s="676"/>
      <c r="J31184" s="770"/>
    </row>
    <row r="31185" spans="8:10" x14ac:dyDescent="0.35">
      <c r="H31185" s="676"/>
      <c r="I31185" s="676"/>
      <c r="J31185" s="770"/>
    </row>
    <row r="31186" spans="8:10" x14ac:dyDescent="0.35">
      <c r="H31186" s="676"/>
      <c r="I31186" s="676"/>
      <c r="J31186" s="770"/>
    </row>
    <row r="31187" spans="8:10" x14ac:dyDescent="0.35">
      <c r="H31187" s="676"/>
      <c r="I31187" s="676"/>
      <c r="J31187" s="770"/>
    </row>
    <row r="31188" spans="8:10" x14ac:dyDescent="0.35">
      <c r="H31188" s="676"/>
      <c r="I31188" s="676"/>
      <c r="J31188" s="770"/>
    </row>
    <row r="31189" spans="8:10" x14ac:dyDescent="0.35">
      <c r="H31189" s="676"/>
      <c r="I31189" s="676"/>
      <c r="J31189" s="770"/>
    </row>
    <row r="31190" spans="8:10" x14ac:dyDescent="0.35">
      <c r="H31190" s="676"/>
      <c r="I31190" s="676"/>
      <c r="J31190" s="770"/>
    </row>
    <row r="31191" spans="8:10" x14ac:dyDescent="0.35">
      <c r="H31191" s="676"/>
      <c r="I31191" s="676"/>
      <c r="J31191" s="770"/>
    </row>
    <row r="31192" spans="8:10" x14ac:dyDescent="0.35">
      <c r="H31192" s="676"/>
      <c r="I31192" s="676"/>
      <c r="J31192" s="770"/>
    </row>
    <row r="31193" spans="8:10" x14ac:dyDescent="0.35">
      <c r="H31193" s="676"/>
      <c r="I31193" s="676"/>
      <c r="J31193" s="770"/>
    </row>
    <row r="31194" spans="8:10" x14ac:dyDescent="0.35">
      <c r="H31194" s="676"/>
      <c r="I31194" s="676"/>
      <c r="J31194" s="770"/>
    </row>
    <row r="31195" spans="8:10" x14ac:dyDescent="0.35">
      <c r="H31195" s="676"/>
      <c r="I31195" s="676"/>
      <c r="J31195" s="770"/>
    </row>
    <row r="31196" spans="8:10" x14ac:dyDescent="0.35">
      <c r="H31196" s="676"/>
      <c r="I31196" s="676"/>
      <c r="J31196" s="770"/>
    </row>
    <row r="31197" spans="8:10" x14ac:dyDescent="0.35">
      <c r="H31197" s="676"/>
      <c r="I31197" s="676"/>
      <c r="J31197" s="770"/>
    </row>
    <row r="31198" spans="8:10" x14ac:dyDescent="0.35">
      <c r="H31198" s="676"/>
      <c r="I31198" s="676"/>
      <c r="J31198" s="770"/>
    </row>
    <row r="31199" spans="8:10" x14ac:dyDescent="0.35">
      <c r="H31199" s="676"/>
      <c r="I31199" s="676"/>
      <c r="J31199" s="770"/>
    </row>
    <row r="31200" spans="8:10" x14ac:dyDescent="0.35">
      <c r="H31200" s="676"/>
      <c r="I31200" s="676"/>
      <c r="J31200" s="770"/>
    </row>
    <row r="31201" spans="8:10" x14ac:dyDescent="0.35">
      <c r="H31201" s="676"/>
      <c r="I31201" s="676"/>
      <c r="J31201" s="770"/>
    </row>
    <row r="31202" spans="8:10" x14ac:dyDescent="0.35">
      <c r="H31202" s="676"/>
      <c r="I31202" s="676"/>
      <c r="J31202" s="770"/>
    </row>
    <row r="31203" spans="8:10" x14ac:dyDescent="0.35">
      <c r="H31203" s="676"/>
      <c r="I31203" s="676"/>
      <c r="J31203" s="770"/>
    </row>
    <row r="31204" spans="8:10" x14ac:dyDescent="0.35">
      <c r="H31204" s="676"/>
      <c r="I31204" s="676"/>
      <c r="J31204" s="770"/>
    </row>
    <row r="31205" spans="8:10" x14ac:dyDescent="0.35">
      <c r="H31205" s="676"/>
      <c r="I31205" s="676"/>
      <c r="J31205" s="770"/>
    </row>
    <row r="31206" spans="8:10" x14ac:dyDescent="0.35">
      <c r="H31206" s="676"/>
      <c r="I31206" s="676"/>
      <c r="J31206" s="770"/>
    </row>
    <row r="31207" spans="8:10" x14ac:dyDescent="0.35">
      <c r="H31207" s="676"/>
      <c r="I31207" s="676"/>
      <c r="J31207" s="770"/>
    </row>
    <row r="31208" spans="8:10" x14ac:dyDescent="0.35">
      <c r="H31208" s="676"/>
      <c r="I31208" s="676"/>
      <c r="J31208" s="770"/>
    </row>
    <row r="31209" spans="8:10" x14ac:dyDescent="0.35">
      <c r="H31209" s="676"/>
      <c r="I31209" s="676"/>
      <c r="J31209" s="770"/>
    </row>
    <row r="31210" spans="8:10" x14ac:dyDescent="0.35">
      <c r="H31210" s="676"/>
      <c r="I31210" s="676"/>
      <c r="J31210" s="770"/>
    </row>
    <row r="31211" spans="8:10" x14ac:dyDescent="0.35">
      <c r="H31211" s="676"/>
      <c r="I31211" s="676"/>
      <c r="J31211" s="770"/>
    </row>
    <row r="31212" spans="8:10" x14ac:dyDescent="0.35">
      <c r="H31212" s="676"/>
      <c r="I31212" s="676"/>
      <c r="J31212" s="770"/>
    </row>
    <row r="31213" spans="8:10" x14ac:dyDescent="0.35">
      <c r="H31213" s="676"/>
      <c r="I31213" s="676"/>
      <c r="J31213" s="770"/>
    </row>
    <row r="31214" spans="8:10" x14ac:dyDescent="0.35">
      <c r="H31214" s="676"/>
      <c r="I31214" s="676"/>
      <c r="J31214" s="770"/>
    </row>
    <row r="31215" spans="8:10" x14ac:dyDescent="0.35">
      <c r="H31215" s="676"/>
      <c r="I31215" s="676"/>
      <c r="J31215" s="770"/>
    </row>
    <row r="31216" spans="8:10" x14ac:dyDescent="0.35">
      <c r="H31216" s="676"/>
      <c r="I31216" s="676"/>
      <c r="J31216" s="770"/>
    </row>
    <row r="31217" spans="8:10" x14ac:dyDescent="0.35">
      <c r="H31217" s="676"/>
      <c r="I31217" s="676"/>
      <c r="J31217" s="770"/>
    </row>
    <row r="31218" spans="8:10" x14ac:dyDescent="0.35">
      <c r="H31218" s="676"/>
      <c r="I31218" s="676"/>
      <c r="J31218" s="770"/>
    </row>
    <row r="31219" spans="8:10" x14ac:dyDescent="0.35">
      <c r="H31219" s="676"/>
      <c r="I31219" s="676"/>
      <c r="J31219" s="770"/>
    </row>
    <row r="31220" spans="8:10" x14ac:dyDescent="0.35">
      <c r="H31220" s="676"/>
      <c r="I31220" s="676"/>
      <c r="J31220" s="770"/>
    </row>
    <row r="31221" spans="8:10" x14ac:dyDescent="0.35">
      <c r="H31221" s="676"/>
      <c r="I31221" s="676"/>
      <c r="J31221" s="770"/>
    </row>
    <row r="31222" spans="8:10" x14ac:dyDescent="0.35">
      <c r="H31222" s="676"/>
      <c r="I31222" s="676"/>
      <c r="J31222" s="770"/>
    </row>
    <row r="31223" spans="8:10" x14ac:dyDescent="0.35">
      <c r="H31223" s="676"/>
      <c r="I31223" s="676"/>
      <c r="J31223" s="770"/>
    </row>
    <row r="31224" spans="8:10" x14ac:dyDescent="0.35">
      <c r="H31224" s="676"/>
      <c r="I31224" s="676"/>
      <c r="J31224" s="770"/>
    </row>
    <row r="31225" spans="8:10" x14ac:dyDescent="0.35">
      <c r="H31225" s="676"/>
      <c r="I31225" s="676"/>
      <c r="J31225" s="770"/>
    </row>
    <row r="31226" spans="8:10" x14ac:dyDescent="0.35">
      <c r="H31226" s="676"/>
      <c r="I31226" s="676"/>
      <c r="J31226" s="770"/>
    </row>
    <row r="31227" spans="8:10" x14ac:dyDescent="0.35">
      <c r="H31227" s="676"/>
      <c r="I31227" s="676"/>
      <c r="J31227" s="770"/>
    </row>
    <row r="31228" spans="8:10" x14ac:dyDescent="0.35">
      <c r="H31228" s="676"/>
      <c r="I31228" s="676"/>
      <c r="J31228" s="770"/>
    </row>
    <row r="31229" spans="8:10" x14ac:dyDescent="0.35">
      <c r="H31229" s="676"/>
      <c r="I31229" s="676"/>
      <c r="J31229" s="770"/>
    </row>
    <row r="31230" spans="8:10" x14ac:dyDescent="0.35">
      <c r="H31230" s="676"/>
      <c r="I31230" s="676"/>
      <c r="J31230" s="770"/>
    </row>
    <row r="31231" spans="8:10" x14ac:dyDescent="0.35">
      <c r="H31231" s="676"/>
      <c r="I31231" s="676"/>
      <c r="J31231" s="770"/>
    </row>
    <row r="31232" spans="8:10" x14ac:dyDescent="0.35">
      <c r="H31232" s="676"/>
      <c r="I31232" s="676"/>
      <c r="J31232" s="770"/>
    </row>
    <row r="31233" spans="8:10" x14ac:dyDescent="0.35">
      <c r="H31233" s="676"/>
      <c r="I31233" s="676"/>
      <c r="J31233" s="770"/>
    </row>
    <row r="31234" spans="8:10" x14ac:dyDescent="0.35">
      <c r="H31234" s="676"/>
      <c r="I31234" s="676"/>
      <c r="J31234" s="770"/>
    </row>
    <row r="31235" spans="8:10" x14ac:dyDescent="0.35">
      <c r="H31235" s="676"/>
      <c r="I31235" s="676"/>
      <c r="J31235" s="770"/>
    </row>
    <row r="31236" spans="8:10" x14ac:dyDescent="0.35">
      <c r="H31236" s="676"/>
      <c r="I31236" s="676"/>
      <c r="J31236" s="770"/>
    </row>
    <row r="31237" spans="8:10" x14ac:dyDescent="0.35">
      <c r="H31237" s="676"/>
      <c r="I31237" s="676"/>
      <c r="J31237" s="770"/>
    </row>
    <row r="31238" spans="8:10" x14ac:dyDescent="0.35">
      <c r="H31238" s="676"/>
      <c r="I31238" s="676"/>
      <c r="J31238" s="770"/>
    </row>
    <row r="31239" spans="8:10" x14ac:dyDescent="0.35">
      <c r="H31239" s="676"/>
      <c r="I31239" s="676"/>
      <c r="J31239" s="770"/>
    </row>
    <row r="31240" spans="8:10" x14ac:dyDescent="0.35">
      <c r="H31240" s="676"/>
      <c r="I31240" s="676"/>
      <c r="J31240" s="770"/>
    </row>
    <row r="31241" spans="8:10" x14ac:dyDescent="0.35">
      <c r="H31241" s="676"/>
      <c r="I31241" s="676"/>
      <c r="J31241" s="770"/>
    </row>
    <row r="31242" spans="8:10" x14ac:dyDescent="0.35">
      <c r="H31242" s="676"/>
      <c r="I31242" s="676"/>
      <c r="J31242" s="770"/>
    </row>
    <row r="31243" spans="8:10" x14ac:dyDescent="0.35">
      <c r="H31243" s="676"/>
      <c r="I31243" s="676"/>
      <c r="J31243" s="770"/>
    </row>
    <row r="31244" spans="8:10" x14ac:dyDescent="0.35">
      <c r="H31244" s="676"/>
      <c r="I31244" s="676"/>
      <c r="J31244" s="770"/>
    </row>
    <row r="31245" spans="8:10" x14ac:dyDescent="0.35">
      <c r="H31245" s="676"/>
      <c r="I31245" s="676"/>
      <c r="J31245" s="770"/>
    </row>
    <row r="31246" spans="8:10" x14ac:dyDescent="0.35">
      <c r="H31246" s="676"/>
      <c r="I31246" s="676"/>
      <c r="J31246" s="770"/>
    </row>
    <row r="31247" spans="8:10" x14ac:dyDescent="0.35">
      <c r="H31247" s="676"/>
      <c r="I31247" s="676"/>
      <c r="J31247" s="770"/>
    </row>
    <row r="31248" spans="8:10" x14ac:dyDescent="0.35">
      <c r="H31248" s="676"/>
      <c r="I31248" s="676"/>
      <c r="J31248" s="770"/>
    </row>
    <row r="31249" spans="8:10" x14ac:dyDescent="0.35">
      <c r="H31249" s="676"/>
      <c r="I31249" s="676"/>
      <c r="J31249" s="770"/>
    </row>
    <row r="31250" spans="8:10" x14ac:dyDescent="0.35">
      <c r="H31250" s="676"/>
      <c r="I31250" s="676"/>
      <c r="J31250" s="770"/>
    </row>
    <row r="31251" spans="8:10" x14ac:dyDescent="0.35">
      <c r="H31251" s="676"/>
      <c r="I31251" s="676"/>
      <c r="J31251" s="770"/>
    </row>
    <row r="31252" spans="8:10" x14ac:dyDescent="0.35">
      <c r="H31252" s="676"/>
      <c r="I31252" s="676"/>
      <c r="J31252" s="770"/>
    </row>
    <row r="31253" spans="8:10" x14ac:dyDescent="0.35">
      <c r="H31253" s="676"/>
      <c r="I31253" s="676"/>
      <c r="J31253" s="770"/>
    </row>
    <row r="31254" spans="8:10" x14ac:dyDescent="0.35">
      <c r="H31254" s="676"/>
      <c r="I31254" s="676"/>
      <c r="J31254" s="770"/>
    </row>
    <row r="31255" spans="8:10" x14ac:dyDescent="0.35">
      <c r="H31255" s="676"/>
      <c r="I31255" s="676"/>
      <c r="J31255" s="770"/>
    </row>
    <row r="31256" spans="8:10" x14ac:dyDescent="0.35">
      <c r="H31256" s="676"/>
      <c r="I31256" s="676"/>
      <c r="J31256" s="770"/>
    </row>
    <row r="31257" spans="8:10" x14ac:dyDescent="0.35">
      <c r="H31257" s="676"/>
      <c r="I31257" s="676"/>
      <c r="J31257" s="770"/>
    </row>
    <row r="31258" spans="8:10" x14ac:dyDescent="0.35">
      <c r="H31258" s="676"/>
      <c r="I31258" s="676"/>
      <c r="J31258" s="770"/>
    </row>
    <row r="31259" spans="8:10" x14ac:dyDescent="0.35">
      <c r="H31259" s="676"/>
      <c r="I31259" s="676"/>
      <c r="J31259" s="770"/>
    </row>
    <row r="31260" spans="8:10" x14ac:dyDescent="0.35">
      <c r="H31260" s="676"/>
      <c r="I31260" s="676"/>
      <c r="J31260" s="770"/>
    </row>
    <row r="31261" spans="8:10" x14ac:dyDescent="0.35">
      <c r="H31261" s="676"/>
      <c r="I31261" s="676"/>
      <c r="J31261" s="770"/>
    </row>
    <row r="31262" spans="8:10" x14ac:dyDescent="0.35">
      <c r="H31262" s="676"/>
      <c r="I31262" s="676"/>
      <c r="J31262" s="770"/>
    </row>
    <row r="31263" spans="8:10" x14ac:dyDescent="0.35">
      <c r="H31263" s="676"/>
      <c r="I31263" s="676"/>
      <c r="J31263" s="770"/>
    </row>
    <row r="31264" spans="8:10" x14ac:dyDescent="0.35">
      <c r="H31264" s="676"/>
      <c r="I31264" s="676"/>
      <c r="J31264" s="770"/>
    </row>
    <row r="31265" spans="8:10" x14ac:dyDescent="0.35">
      <c r="H31265" s="676"/>
      <c r="I31265" s="676"/>
      <c r="J31265" s="770"/>
    </row>
    <row r="31266" spans="8:10" x14ac:dyDescent="0.35">
      <c r="H31266" s="676"/>
      <c r="I31266" s="676"/>
      <c r="J31266" s="770"/>
    </row>
    <row r="31267" spans="8:10" x14ac:dyDescent="0.35">
      <c r="H31267" s="676"/>
      <c r="I31267" s="676"/>
      <c r="J31267" s="770"/>
    </row>
    <row r="31268" spans="8:10" x14ac:dyDescent="0.35">
      <c r="H31268" s="676"/>
      <c r="I31268" s="676"/>
      <c r="J31268" s="770"/>
    </row>
    <row r="31269" spans="8:10" x14ac:dyDescent="0.35">
      <c r="H31269" s="676"/>
      <c r="I31269" s="676"/>
      <c r="J31269" s="770"/>
    </row>
    <row r="31270" spans="8:10" x14ac:dyDescent="0.35">
      <c r="H31270" s="676"/>
      <c r="I31270" s="676"/>
      <c r="J31270" s="770"/>
    </row>
    <row r="31271" spans="8:10" x14ac:dyDescent="0.35">
      <c r="H31271" s="676"/>
      <c r="I31271" s="676"/>
      <c r="J31271" s="770"/>
    </row>
    <row r="31272" spans="8:10" x14ac:dyDescent="0.35">
      <c r="H31272" s="676"/>
      <c r="I31272" s="676"/>
      <c r="J31272" s="770"/>
    </row>
    <row r="31273" spans="8:10" x14ac:dyDescent="0.35">
      <c r="H31273" s="676"/>
      <c r="I31273" s="676"/>
      <c r="J31273" s="770"/>
    </row>
    <row r="31274" spans="8:10" x14ac:dyDescent="0.35">
      <c r="H31274" s="676"/>
      <c r="I31274" s="676"/>
      <c r="J31274" s="770"/>
    </row>
    <row r="31275" spans="8:10" x14ac:dyDescent="0.35">
      <c r="H31275" s="676"/>
      <c r="I31275" s="676"/>
      <c r="J31275" s="770"/>
    </row>
    <row r="31276" spans="8:10" x14ac:dyDescent="0.35">
      <c r="H31276" s="676"/>
      <c r="I31276" s="676"/>
      <c r="J31276" s="770"/>
    </row>
    <row r="31277" spans="8:10" x14ac:dyDescent="0.35">
      <c r="H31277" s="676"/>
      <c r="I31277" s="676"/>
      <c r="J31277" s="770"/>
    </row>
    <row r="31278" spans="8:10" x14ac:dyDescent="0.35">
      <c r="H31278" s="676"/>
      <c r="I31278" s="676"/>
      <c r="J31278" s="770"/>
    </row>
    <row r="31279" spans="8:10" x14ac:dyDescent="0.35">
      <c r="H31279" s="676"/>
      <c r="I31279" s="676"/>
      <c r="J31279" s="770"/>
    </row>
    <row r="31280" spans="8:10" x14ac:dyDescent="0.35">
      <c r="H31280" s="676"/>
      <c r="I31280" s="676"/>
      <c r="J31280" s="770"/>
    </row>
    <row r="31281" spans="8:10" x14ac:dyDescent="0.35">
      <c r="H31281" s="676"/>
      <c r="I31281" s="676"/>
      <c r="J31281" s="770"/>
    </row>
    <row r="31282" spans="8:10" x14ac:dyDescent="0.35">
      <c r="H31282" s="676"/>
      <c r="I31282" s="676"/>
      <c r="J31282" s="770"/>
    </row>
    <row r="31283" spans="8:10" x14ac:dyDescent="0.35">
      <c r="H31283" s="676"/>
      <c r="I31283" s="676"/>
      <c r="J31283" s="770"/>
    </row>
    <row r="31284" spans="8:10" x14ac:dyDescent="0.35">
      <c r="H31284" s="676"/>
      <c r="I31284" s="676"/>
      <c r="J31284" s="770"/>
    </row>
    <row r="31285" spans="8:10" x14ac:dyDescent="0.35">
      <c r="H31285" s="676"/>
      <c r="I31285" s="676"/>
      <c r="J31285" s="770"/>
    </row>
    <row r="31286" spans="8:10" x14ac:dyDescent="0.35">
      <c r="H31286" s="676"/>
      <c r="I31286" s="676"/>
      <c r="J31286" s="770"/>
    </row>
    <row r="31287" spans="8:10" x14ac:dyDescent="0.35">
      <c r="H31287" s="676"/>
      <c r="I31287" s="676"/>
      <c r="J31287" s="770"/>
    </row>
    <row r="31288" spans="8:10" x14ac:dyDescent="0.35">
      <c r="H31288" s="676"/>
      <c r="I31288" s="676"/>
      <c r="J31288" s="770"/>
    </row>
    <row r="31289" spans="8:10" x14ac:dyDescent="0.35">
      <c r="H31289" s="676"/>
      <c r="I31289" s="676"/>
      <c r="J31289" s="770"/>
    </row>
    <row r="31290" spans="8:10" x14ac:dyDescent="0.35">
      <c r="H31290" s="676"/>
      <c r="I31290" s="676"/>
      <c r="J31290" s="770"/>
    </row>
    <row r="31291" spans="8:10" x14ac:dyDescent="0.35">
      <c r="H31291" s="676"/>
      <c r="I31291" s="676"/>
      <c r="J31291" s="770"/>
    </row>
    <row r="31292" spans="8:10" x14ac:dyDescent="0.35">
      <c r="H31292" s="676"/>
      <c r="I31292" s="676"/>
      <c r="J31292" s="770"/>
    </row>
    <row r="31293" spans="8:10" x14ac:dyDescent="0.35">
      <c r="H31293" s="676"/>
      <c r="I31293" s="676"/>
      <c r="J31293" s="770"/>
    </row>
    <row r="31294" spans="8:10" x14ac:dyDescent="0.35">
      <c r="H31294" s="676"/>
      <c r="I31294" s="676"/>
      <c r="J31294" s="770"/>
    </row>
    <row r="31295" spans="8:10" x14ac:dyDescent="0.35">
      <c r="H31295" s="676"/>
      <c r="I31295" s="676"/>
      <c r="J31295" s="770"/>
    </row>
    <row r="31296" spans="8:10" x14ac:dyDescent="0.35">
      <c r="H31296" s="676"/>
      <c r="I31296" s="676"/>
      <c r="J31296" s="770"/>
    </row>
    <row r="31297" spans="8:10" x14ac:dyDescent="0.35">
      <c r="H31297" s="676"/>
      <c r="I31297" s="676"/>
      <c r="J31297" s="770"/>
    </row>
    <row r="31298" spans="8:10" x14ac:dyDescent="0.35">
      <c r="H31298" s="676"/>
      <c r="I31298" s="676"/>
      <c r="J31298" s="770"/>
    </row>
    <row r="31299" spans="8:10" x14ac:dyDescent="0.35">
      <c r="H31299" s="676"/>
      <c r="I31299" s="676"/>
      <c r="J31299" s="770"/>
    </row>
    <row r="31300" spans="8:10" x14ac:dyDescent="0.35">
      <c r="H31300" s="676"/>
      <c r="I31300" s="676"/>
      <c r="J31300" s="770"/>
    </row>
    <row r="31301" spans="8:10" x14ac:dyDescent="0.35">
      <c r="H31301" s="676"/>
      <c r="I31301" s="676"/>
      <c r="J31301" s="770"/>
    </row>
    <row r="31302" spans="8:10" x14ac:dyDescent="0.35">
      <c r="H31302" s="676"/>
      <c r="I31302" s="676"/>
      <c r="J31302" s="770"/>
    </row>
    <row r="31303" spans="8:10" x14ac:dyDescent="0.35">
      <c r="H31303" s="676"/>
      <c r="I31303" s="676"/>
      <c r="J31303" s="770"/>
    </row>
    <row r="31304" spans="8:10" x14ac:dyDescent="0.35">
      <c r="H31304" s="676"/>
      <c r="I31304" s="676"/>
      <c r="J31304" s="770"/>
    </row>
    <row r="31305" spans="8:10" x14ac:dyDescent="0.35">
      <c r="H31305" s="676"/>
      <c r="I31305" s="676"/>
      <c r="J31305" s="770"/>
    </row>
    <row r="31306" spans="8:10" x14ac:dyDescent="0.35">
      <c r="H31306" s="676"/>
      <c r="I31306" s="676"/>
      <c r="J31306" s="770"/>
    </row>
    <row r="31307" spans="8:10" x14ac:dyDescent="0.35">
      <c r="H31307" s="676"/>
      <c r="I31307" s="676"/>
      <c r="J31307" s="770"/>
    </row>
    <row r="31308" spans="8:10" x14ac:dyDescent="0.35">
      <c r="H31308" s="676"/>
      <c r="I31308" s="676"/>
      <c r="J31308" s="770"/>
    </row>
    <row r="31309" spans="8:10" x14ac:dyDescent="0.35">
      <c r="H31309" s="676"/>
      <c r="I31309" s="676"/>
      <c r="J31309" s="770"/>
    </row>
    <row r="31310" spans="8:10" x14ac:dyDescent="0.35">
      <c r="H31310" s="676"/>
      <c r="I31310" s="676"/>
      <c r="J31310" s="770"/>
    </row>
    <row r="31311" spans="8:10" x14ac:dyDescent="0.35">
      <c r="H31311" s="676"/>
      <c r="I31311" s="676"/>
      <c r="J31311" s="770"/>
    </row>
    <row r="31312" spans="8:10" x14ac:dyDescent="0.35">
      <c r="H31312" s="676"/>
      <c r="I31312" s="676"/>
      <c r="J31312" s="770"/>
    </row>
    <row r="31313" spans="8:10" x14ac:dyDescent="0.35">
      <c r="H31313" s="676"/>
      <c r="I31313" s="676"/>
      <c r="J31313" s="770"/>
    </row>
    <row r="31314" spans="8:10" x14ac:dyDescent="0.35">
      <c r="H31314" s="676"/>
      <c r="I31314" s="676"/>
      <c r="J31314" s="770"/>
    </row>
    <row r="31315" spans="8:10" x14ac:dyDescent="0.35">
      <c r="H31315" s="676"/>
      <c r="I31315" s="676"/>
      <c r="J31315" s="770"/>
    </row>
    <row r="31316" spans="8:10" x14ac:dyDescent="0.35">
      <c r="H31316" s="676"/>
      <c r="I31316" s="676"/>
      <c r="J31316" s="770"/>
    </row>
    <row r="31317" spans="8:10" x14ac:dyDescent="0.35">
      <c r="H31317" s="676"/>
      <c r="I31317" s="676"/>
      <c r="J31317" s="770"/>
    </row>
    <row r="31318" spans="8:10" x14ac:dyDescent="0.35">
      <c r="H31318" s="676"/>
      <c r="I31318" s="676"/>
      <c r="J31318" s="770"/>
    </row>
    <row r="31319" spans="8:10" x14ac:dyDescent="0.35">
      <c r="H31319" s="676"/>
      <c r="I31319" s="676"/>
      <c r="J31319" s="770"/>
    </row>
    <row r="31320" spans="8:10" x14ac:dyDescent="0.35">
      <c r="H31320" s="676"/>
      <c r="I31320" s="676"/>
      <c r="J31320" s="770"/>
    </row>
    <row r="31321" spans="8:10" x14ac:dyDescent="0.35">
      <c r="H31321" s="676"/>
      <c r="I31321" s="676"/>
      <c r="J31321" s="770"/>
    </row>
    <row r="31322" spans="8:10" x14ac:dyDescent="0.35">
      <c r="H31322" s="676"/>
      <c r="I31322" s="676"/>
      <c r="J31322" s="770"/>
    </row>
    <row r="31323" spans="8:10" x14ac:dyDescent="0.35">
      <c r="H31323" s="676"/>
      <c r="I31323" s="676"/>
      <c r="J31323" s="770"/>
    </row>
    <row r="31324" spans="8:10" x14ac:dyDescent="0.35">
      <c r="H31324" s="676"/>
      <c r="I31324" s="676"/>
      <c r="J31324" s="770"/>
    </row>
    <row r="31325" spans="8:10" x14ac:dyDescent="0.35">
      <c r="H31325" s="676"/>
      <c r="I31325" s="676"/>
      <c r="J31325" s="770"/>
    </row>
    <row r="31326" spans="8:10" x14ac:dyDescent="0.35">
      <c r="H31326" s="676"/>
      <c r="I31326" s="676"/>
      <c r="J31326" s="770"/>
    </row>
    <row r="31327" spans="8:10" x14ac:dyDescent="0.35">
      <c r="H31327" s="676"/>
      <c r="I31327" s="676"/>
      <c r="J31327" s="770"/>
    </row>
    <row r="31328" spans="8:10" x14ac:dyDescent="0.35">
      <c r="H31328" s="676"/>
      <c r="I31328" s="676"/>
      <c r="J31328" s="770"/>
    </row>
    <row r="31329" spans="8:10" x14ac:dyDescent="0.35">
      <c r="H31329" s="676"/>
      <c r="I31329" s="676"/>
      <c r="J31329" s="770"/>
    </row>
    <row r="31330" spans="8:10" x14ac:dyDescent="0.35">
      <c r="H31330" s="676"/>
      <c r="I31330" s="676"/>
      <c r="J31330" s="770"/>
    </row>
    <row r="31331" spans="8:10" x14ac:dyDescent="0.35">
      <c r="H31331" s="676"/>
      <c r="I31331" s="676"/>
      <c r="J31331" s="770"/>
    </row>
    <row r="31332" spans="8:10" x14ac:dyDescent="0.35">
      <c r="H31332" s="676"/>
      <c r="I31332" s="676"/>
      <c r="J31332" s="770"/>
    </row>
    <row r="31333" spans="8:10" x14ac:dyDescent="0.35">
      <c r="H31333" s="676"/>
      <c r="I31333" s="676"/>
      <c r="J31333" s="770"/>
    </row>
    <row r="31334" spans="8:10" x14ac:dyDescent="0.35">
      <c r="H31334" s="676"/>
      <c r="I31334" s="676"/>
      <c r="J31334" s="770"/>
    </row>
    <row r="31335" spans="8:10" x14ac:dyDescent="0.35">
      <c r="H31335" s="676"/>
      <c r="I31335" s="676"/>
      <c r="J31335" s="770"/>
    </row>
    <row r="31336" spans="8:10" x14ac:dyDescent="0.35">
      <c r="H31336" s="676"/>
      <c r="I31336" s="676"/>
      <c r="J31336" s="770"/>
    </row>
    <row r="31337" spans="8:10" x14ac:dyDescent="0.35">
      <c r="H31337" s="676"/>
      <c r="I31337" s="676"/>
      <c r="J31337" s="770"/>
    </row>
    <row r="31338" spans="8:10" x14ac:dyDescent="0.35">
      <c r="H31338" s="676"/>
      <c r="I31338" s="676"/>
      <c r="J31338" s="770"/>
    </row>
    <row r="31339" spans="8:10" x14ac:dyDescent="0.35">
      <c r="H31339" s="676"/>
      <c r="I31339" s="676"/>
      <c r="J31339" s="770"/>
    </row>
    <row r="31340" spans="8:10" x14ac:dyDescent="0.35">
      <c r="H31340" s="676"/>
      <c r="I31340" s="676"/>
      <c r="J31340" s="770"/>
    </row>
    <row r="31341" spans="8:10" x14ac:dyDescent="0.35">
      <c r="H31341" s="676"/>
      <c r="I31341" s="676"/>
      <c r="J31341" s="770"/>
    </row>
    <row r="31342" spans="8:10" x14ac:dyDescent="0.35">
      <c r="H31342" s="676"/>
      <c r="I31342" s="676"/>
      <c r="J31342" s="770"/>
    </row>
    <row r="31343" spans="8:10" x14ac:dyDescent="0.35">
      <c r="H31343" s="676"/>
      <c r="I31343" s="676"/>
      <c r="J31343" s="770"/>
    </row>
    <row r="31344" spans="8:10" x14ac:dyDescent="0.35">
      <c r="H31344" s="676"/>
      <c r="I31344" s="676"/>
      <c r="J31344" s="770"/>
    </row>
    <row r="31345" spans="8:10" x14ac:dyDescent="0.35">
      <c r="H31345" s="676"/>
      <c r="I31345" s="676"/>
      <c r="J31345" s="770"/>
    </row>
    <row r="31346" spans="8:10" x14ac:dyDescent="0.35">
      <c r="H31346" s="676"/>
      <c r="I31346" s="676"/>
      <c r="J31346" s="770"/>
    </row>
    <row r="31347" spans="8:10" x14ac:dyDescent="0.35">
      <c r="H31347" s="676"/>
      <c r="I31347" s="676"/>
      <c r="J31347" s="770"/>
    </row>
    <row r="31348" spans="8:10" x14ac:dyDescent="0.35">
      <c r="H31348" s="676"/>
      <c r="I31348" s="676"/>
      <c r="J31348" s="770"/>
    </row>
    <row r="31349" spans="8:10" x14ac:dyDescent="0.35">
      <c r="H31349" s="676"/>
      <c r="I31349" s="676"/>
      <c r="J31349" s="770"/>
    </row>
    <row r="31350" spans="8:10" x14ac:dyDescent="0.35">
      <c r="H31350" s="676"/>
      <c r="I31350" s="676"/>
      <c r="J31350" s="770"/>
    </row>
    <row r="31351" spans="8:10" x14ac:dyDescent="0.35">
      <c r="H31351" s="676"/>
      <c r="I31351" s="676"/>
      <c r="J31351" s="770"/>
    </row>
    <row r="31352" spans="8:10" x14ac:dyDescent="0.35">
      <c r="H31352" s="676"/>
      <c r="I31352" s="676"/>
      <c r="J31352" s="770"/>
    </row>
    <row r="31353" spans="8:10" x14ac:dyDescent="0.35">
      <c r="H31353" s="676"/>
      <c r="I31353" s="676"/>
      <c r="J31353" s="770"/>
    </row>
    <row r="31354" spans="8:10" x14ac:dyDescent="0.35">
      <c r="H31354" s="676"/>
      <c r="I31354" s="676"/>
      <c r="J31354" s="770"/>
    </row>
    <row r="31355" spans="8:10" x14ac:dyDescent="0.35">
      <c r="H31355" s="676"/>
      <c r="I31355" s="676"/>
      <c r="J31355" s="770"/>
    </row>
    <row r="31356" spans="8:10" x14ac:dyDescent="0.35">
      <c r="H31356" s="676"/>
      <c r="I31356" s="676"/>
      <c r="J31356" s="770"/>
    </row>
    <row r="31357" spans="8:10" x14ac:dyDescent="0.35">
      <c r="H31357" s="676"/>
      <c r="I31357" s="676"/>
      <c r="J31357" s="770"/>
    </row>
    <row r="31358" spans="8:10" x14ac:dyDescent="0.35">
      <c r="H31358" s="676"/>
      <c r="I31358" s="676"/>
      <c r="J31358" s="770"/>
    </row>
    <row r="31359" spans="8:10" x14ac:dyDescent="0.35">
      <c r="H31359" s="676"/>
      <c r="I31359" s="676"/>
      <c r="J31359" s="770"/>
    </row>
    <row r="31360" spans="8:10" x14ac:dyDescent="0.35">
      <c r="H31360" s="676"/>
      <c r="I31360" s="676"/>
      <c r="J31360" s="770"/>
    </row>
    <row r="31361" spans="8:10" x14ac:dyDescent="0.35">
      <c r="H31361" s="676"/>
      <c r="I31361" s="676"/>
      <c r="J31361" s="770"/>
    </row>
    <row r="31362" spans="8:10" x14ac:dyDescent="0.35">
      <c r="H31362" s="676"/>
      <c r="I31362" s="676"/>
      <c r="J31362" s="770"/>
    </row>
    <row r="31363" spans="8:10" x14ac:dyDescent="0.35">
      <c r="H31363" s="676"/>
      <c r="I31363" s="676"/>
      <c r="J31363" s="770"/>
    </row>
    <row r="31364" spans="8:10" x14ac:dyDescent="0.35">
      <c r="H31364" s="676"/>
      <c r="I31364" s="676"/>
      <c r="J31364" s="770"/>
    </row>
    <row r="31365" spans="8:10" x14ac:dyDescent="0.35">
      <c r="H31365" s="676"/>
      <c r="I31365" s="676"/>
      <c r="J31365" s="770"/>
    </row>
    <row r="31366" spans="8:10" x14ac:dyDescent="0.35">
      <c r="H31366" s="676"/>
      <c r="I31366" s="676"/>
      <c r="J31366" s="770"/>
    </row>
    <row r="31367" spans="8:10" x14ac:dyDescent="0.35">
      <c r="H31367" s="676"/>
      <c r="I31367" s="676"/>
      <c r="J31367" s="770"/>
    </row>
    <row r="31368" spans="8:10" x14ac:dyDescent="0.35">
      <c r="H31368" s="676"/>
      <c r="I31368" s="676"/>
      <c r="J31368" s="770"/>
    </row>
    <row r="31369" spans="8:10" x14ac:dyDescent="0.35">
      <c r="H31369" s="676"/>
      <c r="I31369" s="676"/>
      <c r="J31369" s="770"/>
    </row>
    <row r="31370" spans="8:10" x14ac:dyDescent="0.35">
      <c r="H31370" s="676"/>
      <c r="I31370" s="676"/>
      <c r="J31370" s="770"/>
    </row>
    <row r="31371" spans="8:10" x14ac:dyDescent="0.35">
      <c r="H31371" s="676"/>
      <c r="I31371" s="676"/>
      <c r="J31371" s="770"/>
    </row>
    <row r="31372" spans="8:10" x14ac:dyDescent="0.35">
      <c r="H31372" s="676"/>
      <c r="I31372" s="676"/>
      <c r="J31372" s="770"/>
    </row>
    <row r="31373" spans="8:10" x14ac:dyDescent="0.35">
      <c r="H31373" s="676"/>
      <c r="I31373" s="676"/>
      <c r="J31373" s="770"/>
    </row>
    <row r="31374" spans="8:10" x14ac:dyDescent="0.35">
      <c r="H31374" s="676"/>
      <c r="I31374" s="676"/>
      <c r="J31374" s="770"/>
    </row>
    <row r="31375" spans="8:10" x14ac:dyDescent="0.35">
      <c r="H31375" s="676"/>
      <c r="I31375" s="676"/>
      <c r="J31375" s="770"/>
    </row>
    <row r="31376" spans="8:10" x14ac:dyDescent="0.35">
      <c r="H31376" s="676"/>
      <c r="I31376" s="676"/>
      <c r="J31376" s="770"/>
    </row>
    <row r="31377" spans="8:10" x14ac:dyDescent="0.35">
      <c r="H31377" s="676"/>
      <c r="I31377" s="676"/>
      <c r="J31377" s="770"/>
    </row>
    <row r="31378" spans="8:10" x14ac:dyDescent="0.35">
      <c r="H31378" s="676"/>
      <c r="I31378" s="676"/>
      <c r="J31378" s="770"/>
    </row>
    <row r="31379" spans="8:10" x14ac:dyDescent="0.35">
      <c r="H31379" s="676"/>
      <c r="I31379" s="676"/>
      <c r="J31379" s="770"/>
    </row>
    <row r="31380" spans="8:10" x14ac:dyDescent="0.35">
      <c r="H31380" s="676"/>
      <c r="I31380" s="676"/>
      <c r="J31380" s="770"/>
    </row>
    <row r="31381" spans="8:10" x14ac:dyDescent="0.35">
      <c r="H31381" s="676"/>
      <c r="I31381" s="676"/>
      <c r="J31381" s="770"/>
    </row>
    <row r="31382" spans="8:10" x14ac:dyDescent="0.35">
      <c r="H31382" s="676"/>
      <c r="I31382" s="676"/>
      <c r="J31382" s="770"/>
    </row>
    <row r="31383" spans="8:10" x14ac:dyDescent="0.35">
      <c r="H31383" s="676"/>
      <c r="I31383" s="676"/>
      <c r="J31383" s="770"/>
    </row>
    <row r="31384" spans="8:10" x14ac:dyDescent="0.35">
      <c r="H31384" s="676"/>
      <c r="I31384" s="676"/>
      <c r="J31384" s="770"/>
    </row>
    <row r="31385" spans="8:10" x14ac:dyDescent="0.35">
      <c r="H31385" s="676"/>
      <c r="I31385" s="676"/>
      <c r="J31385" s="770"/>
    </row>
    <row r="31386" spans="8:10" x14ac:dyDescent="0.35">
      <c r="H31386" s="676"/>
      <c r="I31386" s="676"/>
      <c r="J31386" s="770"/>
    </row>
    <row r="31387" spans="8:10" x14ac:dyDescent="0.35">
      <c r="H31387" s="676"/>
      <c r="I31387" s="676"/>
      <c r="J31387" s="770"/>
    </row>
    <row r="31388" spans="8:10" x14ac:dyDescent="0.35">
      <c r="H31388" s="676"/>
      <c r="I31388" s="676"/>
      <c r="J31388" s="770"/>
    </row>
    <row r="31389" spans="8:10" x14ac:dyDescent="0.35">
      <c r="H31389" s="676"/>
      <c r="I31389" s="676"/>
      <c r="J31389" s="770"/>
    </row>
    <row r="31390" spans="8:10" x14ac:dyDescent="0.35">
      <c r="H31390" s="676"/>
      <c r="I31390" s="676"/>
      <c r="J31390" s="770"/>
    </row>
    <row r="31391" spans="8:10" x14ac:dyDescent="0.35">
      <c r="H31391" s="676"/>
      <c r="I31391" s="676"/>
      <c r="J31391" s="770"/>
    </row>
    <row r="31392" spans="8:10" x14ac:dyDescent="0.35">
      <c r="H31392" s="676"/>
      <c r="I31392" s="676"/>
      <c r="J31392" s="770"/>
    </row>
    <row r="31393" spans="8:10" x14ac:dyDescent="0.35">
      <c r="H31393" s="676"/>
      <c r="I31393" s="676"/>
      <c r="J31393" s="770"/>
    </row>
    <row r="31394" spans="8:10" x14ac:dyDescent="0.35">
      <c r="H31394" s="676"/>
      <c r="I31394" s="676"/>
      <c r="J31394" s="770"/>
    </row>
    <row r="31395" spans="8:10" x14ac:dyDescent="0.35">
      <c r="H31395" s="676"/>
      <c r="I31395" s="676"/>
      <c r="J31395" s="770"/>
    </row>
    <row r="31396" spans="8:10" x14ac:dyDescent="0.35">
      <c r="H31396" s="676"/>
      <c r="I31396" s="676"/>
      <c r="J31396" s="770"/>
    </row>
    <row r="31397" spans="8:10" x14ac:dyDescent="0.35">
      <c r="H31397" s="676"/>
      <c r="I31397" s="676"/>
      <c r="J31397" s="770"/>
    </row>
    <row r="31398" spans="8:10" x14ac:dyDescent="0.35">
      <c r="H31398" s="676"/>
      <c r="I31398" s="676"/>
      <c r="J31398" s="770"/>
    </row>
    <row r="31399" spans="8:10" x14ac:dyDescent="0.35">
      <c r="H31399" s="676"/>
      <c r="I31399" s="676"/>
      <c r="J31399" s="770"/>
    </row>
    <row r="31400" spans="8:10" x14ac:dyDescent="0.35">
      <c r="H31400" s="676"/>
      <c r="I31400" s="676"/>
      <c r="J31400" s="770"/>
    </row>
    <row r="31401" spans="8:10" x14ac:dyDescent="0.35">
      <c r="H31401" s="676"/>
      <c r="I31401" s="676"/>
      <c r="J31401" s="770"/>
    </row>
    <row r="31402" spans="8:10" x14ac:dyDescent="0.35">
      <c r="H31402" s="676"/>
      <c r="I31402" s="676"/>
      <c r="J31402" s="770"/>
    </row>
    <row r="31403" spans="8:10" x14ac:dyDescent="0.35">
      <c r="H31403" s="676"/>
      <c r="I31403" s="676"/>
      <c r="J31403" s="770"/>
    </row>
    <row r="31404" spans="8:10" x14ac:dyDescent="0.35">
      <c r="H31404" s="676"/>
      <c r="I31404" s="676"/>
      <c r="J31404" s="770"/>
    </row>
    <row r="31405" spans="8:10" x14ac:dyDescent="0.35">
      <c r="H31405" s="676"/>
      <c r="I31405" s="676"/>
      <c r="J31405" s="770"/>
    </row>
    <row r="31406" spans="8:10" x14ac:dyDescent="0.35">
      <c r="H31406" s="676"/>
      <c r="I31406" s="676"/>
      <c r="J31406" s="770"/>
    </row>
    <row r="31407" spans="8:10" x14ac:dyDescent="0.35">
      <c r="H31407" s="676"/>
      <c r="I31407" s="676"/>
      <c r="J31407" s="770"/>
    </row>
    <row r="31408" spans="8:10" x14ac:dyDescent="0.35">
      <c r="H31408" s="676"/>
      <c r="I31408" s="676"/>
      <c r="J31408" s="770"/>
    </row>
    <row r="31409" spans="8:10" x14ac:dyDescent="0.35">
      <c r="H31409" s="676"/>
      <c r="I31409" s="676"/>
      <c r="J31409" s="770"/>
    </row>
    <row r="31410" spans="8:10" x14ac:dyDescent="0.35">
      <c r="H31410" s="676"/>
      <c r="I31410" s="676"/>
      <c r="J31410" s="770"/>
    </row>
    <row r="31411" spans="8:10" x14ac:dyDescent="0.35">
      <c r="H31411" s="676"/>
      <c r="I31411" s="676"/>
      <c r="J31411" s="770"/>
    </row>
    <row r="31412" spans="8:10" x14ac:dyDescent="0.35">
      <c r="H31412" s="676"/>
      <c r="I31412" s="676"/>
      <c r="J31412" s="770"/>
    </row>
    <row r="31413" spans="8:10" x14ac:dyDescent="0.35">
      <c r="H31413" s="676"/>
      <c r="I31413" s="676"/>
      <c r="J31413" s="770"/>
    </row>
    <row r="31414" spans="8:10" x14ac:dyDescent="0.35">
      <c r="H31414" s="676"/>
      <c r="I31414" s="676"/>
      <c r="J31414" s="770"/>
    </row>
    <row r="31415" spans="8:10" x14ac:dyDescent="0.35">
      <c r="H31415" s="676"/>
      <c r="I31415" s="676"/>
      <c r="J31415" s="770"/>
    </row>
    <row r="31416" spans="8:10" x14ac:dyDescent="0.35">
      <c r="H31416" s="676"/>
      <c r="I31416" s="676"/>
      <c r="J31416" s="770"/>
    </row>
    <row r="31417" spans="8:10" x14ac:dyDescent="0.35">
      <c r="H31417" s="676"/>
      <c r="I31417" s="676"/>
      <c r="J31417" s="770"/>
    </row>
    <row r="31418" spans="8:10" x14ac:dyDescent="0.35">
      <c r="H31418" s="676"/>
      <c r="I31418" s="676"/>
      <c r="J31418" s="770"/>
    </row>
    <row r="31419" spans="8:10" x14ac:dyDescent="0.35">
      <c r="H31419" s="676"/>
      <c r="I31419" s="676"/>
      <c r="J31419" s="770"/>
    </row>
    <row r="31420" spans="8:10" x14ac:dyDescent="0.35">
      <c r="H31420" s="676"/>
      <c r="I31420" s="676"/>
      <c r="J31420" s="770"/>
    </row>
    <row r="31421" spans="8:10" x14ac:dyDescent="0.35">
      <c r="H31421" s="676"/>
      <c r="I31421" s="676"/>
      <c r="J31421" s="770"/>
    </row>
    <row r="31422" spans="8:10" x14ac:dyDescent="0.35">
      <c r="H31422" s="676"/>
      <c r="I31422" s="676"/>
      <c r="J31422" s="770"/>
    </row>
    <row r="31423" spans="8:10" x14ac:dyDescent="0.35">
      <c r="H31423" s="676"/>
      <c r="I31423" s="676"/>
      <c r="J31423" s="770"/>
    </row>
    <row r="31424" spans="8:10" x14ac:dyDescent="0.35">
      <c r="H31424" s="676"/>
      <c r="I31424" s="676"/>
      <c r="J31424" s="770"/>
    </row>
    <row r="31425" spans="8:10" x14ac:dyDescent="0.35">
      <c r="H31425" s="676"/>
      <c r="I31425" s="676"/>
      <c r="J31425" s="770"/>
    </row>
    <row r="31426" spans="8:10" x14ac:dyDescent="0.35">
      <c r="H31426" s="676"/>
      <c r="I31426" s="676"/>
      <c r="J31426" s="770"/>
    </row>
    <row r="31427" spans="8:10" x14ac:dyDescent="0.35">
      <c r="H31427" s="676"/>
      <c r="I31427" s="676"/>
      <c r="J31427" s="770"/>
    </row>
    <row r="31428" spans="8:10" x14ac:dyDescent="0.35">
      <c r="H31428" s="676"/>
      <c r="I31428" s="676"/>
      <c r="J31428" s="770"/>
    </row>
    <row r="31429" spans="8:10" x14ac:dyDescent="0.35">
      <c r="H31429" s="676"/>
      <c r="I31429" s="676"/>
      <c r="J31429" s="770"/>
    </row>
    <row r="31430" spans="8:10" x14ac:dyDescent="0.35">
      <c r="H31430" s="676"/>
      <c r="I31430" s="676"/>
      <c r="J31430" s="770"/>
    </row>
    <row r="31431" spans="8:10" x14ac:dyDescent="0.35">
      <c r="H31431" s="676"/>
      <c r="I31431" s="676"/>
      <c r="J31431" s="770"/>
    </row>
    <row r="31432" spans="8:10" x14ac:dyDescent="0.35">
      <c r="H31432" s="676"/>
      <c r="I31432" s="676"/>
      <c r="J31432" s="770"/>
    </row>
    <row r="31433" spans="8:10" x14ac:dyDescent="0.35">
      <c r="H31433" s="676"/>
      <c r="I31433" s="676"/>
      <c r="J31433" s="770"/>
    </row>
    <row r="31434" spans="8:10" x14ac:dyDescent="0.35">
      <c r="H31434" s="676"/>
      <c r="I31434" s="676"/>
      <c r="J31434" s="770"/>
    </row>
    <row r="31435" spans="8:10" x14ac:dyDescent="0.35">
      <c r="H31435" s="676"/>
      <c r="I31435" s="676"/>
      <c r="J31435" s="770"/>
    </row>
    <row r="31436" spans="8:10" x14ac:dyDescent="0.35">
      <c r="H31436" s="676"/>
      <c r="I31436" s="676"/>
      <c r="J31436" s="770"/>
    </row>
    <row r="31437" spans="8:10" x14ac:dyDescent="0.35">
      <c r="H31437" s="676"/>
      <c r="I31437" s="676"/>
      <c r="J31437" s="770"/>
    </row>
    <row r="31438" spans="8:10" x14ac:dyDescent="0.35">
      <c r="H31438" s="676"/>
      <c r="I31438" s="676"/>
      <c r="J31438" s="770"/>
    </row>
    <row r="31439" spans="8:10" x14ac:dyDescent="0.35">
      <c r="H31439" s="676"/>
      <c r="I31439" s="676"/>
      <c r="J31439" s="770"/>
    </row>
    <row r="31440" spans="8:10" x14ac:dyDescent="0.35">
      <c r="H31440" s="676"/>
      <c r="I31440" s="676"/>
      <c r="J31440" s="770"/>
    </row>
    <row r="31441" spans="8:10" x14ac:dyDescent="0.35">
      <c r="H31441" s="676"/>
      <c r="I31441" s="676"/>
      <c r="J31441" s="770"/>
    </row>
    <row r="31442" spans="8:10" x14ac:dyDescent="0.35">
      <c r="H31442" s="676"/>
      <c r="I31442" s="676"/>
      <c r="J31442" s="770"/>
    </row>
    <row r="31443" spans="8:10" x14ac:dyDescent="0.35">
      <c r="H31443" s="676"/>
      <c r="I31443" s="676"/>
      <c r="J31443" s="770"/>
    </row>
    <row r="31444" spans="8:10" x14ac:dyDescent="0.35">
      <c r="H31444" s="676"/>
      <c r="I31444" s="676"/>
      <c r="J31444" s="770"/>
    </row>
    <row r="31445" spans="8:10" x14ac:dyDescent="0.35">
      <c r="H31445" s="676"/>
      <c r="I31445" s="676"/>
      <c r="J31445" s="770"/>
    </row>
    <row r="31446" spans="8:10" x14ac:dyDescent="0.35">
      <c r="H31446" s="676"/>
      <c r="I31446" s="676"/>
      <c r="J31446" s="770"/>
    </row>
    <row r="31447" spans="8:10" x14ac:dyDescent="0.35">
      <c r="H31447" s="676"/>
      <c r="I31447" s="676"/>
      <c r="J31447" s="770"/>
    </row>
    <row r="31448" spans="8:10" x14ac:dyDescent="0.35">
      <c r="H31448" s="676"/>
      <c r="I31448" s="676"/>
      <c r="J31448" s="770"/>
    </row>
    <row r="31449" spans="8:10" x14ac:dyDescent="0.35">
      <c r="H31449" s="676"/>
      <c r="I31449" s="676"/>
      <c r="J31449" s="770"/>
    </row>
    <row r="31450" spans="8:10" x14ac:dyDescent="0.35">
      <c r="H31450" s="676"/>
      <c r="I31450" s="676"/>
      <c r="J31450" s="770"/>
    </row>
    <row r="31451" spans="8:10" x14ac:dyDescent="0.35">
      <c r="H31451" s="676"/>
      <c r="I31451" s="676"/>
      <c r="J31451" s="770"/>
    </row>
    <row r="31452" spans="8:10" x14ac:dyDescent="0.35">
      <c r="H31452" s="676"/>
      <c r="I31452" s="676"/>
      <c r="J31452" s="770"/>
    </row>
    <row r="31453" spans="8:10" x14ac:dyDescent="0.35">
      <c r="H31453" s="676"/>
      <c r="I31453" s="676"/>
      <c r="J31453" s="770"/>
    </row>
    <row r="31454" spans="8:10" x14ac:dyDescent="0.35">
      <c r="H31454" s="676"/>
      <c r="I31454" s="676"/>
      <c r="J31454" s="770"/>
    </row>
    <row r="31455" spans="8:10" x14ac:dyDescent="0.35">
      <c r="H31455" s="676"/>
      <c r="I31455" s="676"/>
      <c r="J31455" s="770"/>
    </row>
    <row r="31456" spans="8:10" x14ac:dyDescent="0.35">
      <c r="H31456" s="676"/>
      <c r="I31456" s="676"/>
      <c r="J31456" s="770"/>
    </row>
    <row r="31457" spans="8:10" x14ac:dyDescent="0.35">
      <c r="H31457" s="676"/>
      <c r="I31457" s="676"/>
      <c r="J31457" s="770"/>
    </row>
    <row r="31458" spans="8:10" x14ac:dyDescent="0.35">
      <c r="H31458" s="676"/>
      <c r="I31458" s="676"/>
      <c r="J31458" s="770"/>
    </row>
    <row r="31459" spans="8:10" x14ac:dyDescent="0.35">
      <c r="H31459" s="676"/>
      <c r="I31459" s="676"/>
      <c r="J31459" s="770"/>
    </row>
    <row r="31460" spans="8:10" x14ac:dyDescent="0.35">
      <c r="H31460" s="676"/>
      <c r="I31460" s="676"/>
      <c r="J31460" s="770"/>
    </row>
    <row r="31461" spans="8:10" x14ac:dyDescent="0.35">
      <c r="H31461" s="676"/>
      <c r="I31461" s="676"/>
      <c r="J31461" s="770"/>
    </row>
    <row r="31462" spans="8:10" x14ac:dyDescent="0.35">
      <c r="H31462" s="676"/>
      <c r="I31462" s="676"/>
      <c r="J31462" s="770"/>
    </row>
    <row r="31463" spans="8:10" x14ac:dyDescent="0.35">
      <c r="H31463" s="676"/>
      <c r="I31463" s="676"/>
      <c r="J31463" s="770"/>
    </row>
    <row r="31464" spans="8:10" x14ac:dyDescent="0.35">
      <c r="H31464" s="676"/>
      <c r="I31464" s="676"/>
      <c r="J31464" s="770"/>
    </row>
    <row r="31465" spans="8:10" x14ac:dyDescent="0.35">
      <c r="H31465" s="676"/>
      <c r="I31465" s="676"/>
      <c r="J31465" s="770"/>
    </row>
    <row r="31466" spans="8:10" x14ac:dyDescent="0.35">
      <c r="H31466" s="676"/>
      <c r="I31466" s="676"/>
      <c r="J31466" s="770"/>
    </row>
    <row r="31467" spans="8:10" x14ac:dyDescent="0.35">
      <c r="H31467" s="676"/>
      <c r="I31467" s="676"/>
      <c r="J31467" s="770"/>
    </row>
    <row r="31468" spans="8:10" x14ac:dyDescent="0.35">
      <c r="H31468" s="676"/>
      <c r="I31468" s="676"/>
      <c r="J31468" s="770"/>
    </row>
    <row r="31469" spans="8:10" x14ac:dyDescent="0.35">
      <c r="H31469" s="676"/>
      <c r="I31469" s="676"/>
      <c r="J31469" s="770"/>
    </row>
    <row r="31470" spans="8:10" x14ac:dyDescent="0.35">
      <c r="H31470" s="676"/>
      <c r="I31470" s="676"/>
      <c r="J31470" s="770"/>
    </row>
    <row r="31471" spans="8:10" x14ac:dyDescent="0.35">
      <c r="H31471" s="676"/>
      <c r="I31471" s="676"/>
      <c r="J31471" s="770"/>
    </row>
    <row r="31472" spans="8:10" x14ac:dyDescent="0.35">
      <c r="H31472" s="676"/>
      <c r="I31472" s="676"/>
      <c r="J31472" s="770"/>
    </row>
    <row r="31473" spans="8:10" x14ac:dyDescent="0.35">
      <c r="H31473" s="676"/>
      <c r="I31473" s="676"/>
      <c r="J31473" s="770"/>
    </row>
    <row r="31474" spans="8:10" x14ac:dyDescent="0.35">
      <c r="H31474" s="676"/>
      <c r="I31474" s="676"/>
      <c r="J31474" s="770"/>
    </row>
    <row r="31475" spans="8:10" x14ac:dyDescent="0.35">
      <c r="H31475" s="676"/>
      <c r="I31475" s="676"/>
      <c r="J31475" s="770"/>
    </row>
    <row r="31476" spans="8:10" x14ac:dyDescent="0.35">
      <c r="H31476" s="676"/>
      <c r="I31476" s="676"/>
      <c r="J31476" s="770"/>
    </row>
    <row r="31477" spans="8:10" x14ac:dyDescent="0.35">
      <c r="H31477" s="676"/>
      <c r="I31477" s="676"/>
      <c r="J31477" s="770"/>
    </row>
    <row r="31478" spans="8:10" x14ac:dyDescent="0.35">
      <c r="H31478" s="676"/>
      <c r="I31478" s="676"/>
      <c r="J31478" s="770"/>
    </row>
    <row r="31479" spans="8:10" x14ac:dyDescent="0.35">
      <c r="H31479" s="676"/>
      <c r="I31479" s="676"/>
      <c r="J31479" s="770"/>
    </row>
    <row r="31480" spans="8:10" x14ac:dyDescent="0.35">
      <c r="H31480" s="676"/>
      <c r="I31480" s="676"/>
      <c r="J31480" s="770"/>
    </row>
    <row r="31481" spans="8:10" x14ac:dyDescent="0.35">
      <c r="H31481" s="676"/>
      <c r="I31481" s="676"/>
      <c r="J31481" s="770"/>
    </row>
    <row r="31482" spans="8:10" x14ac:dyDescent="0.35">
      <c r="H31482" s="676"/>
      <c r="I31482" s="676"/>
      <c r="J31482" s="770"/>
    </row>
    <row r="31483" spans="8:10" x14ac:dyDescent="0.35">
      <c r="H31483" s="676"/>
      <c r="I31483" s="676"/>
      <c r="J31483" s="770"/>
    </row>
    <row r="31484" spans="8:10" x14ac:dyDescent="0.35">
      <c r="H31484" s="676"/>
      <c r="I31484" s="676"/>
      <c r="J31484" s="770"/>
    </row>
    <row r="31485" spans="8:10" x14ac:dyDescent="0.35">
      <c r="H31485" s="676"/>
      <c r="I31485" s="676"/>
      <c r="J31485" s="770"/>
    </row>
    <row r="31486" spans="8:10" x14ac:dyDescent="0.35">
      <c r="H31486" s="676"/>
      <c r="I31486" s="676"/>
      <c r="J31486" s="770"/>
    </row>
    <row r="31487" spans="8:10" x14ac:dyDescent="0.35">
      <c r="H31487" s="676"/>
      <c r="I31487" s="676"/>
      <c r="J31487" s="770"/>
    </row>
    <row r="31488" spans="8:10" x14ac:dyDescent="0.35">
      <c r="H31488" s="676"/>
      <c r="I31488" s="676"/>
      <c r="J31488" s="770"/>
    </row>
    <row r="31489" spans="8:10" x14ac:dyDescent="0.35">
      <c r="H31489" s="676"/>
      <c r="I31489" s="676"/>
      <c r="J31489" s="770"/>
    </row>
    <row r="31490" spans="8:10" x14ac:dyDescent="0.35">
      <c r="H31490" s="676"/>
      <c r="I31490" s="676"/>
      <c r="J31490" s="770"/>
    </row>
    <row r="31491" spans="8:10" x14ac:dyDescent="0.35">
      <c r="H31491" s="676"/>
      <c r="I31491" s="676"/>
      <c r="J31491" s="770"/>
    </row>
    <row r="31492" spans="8:10" x14ac:dyDescent="0.35">
      <c r="H31492" s="676"/>
      <c r="I31492" s="676"/>
      <c r="J31492" s="770"/>
    </row>
    <row r="31493" spans="8:10" x14ac:dyDescent="0.35">
      <c r="H31493" s="676"/>
      <c r="I31493" s="676"/>
      <c r="J31493" s="770"/>
    </row>
    <row r="31494" spans="8:10" x14ac:dyDescent="0.35">
      <c r="H31494" s="676"/>
      <c r="I31494" s="676"/>
      <c r="J31494" s="770"/>
    </row>
    <row r="31495" spans="8:10" x14ac:dyDescent="0.35">
      <c r="H31495" s="676"/>
      <c r="I31495" s="676"/>
      <c r="J31495" s="770"/>
    </row>
    <row r="31496" spans="8:10" x14ac:dyDescent="0.35">
      <c r="H31496" s="676"/>
      <c r="I31496" s="676"/>
      <c r="J31496" s="770"/>
    </row>
    <row r="31497" spans="8:10" x14ac:dyDescent="0.35">
      <c r="H31497" s="676"/>
      <c r="I31497" s="676"/>
      <c r="J31497" s="770"/>
    </row>
    <row r="31498" spans="8:10" x14ac:dyDescent="0.35">
      <c r="H31498" s="676"/>
      <c r="I31498" s="676"/>
      <c r="J31498" s="770"/>
    </row>
    <row r="31499" spans="8:10" x14ac:dyDescent="0.35">
      <c r="H31499" s="676"/>
      <c r="I31499" s="676"/>
      <c r="J31499" s="770"/>
    </row>
    <row r="31500" spans="8:10" x14ac:dyDescent="0.35">
      <c r="H31500" s="676"/>
      <c r="I31500" s="676"/>
      <c r="J31500" s="770"/>
    </row>
    <row r="31501" spans="8:10" x14ac:dyDescent="0.35">
      <c r="H31501" s="676"/>
      <c r="I31501" s="676"/>
      <c r="J31501" s="770"/>
    </row>
    <row r="31502" spans="8:10" x14ac:dyDescent="0.35">
      <c r="H31502" s="676"/>
      <c r="I31502" s="676"/>
      <c r="J31502" s="770"/>
    </row>
    <row r="31503" spans="8:10" x14ac:dyDescent="0.35">
      <c r="H31503" s="676"/>
      <c r="I31503" s="676"/>
      <c r="J31503" s="770"/>
    </row>
    <row r="31504" spans="8:10" x14ac:dyDescent="0.35">
      <c r="H31504" s="676"/>
      <c r="I31504" s="676"/>
      <c r="J31504" s="770"/>
    </row>
    <row r="31505" spans="8:10" x14ac:dyDescent="0.35">
      <c r="H31505" s="676"/>
      <c r="I31505" s="676"/>
      <c r="J31505" s="770"/>
    </row>
    <row r="31506" spans="8:10" x14ac:dyDescent="0.35">
      <c r="H31506" s="676"/>
      <c r="I31506" s="676"/>
      <c r="J31506" s="770"/>
    </row>
    <row r="31507" spans="8:10" x14ac:dyDescent="0.35">
      <c r="H31507" s="676"/>
      <c r="I31507" s="676"/>
      <c r="J31507" s="770"/>
    </row>
    <row r="31508" spans="8:10" x14ac:dyDescent="0.35">
      <c r="H31508" s="676"/>
      <c r="I31508" s="676"/>
      <c r="J31508" s="770"/>
    </row>
    <row r="31509" spans="8:10" x14ac:dyDescent="0.35">
      <c r="H31509" s="676"/>
      <c r="I31509" s="676"/>
      <c r="J31509" s="770"/>
    </row>
    <row r="31510" spans="8:10" x14ac:dyDescent="0.35">
      <c r="H31510" s="676"/>
      <c r="I31510" s="676"/>
      <c r="J31510" s="770"/>
    </row>
    <row r="31511" spans="8:10" x14ac:dyDescent="0.35">
      <c r="H31511" s="676"/>
      <c r="I31511" s="676"/>
      <c r="J31511" s="770"/>
    </row>
    <row r="31512" spans="8:10" x14ac:dyDescent="0.35">
      <c r="H31512" s="676"/>
      <c r="I31512" s="676"/>
      <c r="J31512" s="770"/>
    </row>
    <row r="31513" spans="8:10" x14ac:dyDescent="0.35">
      <c r="H31513" s="676"/>
      <c r="I31513" s="676"/>
      <c r="J31513" s="770"/>
    </row>
    <row r="31514" spans="8:10" x14ac:dyDescent="0.35">
      <c r="H31514" s="676"/>
      <c r="I31514" s="676"/>
      <c r="J31514" s="770"/>
    </row>
    <row r="31515" spans="8:10" x14ac:dyDescent="0.35">
      <c r="H31515" s="676"/>
      <c r="I31515" s="676"/>
      <c r="J31515" s="770"/>
    </row>
    <row r="31516" spans="8:10" x14ac:dyDescent="0.35">
      <c r="H31516" s="676"/>
      <c r="I31516" s="676"/>
      <c r="J31516" s="770"/>
    </row>
    <row r="31517" spans="8:10" x14ac:dyDescent="0.35">
      <c r="H31517" s="676"/>
      <c r="I31517" s="676"/>
      <c r="J31517" s="770"/>
    </row>
    <row r="31518" spans="8:10" x14ac:dyDescent="0.35">
      <c r="H31518" s="676"/>
      <c r="I31518" s="676"/>
      <c r="J31518" s="770"/>
    </row>
    <row r="31519" spans="8:10" x14ac:dyDescent="0.35">
      <c r="H31519" s="676"/>
      <c r="I31519" s="676"/>
      <c r="J31519" s="770"/>
    </row>
    <row r="31520" spans="8:10" x14ac:dyDescent="0.35">
      <c r="H31520" s="676"/>
      <c r="I31520" s="676"/>
      <c r="J31520" s="770"/>
    </row>
    <row r="31521" spans="8:10" x14ac:dyDescent="0.35">
      <c r="H31521" s="676"/>
      <c r="I31521" s="676"/>
      <c r="J31521" s="770"/>
    </row>
    <row r="31522" spans="8:10" x14ac:dyDescent="0.35">
      <c r="H31522" s="676"/>
      <c r="I31522" s="676"/>
      <c r="J31522" s="770"/>
    </row>
    <row r="31523" spans="8:10" x14ac:dyDescent="0.35">
      <c r="H31523" s="676"/>
      <c r="I31523" s="676"/>
      <c r="J31523" s="770"/>
    </row>
    <row r="31524" spans="8:10" x14ac:dyDescent="0.35">
      <c r="H31524" s="676"/>
      <c r="I31524" s="676"/>
      <c r="J31524" s="770"/>
    </row>
    <row r="31525" spans="8:10" x14ac:dyDescent="0.35">
      <c r="H31525" s="676"/>
      <c r="I31525" s="676"/>
      <c r="J31525" s="770"/>
    </row>
    <row r="31526" spans="8:10" x14ac:dyDescent="0.35">
      <c r="H31526" s="676"/>
      <c r="I31526" s="676"/>
      <c r="J31526" s="770"/>
    </row>
    <row r="31527" spans="8:10" x14ac:dyDescent="0.35">
      <c r="H31527" s="676"/>
      <c r="I31527" s="676"/>
      <c r="J31527" s="770"/>
    </row>
    <row r="31528" spans="8:10" x14ac:dyDescent="0.35">
      <c r="H31528" s="676"/>
      <c r="I31528" s="676"/>
      <c r="J31528" s="770"/>
    </row>
    <row r="31529" spans="8:10" x14ac:dyDescent="0.35">
      <c r="H31529" s="676"/>
      <c r="I31529" s="676"/>
      <c r="J31529" s="770"/>
    </row>
    <row r="31530" spans="8:10" x14ac:dyDescent="0.35">
      <c r="H31530" s="676"/>
      <c r="I31530" s="676"/>
      <c r="J31530" s="770"/>
    </row>
    <row r="31531" spans="8:10" x14ac:dyDescent="0.35">
      <c r="H31531" s="676"/>
      <c r="I31531" s="676"/>
      <c r="J31531" s="770"/>
    </row>
    <row r="31532" spans="8:10" x14ac:dyDescent="0.35">
      <c r="H31532" s="676"/>
      <c r="I31532" s="676"/>
      <c r="J31532" s="770"/>
    </row>
    <row r="31533" spans="8:10" x14ac:dyDescent="0.35">
      <c r="H31533" s="676"/>
      <c r="I31533" s="676"/>
      <c r="J31533" s="770"/>
    </row>
    <row r="31534" spans="8:10" x14ac:dyDescent="0.35">
      <c r="H31534" s="676"/>
      <c r="I31534" s="676"/>
      <c r="J31534" s="770"/>
    </row>
    <row r="31535" spans="8:10" x14ac:dyDescent="0.35">
      <c r="H31535" s="676"/>
      <c r="I31535" s="676"/>
      <c r="J31535" s="770"/>
    </row>
    <row r="31536" spans="8:10" x14ac:dyDescent="0.35">
      <c r="H31536" s="676"/>
      <c r="I31536" s="676"/>
      <c r="J31536" s="770"/>
    </row>
    <row r="31537" spans="8:10" x14ac:dyDescent="0.35">
      <c r="H31537" s="676"/>
      <c r="I31537" s="676"/>
      <c r="J31537" s="770"/>
    </row>
    <row r="31538" spans="8:10" x14ac:dyDescent="0.35">
      <c r="H31538" s="676"/>
      <c r="I31538" s="676"/>
      <c r="J31538" s="770"/>
    </row>
    <row r="31539" spans="8:10" x14ac:dyDescent="0.35">
      <c r="H31539" s="676"/>
      <c r="I31539" s="676"/>
      <c r="J31539" s="770"/>
    </row>
    <row r="31540" spans="8:10" x14ac:dyDescent="0.35">
      <c r="H31540" s="676"/>
      <c r="I31540" s="676"/>
      <c r="J31540" s="770"/>
    </row>
    <row r="31541" spans="8:10" x14ac:dyDescent="0.35">
      <c r="H31541" s="676"/>
      <c r="I31541" s="676"/>
      <c r="J31541" s="770"/>
    </row>
    <row r="31542" spans="8:10" x14ac:dyDescent="0.35">
      <c r="H31542" s="676"/>
      <c r="I31542" s="676"/>
      <c r="J31542" s="770"/>
    </row>
    <row r="31543" spans="8:10" x14ac:dyDescent="0.35">
      <c r="H31543" s="676"/>
      <c r="I31543" s="676"/>
      <c r="J31543" s="770"/>
    </row>
    <row r="31544" spans="8:10" x14ac:dyDescent="0.35">
      <c r="H31544" s="676"/>
      <c r="I31544" s="676"/>
      <c r="J31544" s="770"/>
    </row>
    <row r="31545" spans="8:10" x14ac:dyDescent="0.35">
      <c r="H31545" s="676"/>
      <c r="I31545" s="676"/>
      <c r="J31545" s="770"/>
    </row>
    <row r="31546" spans="8:10" x14ac:dyDescent="0.35">
      <c r="H31546" s="676"/>
      <c r="I31546" s="676"/>
      <c r="J31546" s="770"/>
    </row>
    <row r="31547" spans="8:10" x14ac:dyDescent="0.35">
      <c r="H31547" s="676"/>
      <c r="I31547" s="676"/>
      <c r="J31547" s="770"/>
    </row>
    <row r="31548" spans="8:10" x14ac:dyDescent="0.35">
      <c r="H31548" s="676"/>
      <c r="I31548" s="676"/>
      <c r="J31548" s="770"/>
    </row>
    <row r="31549" spans="8:10" x14ac:dyDescent="0.35">
      <c r="H31549" s="676"/>
      <c r="I31549" s="676"/>
      <c r="J31549" s="770"/>
    </row>
    <row r="31550" spans="8:10" x14ac:dyDescent="0.35">
      <c r="H31550" s="676"/>
      <c r="I31550" s="676"/>
      <c r="J31550" s="770"/>
    </row>
    <row r="31551" spans="8:10" x14ac:dyDescent="0.35">
      <c r="H31551" s="676"/>
      <c r="I31551" s="676"/>
      <c r="J31551" s="770"/>
    </row>
    <row r="31552" spans="8:10" x14ac:dyDescent="0.35">
      <c r="H31552" s="676"/>
      <c r="I31552" s="676"/>
      <c r="J31552" s="770"/>
    </row>
    <row r="31553" spans="8:10" x14ac:dyDescent="0.35">
      <c r="H31553" s="676"/>
      <c r="I31553" s="676"/>
      <c r="J31553" s="770"/>
    </row>
    <row r="31554" spans="8:10" x14ac:dyDescent="0.35">
      <c r="H31554" s="676"/>
      <c r="I31554" s="676"/>
      <c r="J31554" s="770"/>
    </row>
    <row r="31555" spans="8:10" x14ac:dyDescent="0.35">
      <c r="H31555" s="676"/>
      <c r="I31555" s="676"/>
      <c r="J31555" s="770"/>
    </row>
    <row r="31556" spans="8:10" x14ac:dyDescent="0.35">
      <c r="H31556" s="676"/>
      <c r="I31556" s="676"/>
      <c r="J31556" s="770"/>
    </row>
    <row r="31557" spans="8:10" x14ac:dyDescent="0.35">
      <c r="H31557" s="676"/>
      <c r="I31557" s="676"/>
      <c r="J31557" s="770"/>
    </row>
    <row r="31558" spans="8:10" x14ac:dyDescent="0.35">
      <c r="H31558" s="676"/>
      <c r="I31558" s="676"/>
      <c r="J31558" s="770"/>
    </row>
    <row r="31559" spans="8:10" x14ac:dyDescent="0.35">
      <c r="H31559" s="676"/>
      <c r="I31559" s="676"/>
      <c r="J31559" s="770"/>
    </row>
    <row r="31560" spans="8:10" x14ac:dyDescent="0.35">
      <c r="H31560" s="676"/>
      <c r="I31560" s="676"/>
      <c r="J31560" s="770"/>
    </row>
    <row r="31561" spans="8:10" x14ac:dyDescent="0.35">
      <c r="H31561" s="676"/>
      <c r="I31561" s="676"/>
      <c r="J31561" s="770"/>
    </row>
    <row r="31562" spans="8:10" x14ac:dyDescent="0.35">
      <c r="H31562" s="676"/>
      <c r="I31562" s="676"/>
      <c r="J31562" s="770"/>
    </row>
    <row r="31563" spans="8:10" x14ac:dyDescent="0.35">
      <c r="H31563" s="676"/>
      <c r="I31563" s="676"/>
      <c r="J31563" s="770"/>
    </row>
    <row r="31564" spans="8:10" x14ac:dyDescent="0.35">
      <c r="H31564" s="676"/>
      <c r="I31564" s="676"/>
      <c r="J31564" s="770"/>
    </row>
    <row r="31565" spans="8:10" x14ac:dyDescent="0.35">
      <c r="H31565" s="676"/>
      <c r="I31565" s="676"/>
      <c r="J31565" s="770"/>
    </row>
    <row r="31566" spans="8:10" x14ac:dyDescent="0.35">
      <c r="H31566" s="676"/>
      <c r="I31566" s="676"/>
      <c r="J31566" s="770"/>
    </row>
    <row r="31567" spans="8:10" x14ac:dyDescent="0.35">
      <c r="H31567" s="676"/>
      <c r="I31567" s="676"/>
      <c r="J31567" s="770"/>
    </row>
    <row r="31568" spans="8:10" x14ac:dyDescent="0.35">
      <c r="H31568" s="676"/>
      <c r="I31568" s="676"/>
      <c r="J31568" s="770"/>
    </row>
    <row r="31569" spans="8:10" x14ac:dyDescent="0.35">
      <c r="H31569" s="676"/>
      <c r="I31569" s="676"/>
      <c r="J31569" s="770"/>
    </row>
    <row r="31570" spans="8:10" x14ac:dyDescent="0.35">
      <c r="H31570" s="676"/>
      <c r="I31570" s="676"/>
      <c r="J31570" s="770"/>
    </row>
    <row r="31571" spans="8:10" x14ac:dyDescent="0.35">
      <c r="H31571" s="676"/>
      <c r="I31571" s="676"/>
      <c r="J31571" s="770"/>
    </row>
    <row r="31572" spans="8:10" x14ac:dyDescent="0.35">
      <c r="H31572" s="676"/>
      <c r="I31572" s="676"/>
      <c r="J31572" s="770"/>
    </row>
    <row r="31573" spans="8:10" x14ac:dyDescent="0.35">
      <c r="H31573" s="676"/>
      <c r="I31573" s="676"/>
      <c r="J31573" s="770"/>
    </row>
    <row r="31574" spans="8:10" x14ac:dyDescent="0.35">
      <c r="H31574" s="676"/>
      <c r="I31574" s="676"/>
      <c r="J31574" s="770"/>
    </row>
    <row r="31575" spans="8:10" x14ac:dyDescent="0.35">
      <c r="H31575" s="676"/>
      <c r="I31575" s="676"/>
      <c r="J31575" s="770"/>
    </row>
    <row r="31576" spans="8:10" x14ac:dyDescent="0.35">
      <c r="H31576" s="676"/>
      <c r="I31576" s="676"/>
      <c r="J31576" s="770"/>
    </row>
    <row r="31577" spans="8:10" x14ac:dyDescent="0.35">
      <c r="H31577" s="676"/>
      <c r="I31577" s="676"/>
      <c r="J31577" s="770"/>
    </row>
    <row r="31578" spans="8:10" x14ac:dyDescent="0.35">
      <c r="H31578" s="676"/>
      <c r="I31578" s="676"/>
      <c r="J31578" s="770"/>
    </row>
    <row r="31579" spans="8:10" x14ac:dyDescent="0.35">
      <c r="H31579" s="676"/>
      <c r="I31579" s="676"/>
      <c r="J31579" s="770"/>
    </row>
    <row r="31580" spans="8:10" x14ac:dyDescent="0.35">
      <c r="H31580" s="676"/>
      <c r="I31580" s="676"/>
      <c r="J31580" s="770"/>
    </row>
    <row r="31581" spans="8:10" x14ac:dyDescent="0.35">
      <c r="H31581" s="676"/>
      <c r="I31581" s="676"/>
      <c r="J31581" s="770"/>
    </row>
    <row r="31582" spans="8:10" x14ac:dyDescent="0.35">
      <c r="H31582" s="676"/>
      <c r="I31582" s="676"/>
      <c r="J31582" s="770"/>
    </row>
    <row r="31583" spans="8:10" x14ac:dyDescent="0.35">
      <c r="H31583" s="676"/>
      <c r="I31583" s="676"/>
      <c r="J31583" s="770"/>
    </row>
    <row r="31584" spans="8:10" x14ac:dyDescent="0.35">
      <c r="H31584" s="676"/>
      <c r="I31584" s="676"/>
      <c r="J31584" s="770"/>
    </row>
    <row r="31585" spans="8:10" x14ac:dyDescent="0.35">
      <c r="H31585" s="676"/>
      <c r="I31585" s="676"/>
      <c r="J31585" s="770"/>
    </row>
    <row r="31586" spans="8:10" x14ac:dyDescent="0.35">
      <c r="H31586" s="676"/>
      <c r="I31586" s="676"/>
      <c r="J31586" s="770"/>
    </row>
    <row r="31587" spans="8:10" x14ac:dyDescent="0.35">
      <c r="H31587" s="676"/>
      <c r="I31587" s="676"/>
      <c r="J31587" s="770"/>
    </row>
    <row r="31588" spans="8:10" x14ac:dyDescent="0.35">
      <c r="H31588" s="676"/>
      <c r="I31588" s="676"/>
      <c r="J31588" s="770"/>
    </row>
    <row r="31589" spans="8:10" x14ac:dyDescent="0.35">
      <c r="H31589" s="676"/>
      <c r="I31589" s="676"/>
      <c r="J31589" s="770"/>
    </row>
    <row r="31590" spans="8:10" x14ac:dyDescent="0.35">
      <c r="H31590" s="676"/>
      <c r="I31590" s="676"/>
      <c r="J31590" s="770"/>
    </row>
    <row r="31591" spans="8:10" x14ac:dyDescent="0.35">
      <c r="H31591" s="676"/>
      <c r="I31591" s="676"/>
      <c r="J31591" s="770"/>
    </row>
    <row r="31592" spans="8:10" x14ac:dyDescent="0.35">
      <c r="H31592" s="676"/>
      <c r="I31592" s="676"/>
      <c r="J31592" s="770"/>
    </row>
    <row r="31593" spans="8:10" x14ac:dyDescent="0.35">
      <c r="H31593" s="676"/>
      <c r="I31593" s="676"/>
      <c r="J31593" s="770"/>
    </row>
    <row r="31594" spans="8:10" x14ac:dyDescent="0.35">
      <c r="H31594" s="676"/>
      <c r="I31594" s="676"/>
      <c r="J31594" s="770"/>
    </row>
    <row r="31595" spans="8:10" x14ac:dyDescent="0.35">
      <c r="H31595" s="676"/>
      <c r="I31595" s="676"/>
      <c r="J31595" s="770"/>
    </row>
    <row r="31596" spans="8:10" x14ac:dyDescent="0.35">
      <c r="H31596" s="676"/>
      <c r="I31596" s="676"/>
      <c r="J31596" s="770"/>
    </row>
    <row r="31597" spans="8:10" x14ac:dyDescent="0.35">
      <c r="H31597" s="676"/>
      <c r="I31597" s="676"/>
      <c r="J31597" s="770"/>
    </row>
    <row r="31598" spans="8:10" x14ac:dyDescent="0.35">
      <c r="H31598" s="676"/>
      <c r="I31598" s="676"/>
      <c r="J31598" s="770"/>
    </row>
    <row r="31599" spans="8:10" x14ac:dyDescent="0.35">
      <c r="H31599" s="676"/>
      <c r="I31599" s="676"/>
      <c r="J31599" s="770"/>
    </row>
    <row r="31600" spans="8:10" x14ac:dyDescent="0.35">
      <c r="H31600" s="676"/>
      <c r="I31600" s="676"/>
      <c r="J31600" s="770"/>
    </row>
    <row r="31601" spans="8:10" x14ac:dyDescent="0.35">
      <c r="H31601" s="676"/>
      <c r="I31601" s="676"/>
      <c r="J31601" s="770"/>
    </row>
    <row r="31602" spans="8:10" x14ac:dyDescent="0.35">
      <c r="H31602" s="676"/>
      <c r="I31602" s="676"/>
      <c r="J31602" s="770"/>
    </row>
    <row r="31603" spans="8:10" x14ac:dyDescent="0.35">
      <c r="H31603" s="676"/>
      <c r="I31603" s="676"/>
      <c r="J31603" s="770"/>
    </row>
    <row r="31604" spans="8:10" x14ac:dyDescent="0.35">
      <c r="H31604" s="676"/>
      <c r="I31604" s="676"/>
      <c r="J31604" s="770"/>
    </row>
    <row r="31605" spans="8:10" x14ac:dyDescent="0.35">
      <c r="H31605" s="676"/>
      <c r="I31605" s="676"/>
      <c r="J31605" s="770"/>
    </row>
    <row r="31606" spans="8:10" x14ac:dyDescent="0.35">
      <c r="H31606" s="676"/>
      <c r="I31606" s="676"/>
      <c r="J31606" s="770"/>
    </row>
    <row r="31607" spans="8:10" x14ac:dyDescent="0.35">
      <c r="H31607" s="676"/>
      <c r="I31607" s="676"/>
      <c r="J31607" s="770"/>
    </row>
    <row r="31608" spans="8:10" x14ac:dyDescent="0.35">
      <c r="H31608" s="676"/>
      <c r="I31608" s="676"/>
      <c r="J31608" s="770"/>
    </row>
    <row r="31609" spans="8:10" x14ac:dyDescent="0.35">
      <c r="H31609" s="676"/>
      <c r="I31609" s="676"/>
      <c r="J31609" s="770"/>
    </row>
    <row r="31610" spans="8:10" x14ac:dyDescent="0.35">
      <c r="H31610" s="676"/>
      <c r="I31610" s="676"/>
      <c r="J31610" s="770"/>
    </row>
    <row r="31611" spans="8:10" x14ac:dyDescent="0.35">
      <c r="H31611" s="676"/>
      <c r="I31611" s="676"/>
      <c r="J31611" s="770"/>
    </row>
    <row r="31612" spans="8:10" x14ac:dyDescent="0.35">
      <c r="H31612" s="676"/>
      <c r="I31612" s="676"/>
      <c r="J31612" s="770"/>
    </row>
    <row r="31613" spans="8:10" x14ac:dyDescent="0.35">
      <c r="H31613" s="676"/>
      <c r="I31613" s="676"/>
      <c r="J31613" s="770"/>
    </row>
    <row r="31614" spans="8:10" x14ac:dyDescent="0.35">
      <c r="H31614" s="676"/>
      <c r="I31614" s="676"/>
      <c r="J31614" s="770"/>
    </row>
    <row r="31615" spans="8:10" x14ac:dyDescent="0.35">
      <c r="H31615" s="676"/>
      <c r="I31615" s="676"/>
      <c r="J31615" s="770"/>
    </row>
    <row r="31616" spans="8:10" x14ac:dyDescent="0.35">
      <c r="H31616" s="676"/>
      <c r="I31616" s="676"/>
      <c r="J31616" s="770"/>
    </row>
    <row r="31617" spans="8:10" x14ac:dyDescent="0.35">
      <c r="H31617" s="676"/>
      <c r="I31617" s="676"/>
      <c r="J31617" s="770"/>
    </row>
    <row r="31618" spans="8:10" x14ac:dyDescent="0.35">
      <c r="H31618" s="676"/>
      <c r="I31618" s="676"/>
      <c r="J31618" s="770"/>
    </row>
    <row r="31619" spans="8:10" x14ac:dyDescent="0.35">
      <c r="H31619" s="676"/>
      <c r="I31619" s="676"/>
      <c r="J31619" s="770"/>
    </row>
    <row r="31620" spans="8:10" x14ac:dyDescent="0.35">
      <c r="H31620" s="676"/>
      <c r="I31620" s="676"/>
      <c r="J31620" s="770"/>
    </row>
    <row r="31621" spans="8:10" x14ac:dyDescent="0.35">
      <c r="H31621" s="676"/>
      <c r="I31621" s="676"/>
      <c r="J31621" s="770"/>
    </row>
    <row r="31622" spans="8:10" x14ac:dyDescent="0.35">
      <c r="H31622" s="676"/>
      <c r="I31622" s="676"/>
      <c r="J31622" s="770"/>
    </row>
    <row r="31623" spans="8:10" x14ac:dyDescent="0.35">
      <c r="H31623" s="676"/>
      <c r="I31623" s="676"/>
      <c r="J31623" s="770"/>
    </row>
    <row r="31624" spans="8:10" x14ac:dyDescent="0.35">
      <c r="H31624" s="676"/>
      <c r="I31624" s="676"/>
      <c r="J31624" s="770"/>
    </row>
    <row r="31625" spans="8:10" x14ac:dyDescent="0.35">
      <c r="H31625" s="676"/>
      <c r="I31625" s="676"/>
      <c r="J31625" s="770"/>
    </row>
    <row r="31626" spans="8:10" x14ac:dyDescent="0.35">
      <c r="H31626" s="676"/>
      <c r="I31626" s="676"/>
      <c r="J31626" s="770"/>
    </row>
    <row r="31627" spans="8:10" x14ac:dyDescent="0.35">
      <c r="H31627" s="676"/>
      <c r="I31627" s="676"/>
      <c r="J31627" s="770"/>
    </row>
    <row r="31628" spans="8:10" x14ac:dyDescent="0.35">
      <c r="H31628" s="676"/>
      <c r="I31628" s="676"/>
      <c r="J31628" s="770"/>
    </row>
    <row r="31629" spans="8:10" x14ac:dyDescent="0.35">
      <c r="H31629" s="676"/>
      <c r="I31629" s="676"/>
      <c r="J31629" s="770"/>
    </row>
    <row r="31630" spans="8:10" x14ac:dyDescent="0.35">
      <c r="H31630" s="676"/>
      <c r="I31630" s="676"/>
      <c r="J31630" s="770"/>
    </row>
    <row r="31631" spans="8:10" x14ac:dyDescent="0.35">
      <c r="H31631" s="676"/>
      <c r="I31631" s="676"/>
      <c r="J31631" s="770"/>
    </row>
    <row r="31632" spans="8:10" x14ac:dyDescent="0.35">
      <c r="H31632" s="676"/>
      <c r="I31632" s="676"/>
      <c r="J31632" s="770"/>
    </row>
    <row r="31633" spans="8:10" x14ac:dyDescent="0.35">
      <c r="H31633" s="676"/>
      <c r="I31633" s="676"/>
      <c r="J31633" s="770"/>
    </row>
    <row r="31634" spans="8:10" x14ac:dyDescent="0.35">
      <c r="H31634" s="676"/>
      <c r="I31634" s="676"/>
      <c r="J31634" s="770"/>
    </row>
    <row r="31635" spans="8:10" x14ac:dyDescent="0.35">
      <c r="H31635" s="676"/>
      <c r="I31635" s="676"/>
      <c r="J31635" s="770"/>
    </row>
    <row r="31636" spans="8:10" x14ac:dyDescent="0.35">
      <c r="H31636" s="676"/>
      <c r="I31636" s="676"/>
      <c r="J31636" s="770"/>
    </row>
    <row r="31637" spans="8:10" x14ac:dyDescent="0.35">
      <c r="H31637" s="676"/>
      <c r="I31637" s="676"/>
      <c r="J31637" s="770"/>
    </row>
    <row r="31638" spans="8:10" x14ac:dyDescent="0.35">
      <c r="H31638" s="676"/>
      <c r="I31638" s="676"/>
      <c r="J31638" s="770"/>
    </row>
    <row r="31639" spans="8:10" x14ac:dyDescent="0.35">
      <c r="H31639" s="676"/>
      <c r="I31639" s="676"/>
      <c r="J31639" s="770"/>
    </row>
    <row r="31640" spans="8:10" x14ac:dyDescent="0.35">
      <c r="H31640" s="676"/>
      <c r="I31640" s="676"/>
      <c r="J31640" s="770"/>
    </row>
    <row r="31641" spans="8:10" x14ac:dyDescent="0.35">
      <c r="H31641" s="676"/>
      <c r="I31641" s="676"/>
      <c r="J31641" s="770"/>
    </row>
    <row r="31642" spans="8:10" x14ac:dyDescent="0.35">
      <c r="H31642" s="676"/>
      <c r="I31642" s="676"/>
      <c r="J31642" s="770"/>
    </row>
    <row r="31643" spans="8:10" x14ac:dyDescent="0.35">
      <c r="H31643" s="676"/>
      <c r="I31643" s="676"/>
      <c r="J31643" s="770"/>
    </row>
    <row r="31644" spans="8:10" x14ac:dyDescent="0.35">
      <c r="H31644" s="676"/>
      <c r="I31644" s="676"/>
      <c r="J31644" s="770"/>
    </row>
    <row r="31645" spans="8:10" x14ac:dyDescent="0.35">
      <c r="H31645" s="676"/>
      <c r="I31645" s="676"/>
      <c r="J31645" s="770"/>
    </row>
    <row r="31646" spans="8:10" x14ac:dyDescent="0.35">
      <c r="H31646" s="676"/>
      <c r="I31646" s="676"/>
      <c r="J31646" s="770"/>
    </row>
    <row r="31647" spans="8:10" x14ac:dyDescent="0.35">
      <c r="H31647" s="676"/>
      <c r="I31647" s="676"/>
      <c r="J31647" s="770"/>
    </row>
    <row r="31648" spans="8:10" x14ac:dyDescent="0.35">
      <c r="H31648" s="676"/>
      <c r="I31648" s="676"/>
      <c r="J31648" s="770"/>
    </row>
    <row r="31649" spans="8:10" x14ac:dyDescent="0.35">
      <c r="H31649" s="676"/>
      <c r="I31649" s="676"/>
      <c r="J31649" s="770"/>
    </row>
    <row r="31650" spans="8:10" x14ac:dyDescent="0.35">
      <c r="H31650" s="676"/>
      <c r="I31650" s="676"/>
      <c r="J31650" s="770"/>
    </row>
    <row r="31651" spans="8:10" x14ac:dyDescent="0.35">
      <c r="H31651" s="676"/>
      <c r="I31651" s="676"/>
      <c r="J31651" s="770"/>
    </row>
    <row r="31652" spans="8:10" x14ac:dyDescent="0.35">
      <c r="H31652" s="676"/>
      <c r="I31652" s="676"/>
      <c r="J31652" s="770"/>
    </row>
    <row r="31653" spans="8:10" x14ac:dyDescent="0.35">
      <c r="H31653" s="676"/>
      <c r="I31653" s="676"/>
      <c r="J31653" s="770"/>
    </row>
    <row r="31654" spans="8:10" x14ac:dyDescent="0.35">
      <c r="H31654" s="676"/>
      <c r="I31654" s="676"/>
      <c r="J31654" s="770"/>
    </row>
    <row r="31655" spans="8:10" x14ac:dyDescent="0.35">
      <c r="H31655" s="676"/>
      <c r="I31655" s="676"/>
      <c r="J31655" s="770"/>
    </row>
    <row r="31656" spans="8:10" x14ac:dyDescent="0.35">
      <c r="H31656" s="676"/>
      <c r="I31656" s="676"/>
      <c r="J31656" s="770"/>
    </row>
    <row r="31657" spans="8:10" x14ac:dyDescent="0.35">
      <c r="H31657" s="676"/>
      <c r="I31657" s="676"/>
      <c r="J31657" s="770"/>
    </row>
    <row r="31658" spans="8:10" x14ac:dyDescent="0.35">
      <c r="H31658" s="676"/>
      <c r="I31658" s="676"/>
      <c r="J31658" s="770"/>
    </row>
    <row r="31659" spans="8:10" x14ac:dyDescent="0.35">
      <c r="H31659" s="676"/>
      <c r="I31659" s="676"/>
      <c r="J31659" s="770"/>
    </row>
    <row r="31660" spans="8:10" x14ac:dyDescent="0.35">
      <c r="H31660" s="676"/>
      <c r="I31660" s="676"/>
      <c r="J31660" s="770"/>
    </row>
    <row r="31661" spans="8:10" x14ac:dyDescent="0.35">
      <c r="H31661" s="676"/>
      <c r="I31661" s="676"/>
      <c r="J31661" s="770"/>
    </row>
    <row r="31662" spans="8:10" x14ac:dyDescent="0.35">
      <c r="H31662" s="676"/>
      <c r="I31662" s="676"/>
      <c r="J31662" s="770"/>
    </row>
    <row r="31663" spans="8:10" x14ac:dyDescent="0.35">
      <c r="H31663" s="676"/>
      <c r="I31663" s="676"/>
      <c r="J31663" s="770"/>
    </row>
    <row r="31664" spans="8:10" x14ac:dyDescent="0.35">
      <c r="H31664" s="676"/>
      <c r="I31664" s="676"/>
      <c r="J31664" s="770"/>
    </row>
    <row r="31665" spans="8:10" x14ac:dyDescent="0.35">
      <c r="H31665" s="676"/>
      <c r="I31665" s="676"/>
      <c r="J31665" s="770"/>
    </row>
    <row r="31666" spans="8:10" x14ac:dyDescent="0.35">
      <c r="H31666" s="676"/>
      <c r="I31666" s="676"/>
      <c r="J31666" s="770"/>
    </row>
    <row r="31667" spans="8:10" x14ac:dyDescent="0.35">
      <c r="H31667" s="676"/>
      <c r="I31667" s="676"/>
      <c r="J31667" s="770"/>
    </row>
    <row r="31668" spans="8:10" x14ac:dyDescent="0.35">
      <c r="H31668" s="676"/>
      <c r="I31668" s="676"/>
      <c r="J31668" s="770"/>
    </row>
    <row r="31669" spans="8:10" x14ac:dyDescent="0.35">
      <c r="H31669" s="676"/>
      <c r="I31669" s="676"/>
      <c r="J31669" s="770"/>
    </row>
    <row r="31670" spans="8:10" x14ac:dyDescent="0.35">
      <c r="H31670" s="676"/>
      <c r="I31670" s="676"/>
      <c r="J31670" s="770"/>
    </row>
    <row r="31671" spans="8:10" x14ac:dyDescent="0.35">
      <c r="H31671" s="676"/>
      <c r="I31671" s="676"/>
      <c r="J31671" s="770"/>
    </row>
    <row r="31672" spans="8:10" x14ac:dyDescent="0.35">
      <c r="H31672" s="676"/>
      <c r="I31672" s="676"/>
      <c r="J31672" s="770"/>
    </row>
    <row r="31673" spans="8:10" x14ac:dyDescent="0.35">
      <c r="H31673" s="676"/>
      <c r="I31673" s="676"/>
      <c r="J31673" s="770"/>
    </row>
    <row r="31674" spans="8:10" x14ac:dyDescent="0.35">
      <c r="H31674" s="676"/>
      <c r="I31674" s="676"/>
      <c r="J31674" s="770"/>
    </row>
    <row r="31675" spans="8:10" x14ac:dyDescent="0.35">
      <c r="H31675" s="676"/>
      <c r="I31675" s="676"/>
      <c r="J31675" s="770"/>
    </row>
    <row r="31676" spans="8:10" x14ac:dyDescent="0.35">
      <c r="H31676" s="676"/>
      <c r="I31676" s="676"/>
      <c r="J31676" s="770"/>
    </row>
    <row r="31677" spans="8:10" x14ac:dyDescent="0.35">
      <c r="H31677" s="676"/>
      <c r="I31677" s="676"/>
      <c r="J31677" s="770"/>
    </row>
    <row r="31678" spans="8:10" x14ac:dyDescent="0.35">
      <c r="H31678" s="676"/>
      <c r="I31678" s="676"/>
      <c r="J31678" s="770"/>
    </row>
    <row r="31679" spans="8:10" x14ac:dyDescent="0.35">
      <c r="H31679" s="676"/>
      <c r="I31679" s="676"/>
      <c r="J31679" s="770"/>
    </row>
    <row r="31680" spans="8:10" x14ac:dyDescent="0.35">
      <c r="H31680" s="676"/>
      <c r="I31680" s="676"/>
      <c r="J31680" s="770"/>
    </row>
    <row r="31681" spans="8:10" x14ac:dyDescent="0.35">
      <c r="H31681" s="676"/>
      <c r="I31681" s="676"/>
      <c r="J31681" s="770"/>
    </row>
    <row r="31682" spans="8:10" x14ac:dyDescent="0.35">
      <c r="H31682" s="676"/>
      <c r="I31682" s="676"/>
      <c r="J31682" s="770"/>
    </row>
    <row r="31683" spans="8:10" x14ac:dyDescent="0.35">
      <c r="H31683" s="676"/>
      <c r="I31683" s="676"/>
      <c r="J31683" s="770"/>
    </row>
    <row r="31684" spans="8:10" x14ac:dyDescent="0.35">
      <c r="H31684" s="676"/>
      <c r="I31684" s="676"/>
      <c r="J31684" s="770"/>
    </row>
    <row r="31685" spans="8:10" x14ac:dyDescent="0.35">
      <c r="H31685" s="676"/>
      <c r="I31685" s="676"/>
      <c r="J31685" s="770"/>
    </row>
    <row r="31686" spans="8:10" x14ac:dyDescent="0.35">
      <c r="H31686" s="676"/>
      <c r="I31686" s="676"/>
      <c r="J31686" s="770"/>
    </row>
    <row r="31687" spans="8:10" x14ac:dyDescent="0.35">
      <c r="H31687" s="676"/>
      <c r="I31687" s="676"/>
      <c r="J31687" s="770"/>
    </row>
    <row r="31688" spans="8:10" x14ac:dyDescent="0.35">
      <c r="H31688" s="676"/>
      <c r="I31688" s="676"/>
      <c r="J31688" s="770"/>
    </row>
    <row r="31689" spans="8:10" x14ac:dyDescent="0.35">
      <c r="H31689" s="676"/>
      <c r="I31689" s="676"/>
      <c r="J31689" s="770"/>
    </row>
    <row r="31690" spans="8:10" x14ac:dyDescent="0.35">
      <c r="H31690" s="676"/>
      <c r="I31690" s="676"/>
      <c r="J31690" s="770"/>
    </row>
    <row r="31691" spans="8:10" x14ac:dyDescent="0.35">
      <c r="H31691" s="676"/>
      <c r="I31691" s="676"/>
      <c r="J31691" s="770"/>
    </row>
    <row r="31692" spans="8:10" x14ac:dyDescent="0.35">
      <c r="H31692" s="676"/>
      <c r="I31692" s="676"/>
      <c r="J31692" s="770"/>
    </row>
    <row r="31693" spans="8:10" x14ac:dyDescent="0.35">
      <c r="H31693" s="676"/>
      <c r="I31693" s="676"/>
      <c r="J31693" s="770"/>
    </row>
    <row r="31694" spans="8:10" x14ac:dyDescent="0.35">
      <c r="H31694" s="676"/>
      <c r="I31694" s="676"/>
      <c r="J31694" s="770"/>
    </row>
    <row r="31695" spans="8:10" x14ac:dyDescent="0.35">
      <c r="H31695" s="676"/>
      <c r="I31695" s="676"/>
      <c r="J31695" s="770"/>
    </row>
    <row r="31696" spans="8:10" x14ac:dyDescent="0.35">
      <c r="H31696" s="676"/>
      <c r="I31696" s="676"/>
      <c r="J31696" s="770"/>
    </row>
    <row r="31697" spans="8:10" x14ac:dyDescent="0.35">
      <c r="H31697" s="676"/>
      <c r="I31697" s="676"/>
      <c r="J31697" s="770"/>
    </row>
    <row r="31698" spans="8:10" x14ac:dyDescent="0.35">
      <c r="H31698" s="676"/>
      <c r="I31698" s="676"/>
      <c r="J31698" s="770"/>
    </row>
    <row r="31699" spans="8:10" x14ac:dyDescent="0.35">
      <c r="H31699" s="676"/>
      <c r="I31699" s="676"/>
      <c r="J31699" s="770"/>
    </row>
    <row r="31700" spans="8:10" x14ac:dyDescent="0.35">
      <c r="H31700" s="676"/>
      <c r="I31700" s="676"/>
      <c r="J31700" s="770"/>
    </row>
    <row r="31701" spans="8:10" x14ac:dyDescent="0.35">
      <c r="H31701" s="676"/>
      <c r="I31701" s="676"/>
      <c r="J31701" s="770"/>
    </row>
    <row r="31702" spans="8:10" x14ac:dyDescent="0.35">
      <c r="H31702" s="676"/>
      <c r="I31702" s="676"/>
      <c r="J31702" s="770"/>
    </row>
    <row r="31703" spans="8:10" x14ac:dyDescent="0.35">
      <c r="H31703" s="676"/>
      <c r="I31703" s="676"/>
      <c r="J31703" s="770"/>
    </row>
    <row r="31704" spans="8:10" x14ac:dyDescent="0.35">
      <c r="H31704" s="676"/>
      <c r="I31704" s="676"/>
      <c r="J31704" s="770"/>
    </row>
    <row r="31705" spans="8:10" x14ac:dyDescent="0.35">
      <c r="H31705" s="676"/>
      <c r="I31705" s="676"/>
      <c r="J31705" s="770"/>
    </row>
    <row r="31706" spans="8:10" x14ac:dyDescent="0.35">
      <c r="H31706" s="676"/>
      <c r="I31706" s="676"/>
      <c r="J31706" s="770"/>
    </row>
    <row r="31707" spans="8:10" x14ac:dyDescent="0.35">
      <c r="H31707" s="676"/>
      <c r="I31707" s="676"/>
      <c r="J31707" s="770"/>
    </row>
    <row r="31708" spans="8:10" x14ac:dyDescent="0.35">
      <c r="H31708" s="676"/>
      <c r="I31708" s="676"/>
      <c r="J31708" s="770"/>
    </row>
    <row r="31709" spans="8:10" x14ac:dyDescent="0.35">
      <c r="H31709" s="676"/>
      <c r="I31709" s="676"/>
      <c r="J31709" s="770"/>
    </row>
    <row r="31710" spans="8:10" x14ac:dyDescent="0.35">
      <c r="H31710" s="676"/>
      <c r="I31710" s="676"/>
      <c r="J31710" s="770"/>
    </row>
    <row r="31711" spans="8:10" x14ac:dyDescent="0.35">
      <c r="H31711" s="676"/>
      <c r="I31711" s="676"/>
      <c r="J31711" s="770"/>
    </row>
    <row r="31712" spans="8:10" x14ac:dyDescent="0.35">
      <c r="H31712" s="676"/>
      <c r="I31712" s="676"/>
      <c r="J31712" s="770"/>
    </row>
    <row r="31713" spans="8:10" x14ac:dyDescent="0.35">
      <c r="H31713" s="676"/>
      <c r="I31713" s="676"/>
      <c r="J31713" s="770"/>
    </row>
    <row r="31714" spans="8:10" x14ac:dyDescent="0.35">
      <c r="H31714" s="676"/>
      <c r="I31714" s="676"/>
      <c r="J31714" s="770"/>
    </row>
    <row r="31715" spans="8:10" x14ac:dyDescent="0.35">
      <c r="H31715" s="676"/>
      <c r="I31715" s="676"/>
      <c r="J31715" s="770"/>
    </row>
    <row r="31716" spans="8:10" x14ac:dyDescent="0.35">
      <c r="H31716" s="676"/>
      <c r="I31716" s="676"/>
      <c r="J31716" s="770"/>
    </row>
    <row r="31717" spans="8:10" x14ac:dyDescent="0.35">
      <c r="H31717" s="676"/>
      <c r="I31717" s="676"/>
      <c r="J31717" s="770"/>
    </row>
    <row r="31718" spans="8:10" x14ac:dyDescent="0.35">
      <c r="H31718" s="676"/>
      <c r="I31718" s="676"/>
      <c r="J31718" s="770"/>
    </row>
    <row r="31719" spans="8:10" x14ac:dyDescent="0.35">
      <c r="H31719" s="676"/>
      <c r="I31719" s="676"/>
      <c r="J31719" s="770"/>
    </row>
    <row r="31720" spans="8:10" x14ac:dyDescent="0.35">
      <c r="H31720" s="676"/>
      <c r="I31720" s="676"/>
      <c r="J31720" s="770"/>
    </row>
    <row r="31721" spans="8:10" x14ac:dyDescent="0.35">
      <c r="H31721" s="676"/>
      <c r="I31721" s="676"/>
      <c r="J31721" s="770"/>
    </row>
    <row r="31722" spans="8:10" x14ac:dyDescent="0.35">
      <c r="H31722" s="676"/>
      <c r="I31722" s="676"/>
      <c r="J31722" s="770"/>
    </row>
    <row r="31723" spans="8:10" x14ac:dyDescent="0.35">
      <c r="H31723" s="676"/>
      <c r="I31723" s="676"/>
      <c r="J31723" s="770"/>
    </row>
    <row r="31724" spans="8:10" x14ac:dyDescent="0.35">
      <c r="H31724" s="676"/>
      <c r="I31724" s="676"/>
      <c r="J31724" s="770"/>
    </row>
    <row r="31725" spans="8:10" x14ac:dyDescent="0.35">
      <c r="H31725" s="676"/>
      <c r="I31725" s="676"/>
      <c r="J31725" s="770"/>
    </row>
    <row r="31726" spans="8:10" x14ac:dyDescent="0.35">
      <c r="H31726" s="676"/>
      <c r="I31726" s="676"/>
      <c r="J31726" s="770"/>
    </row>
    <row r="31727" spans="8:10" x14ac:dyDescent="0.35">
      <c r="H31727" s="676"/>
      <c r="I31727" s="676"/>
      <c r="J31727" s="770"/>
    </row>
    <row r="31728" spans="8:10" x14ac:dyDescent="0.35">
      <c r="H31728" s="676"/>
      <c r="I31728" s="676"/>
      <c r="J31728" s="770"/>
    </row>
    <row r="31729" spans="8:10" x14ac:dyDescent="0.35">
      <c r="H31729" s="676"/>
      <c r="I31729" s="676"/>
      <c r="J31729" s="770"/>
    </row>
    <row r="31730" spans="8:10" x14ac:dyDescent="0.35">
      <c r="H31730" s="676"/>
      <c r="I31730" s="676"/>
      <c r="J31730" s="770"/>
    </row>
    <row r="31731" spans="8:10" x14ac:dyDescent="0.35">
      <c r="H31731" s="676"/>
      <c r="I31731" s="676"/>
      <c r="J31731" s="770"/>
    </row>
    <row r="31732" spans="8:10" x14ac:dyDescent="0.35">
      <c r="H31732" s="676"/>
      <c r="I31732" s="676"/>
      <c r="J31732" s="770"/>
    </row>
    <row r="31733" spans="8:10" x14ac:dyDescent="0.35">
      <c r="H31733" s="676"/>
      <c r="I31733" s="676"/>
      <c r="J31733" s="770"/>
    </row>
    <row r="31734" spans="8:10" x14ac:dyDescent="0.35">
      <c r="H31734" s="676"/>
      <c r="I31734" s="676"/>
      <c r="J31734" s="770"/>
    </row>
    <row r="31735" spans="8:10" x14ac:dyDescent="0.35">
      <c r="H31735" s="676"/>
      <c r="I31735" s="676"/>
      <c r="J31735" s="770"/>
    </row>
    <row r="31736" spans="8:10" x14ac:dyDescent="0.35">
      <c r="H31736" s="676"/>
      <c r="I31736" s="676"/>
      <c r="J31736" s="770"/>
    </row>
    <row r="31737" spans="8:10" x14ac:dyDescent="0.35">
      <c r="H31737" s="676"/>
      <c r="I31737" s="676"/>
      <c r="J31737" s="770"/>
    </row>
    <row r="31738" spans="8:10" x14ac:dyDescent="0.35">
      <c r="H31738" s="676"/>
      <c r="I31738" s="676"/>
      <c r="J31738" s="770"/>
    </row>
    <row r="31739" spans="8:10" x14ac:dyDescent="0.35">
      <c r="H31739" s="676"/>
      <c r="I31739" s="676"/>
      <c r="J31739" s="770"/>
    </row>
    <row r="31740" spans="8:10" x14ac:dyDescent="0.35">
      <c r="H31740" s="676"/>
      <c r="I31740" s="676"/>
      <c r="J31740" s="770"/>
    </row>
    <row r="31741" spans="8:10" x14ac:dyDescent="0.35">
      <c r="H31741" s="676"/>
      <c r="I31741" s="676"/>
      <c r="J31741" s="770"/>
    </row>
    <row r="31742" spans="8:10" x14ac:dyDescent="0.35">
      <c r="H31742" s="676"/>
      <c r="I31742" s="676"/>
      <c r="J31742" s="770"/>
    </row>
    <row r="31743" spans="8:10" x14ac:dyDescent="0.35">
      <c r="H31743" s="676"/>
      <c r="I31743" s="676"/>
      <c r="J31743" s="770"/>
    </row>
    <row r="31744" spans="8:10" x14ac:dyDescent="0.35">
      <c r="H31744" s="676"/>
      <c r="I31744" s="676"/>
      <c r="J31744" s="770"/>
    </row>
    <row r="31745" spans="8:10" x14ac:dyDescent="0.35">
      <c r="H31745" s="676"/>
      <c r="I31745" s="676"/>
      <c r="J31745" s="770"/>
    </row>
    <row r="31746" spans="8:10" x14ac:dyDescent="0.35">
      <c r="H31746" s="676"/>
      <c r="I31746" s="676"/>
      <c r="J31746" s="770"/>
    </row>
    <row r="31747" spans="8:10" x14ac:dyDescent="0.35">
      <c r="H31747" s="676"/>
      <c r="I31747" s="676"/>
      <c r="J31747" s="770"/>
    </row>
    <row r="31748" spans="8:10" x14ac:dyDescent="0.35">
      <c r="H31748" s="676"/>
      <c r="I31748" s="676"/>
      <c r="J31748" s="770"/>
    </row>
    <row r="31749" spans="8:10" x14ac:dyDescent="0.35">
      <c r="H31749" s="676"/>
      <c r="I31749" s="676"/>
      <c r="J31749" s="770"/>
    </row>
    <row r="31750" spans="8:10" x14ac:dyDescent="0.35">
      <c r="H31750" s="676"/>
      <c r="I31750" s="676"/>
      <c r="J31750" s="770"/>
    </row>
    <row r="31751" spans="8:10" x14ac:dyDescent="0.35">
      <c r="H31751" s="676"/>
      <c r="I31751" s="676"/>
      <c r="J31751" s="770"/>
    </row>
    <row r="31752" spans="8:10" x14ac:dyDescent="0.35">
      <c r="H31752" s="676"/>
      <c r="I31752" s="676"/>
      <c r="J31752" s="770"/>
    </row>
    <row r="31753" spans="8:10" x14ac:dyDescent="0.35">
      <c r="H31753" s="676"/>
      <c r="I31753" s="676"/>
      <c r="J31753" s="770"/>
    </row>
    <row r="31754" spans="8:10" x14ac:dyDescent="0.35">
      <c r="H31754" s="676"/>
      <c r="I31754" s="676"/>
      <c r="J31754" s="770"/>
    </row>
    <row r="31755" spans="8:10" x14ac:dyDescent="0.35">
      <c r="H31755" s="676"/>
      <c r="I31755" s="676"/>
      <c r="J31755" s="770"/>
    </row>
    <row r="31756" spans="8:10" x14ac:dyDescent="0.35">
      <c r="H31756" s="676"/>
      <c r="I31756" s="676"/>
      <c r="J31756" s="770"/>
    </row>
    <row r="31757" spans="8:10" x14ac:dyDescent="0.35">
      <c r="H31757" s="676"/>
      <c r="I31757" s="676"/>
      <c r="J31757" s="770"/>
    </row>
    <row r="31758" spans="8:10" x14ac:dyDescent="0.35">
      <c r="H31758" s="676"/>
      <c r="I31758" s="676"/>
      <c r="J31758" s="770"/>
    </row>
    <row r="31759" spans="8:10" x14ac:dyDescent="0.35">
      <c r="H31759" s="676"/>
      <c r="I31759" s="676"/>
      <c r="J31759" s="770"/>
    </row>
    <row r="31760" spans="8:10" x14ac:dyDescent="0.35">
      <c r="H31760" s="676"/>
      <c r="I31760" s="676"/>
      <c r="J31760" s="770"/>
    </row>
    <row r="31761" spans="8:10" x14ac:dyDescent="0.35">
      <c r="H31761" s="676"/>
      <c r="I31761" s="676"/>
      <c r="J31761" s="770"/>
    </row>
    <row r="31762" spans="8:10" x14ac:dyDescent="0.35">
      <c r="H31762" s="676"/>
      <c r="I31762" s="676"/>
      <c r="J31762" s="770"/>
    </row>
    <row r="31763" spans="8:10" x14ac:dyDescent="0.35">
      <c r="H31763" s="676"/>
      <c r="I31763" s="676"/>
      <c r="J31763" s="770"/>
    </row>
    <row r="31764" spans="8:10" x14ac:dyDescent="0.35">
      <c r="H31764" s="676"/>
      <c r="I31764" s="676"/>
      <c r="J31764" s="770"/>
    </row>
    <row r="31765" spans="8:10" x14ac:dyDescent="0.35">
      <c r="H31765" s="676"/>
      <c r="I31765" s="676"/>
      <c r="J31765" s="770"/>
    </row>
    <row r="31766" spans="8:10" x14ac:dyDescent="0.35">
      <c r="H31766" s="676"/>
      <c r="I31766" s="676"/>
      <c r="J31766" s="770"/>
    </row>
    <row r="31767" spans="8:10" x14ac:dyDescent="0.35">
      <c r="H31767" s="676"/>
      <c r="I31767" s="676"/>
      <c r="J31767" s="770"/>
    </row>
    <row r="31768" spans="8:10" x14ac:dyDescent="0.35">
      <c r="H31768" s="676"/>
      <c r="I31768" s="676"/>
      <c r="J31768" s="770"/>
    </row>
    <row r="31769" spans="8:10" x14ac:dyDescent="0.35">
      <c r="H31769" s="676"/>
      <c r="I31769" s="676"/>
      <c r="J31769" s="770"/>
    </row>
    <row r="31770" spans="8:10" x14ac:dyDescent="0.35">
      <c r="H31770" s="676"/>
      <c r="I31770" s="676"/>
      <c r="J31770" s="770"/>
    </row>
    <row r="31771" spans="8:10" x14ac:dyDescent="0.35">
      <c r="H31771" s="676"/>
      <c r="I31771" s="676"/>
      <c r="J31771" s="770"/>
    </row>
    <row r="31772" spans="8:10" x14ac:dyDescent="0.35">
      <c r="H31772" s="676"/>
      <c r="I31772" s="676"/>
      <c r="J31772" s="770"/>
    </row>
    <row r="31773" spans="8:10" x14ac:dyDescent="0.35">
      <c r="H31773" s="676"/>
      <c r="I31773" s="676"/>
      <c r="J31773" s="770"/>
    </row>
    <row r="31774" spans="8:10" x14ac:dyDescent="0.35">
      <c r="H31774" s="676"/>
      <c r="I31774" s="676"/>
      <c r="J31774" s="770"/>
    </row>
    <row r="31775" spans="8:10" x14ac:dyDescent="0.35">
      <c r="H31775" s="676"/>
      <c r="I31775" s="676"/>
      <c r="J31775" s="770"/>
    </row>
    <row r="31776" spans="8:10" x14ac:dyDescent="0.35">
      <c r="H31776" s="676"/>
      <c r="I31776" s="676"/>
      <c r="J31776" s="770"/>
    </row>
    <row r="31777" spans="8:10" x14ac:dyDescent="0.35">
      <c r="H31777" s="676"/>
      <c r="I31777" s="676"/>
      <c r="J31777" s="770"/>
    </row>
    <row r="31778" spans="8:10" x14ac:dyDescent="0.35">
      <c r="H31778" s="676"/>
      <c r="I31778" s="676"/>
      <c r="J31778" s="770"/>
    </row>
    <row r="31779" spans="8:10" x14ac:dyDescent="0.35">
      <c r="H31779" s="676"/>
      <c r="I31779" s="676"/>
      <c r="J31779" s="770"/>
    </row>
    <row r="31780" spans="8:10" x14ac:dyDescent="0.35">
      <c r="H31780" s="676"/>
      <c r="I31780" s="676"/>
      <c r="J31780" s="770"/>
    </row>
    <row r="31781" spans="8:10" x14ac:dyDescent="0.35">
      <c r="H31781" s="676"/>
      <c r="I31781" s="676"/>
      <c r="J31781" s="770"/>
    </row>
    <row r="31782" spans="8:10" x14ac:dyDescent="0.35">
      <c r="H31782" s="676"/>
      <c r="I31782" s="676"/>
      <c r="J31782" s="770"/>
    </row>
    <row r="31783" spans="8:10" x14ac:dyDescent="0.35">
      <c r="H31783" s="676"/>
      <c r="I31783" s="676"/>
      <c r="J31783" s="770"/>
    </row>
    <row r="31784" spans="8:10" x14ac:dyDescent="0.35">
      <c r="H31784" s="676"/>
      <c r="I31784" s="676"/>
      <c r="J31784" s="770"/>
    </row>
    <row r="31785" spans="8:10" x14ac:dyDescent="0.35">
      <c r="H31785" s="676"/>
      <c r="I31785" s="676"/>
      <c r="J31785" s="770"/>
    </row>
    <row r="31786" spans="8:10" x14ac:dyDescent="0.35">
      <c r="H31786" s="676"/>
      <c r="I31786" s="676"/>
      <c r="J31786" s="770"/>
    </row>
    <row r="31787" spans="8:10" x14ac:dyDescent="0.35">
      <c r="H31787" s="676"/>
      <c r="I31787" s="676"/>
      <c r="J31787" s="770"/>
    </row>
    <row r="31788" spans="8:10" x14ac:dyDescent="0.35">
      <c r="H31788" s="676"/>
      <c r="I31788" s="676"/>
      <c r="J31788" s="770"/>
    </row>
    <row r="31789" spans="8:10" x14ac:dyDescent="0.35">
      <c r="H31789" s="676"/>
      <c r="I31789" s="676"/>
      <c r="J31789" s="770"/>
    </row>
    <row r="31790" spans="8:10" x14ac:dyDescent="0.35">
      <c r="H31790" s="676"/>
      <c r="I31790" s="676"/>
      <c r="J31790" s="770"/>
    </row>
    <row r="31791" spans="8:10" x14ac:dyDescent="0.35">
      <c r="H31791" s="676"/>
      <c r="I31791" s="676"/>
      <c r="J31791" s="770"/>
    </row>
    <row r="31792" spans="8:10" x14ac:dyDescent="0.35">
      <c r="H31792" s="676"/>
      <c r="I31792" s="676"/>
      <c r="J31792" s="770"/>
    </row>
    <row r="31793" spans="8:10" x14ac:dyDescent="0.35">
      <c r="H31793" s="676"/>
      <c r="I31793" s="676"/>
      <c r="J31793" s="770"/>
    </row>
    <row r="31794" spans="8:10" x14ac:dyDescent="0.35">
      <c r="H31794" s="676"/>
      <c r="I31794" s="676"/>
      <c r="J31794" s="770"/>
    </row>
    <row r="31795" spans="8:10" x14ac:dyDescent="0.35">
      <c r="H31795" s="676"/>
      <c r="I31795" s="676"/>
      <c r="J31795" s="770"/>
    </row>
    <row r="31796" spans="8:10" x14ac:dyDescent="0.35">
      <c r="H31796" s="676"/>
      <c r="I31796" s="676"/>
      <c r="J31796" s="770"/>
    </row>
    <row r="31797" spans="8:10" x14ac:dyDescent="0.35">
      <c r="H31797" s="676"/>
      <c r="I31797" s="676"/>
      <c r="J31797" s="770"/>
    </row>
    <row r="31798" spans="8:10" x14ac:dyDescent="0.35">
      <c r="H31798" s="676"/>
      <c r="I31798" s="676"/>
      <c r="J31798" s="770"/>
    </row>
    <row r="31799" spans="8:10" x14ac:dyDescent="0.35">
      <c r="H31799" s="676"/>
      <c r="I31799" s="676"/>
      <c r="J31799" s="770"/>
    </row>
    <row r="31800" spans="8:10" x14ac:dyDescent="0.35">
      <c r="H31800" s="676"/>
      <c r="I31800" s="676"/>
      <c r="J31800" s="770"/>
    </row>
    <row r="31801" spans="8:10" x14ac:dyDescent="0.35">
      <c r="H31801" s="676"/>
      <c r="I31801" s="676"/>
      <c r="J31801" s="770"/>
    </row>
    <row r="31802" spans="8:10" x14ac:dyDescent="0.35">
      <c r="H31802" s="676"/>
      <c r="I31802" s="676"/>
      <c r="J31802" s="770"/>
    </row>
    <row r="31803" spans="8:10" x14ac:dyDescent="0.35">
      <c r="H31803" s="676"/>
      <c r="I31803" s="676"/>
      <c r="J31803" s="770"/>
    </row>
    <row r="31804" spans="8:10" x14ac:dyDescent="0.35">
      <c r="H31804" s="676"/>
      <c r="I31804" s="676"/>
      <c r="J31804" s="770"/>
    </row>
    <row r="31805" spans="8:10" x14ac:dyDescent="0.35">
      <c r="H31805" s="676"/>
      <c r="I31805" s="676"/>
      <c r="J31805" s="770"/>
    </row>
    <row r="31806" spans="8:10" x14ac:dyDescent="0.35">
      <c r="H31806" s="676"/>
      <c r="I31806" s="676"/>
      <c r="J31806" s="770"/>
    </row>
    <row r="31807" spans="8:10" x14ac:dyDescent="0.35">
      <c r="H31807" s="676"/>
      <c r="I31807" s="676"/>
      <c r="J31807" s="770"/>
    </row>
    <row r="31808" spans="8:10" x14ac:dyDescent="0.35">
      <c r="H31808" s="676"/>
      <c r="I31808" s="676"/>
      <c r="J31808" s="770"/>
    </row>
    <row r="31809" spans="8:10" x14ac:dyDescent="0.35">
      <c r="H31809" s="676"/>
      <c r="I31809" s="676"/>
      <c r="J31809" s="770"/>
    </row>
    <row r="31810" spans="8:10" x14ac:dyDescent="0.35">
      <c r="H31810" s="676"/>
      <c r="I31810" s="676"/>
      <c r="J31810" s="770"/>
    </row>
    <row r="31811" spans="8:10" x14ac:dyDescent="0.35">
      <c r="H31811" s="676"/>
      <c r="I31811" s="676"/>
      <c r="J31811" s="770"/>
    </row>
    <row r="31812" spans="8:10" x14ac:dyDescent="0.35">
      <c r="H31812" s="676"/>
      <c r="I31812" s="676"/>
      <c r="J31812" s="770"/>
    </row>
    <row r="31813" spans="8:10" x14ac:dyDescent="0.35">
      <c r="H31813" s="676"/>
      <c r="I31813" s="676"/>
      <c r="J31813" s="770"/>
    </row>
    <row r="31814" spans="8:10" x14ac:dyDescent="0.35">
      <c r="H31814" s="676"/>
      <c r="I31814" s="676"/>
      <c r="J31814" s="770"/>
    </row>
    <row r="31815" spans="8:10" x14ac:dyDescent="0.35">
      <c r="H31815" s="676"/>
      <c r="I31815" s="676"/>
      <c r="J31815" s="770"/>
    </row>
    <row r="31816" spans="8:10" x14ac:dyDescent="0.35">
      <c r="H31816" s="676"/>
      <c r="I31816" s="676"/>
      <c r="J31816" s="770"/>
    </row>
    <row r="31817" spans="8:10" x14ac:dyDescent="0.35">
      <c r="H31817" s="676"/>
      <c r="I31817" s="676"/>
      <c r="J31817" s="770"/>
    </row>
    <row r="31818" spans="8:10" x14ac:dyDescent="0.35">
      <c r="H31818" s="676"/>
      <c r="I31818" s="676"/>
      <c r="J31818" s="770"/>
    </row>
    <row r="31819" spans="8:10" x14ac:dyDescent="0.35">
      <c r="H31819" s="676"/>
      <c r="I31819" s="676"/>
      <c r="J31819" s="770"/>
    </row>
    <row r="31820" spans="8:10" x14ac:dyDescent="0.35">
      <c r="H31820" s="676"/>
      <c r="I31820" s="676"/>
      <c r="J31820" s="770"/>
    </row>
    <row r="31821" spans="8:10" x14ac:dyDescent="0.35">
      <c r="H31821" s="676"/>
      <c r="I31821" s="676"/>
      <c r="J31821" s="770"/>
    </row>
    <row r="31822" spans="8:10" x14ac:dyDescent="0.35">
      <c r="H31822" s="676"/>
      <c r="I31822" s="676"/>
      <c r="J31822" s="770"/>
    </row>
    <row r="31823" spans="8:10" x14ac:dyDescent="0.35">
      <c r="H31823" s="676"/>
      <c r="I31823" s="676"/>
      <c r="J31823" s="770"/>
    </row>
    <row r="31824" spans="8:10" x14ac:dyDescent="0.35">
      <c r="H31824" s="676"/>
      <c r="I31824" s="676"/>
      <c r="J31824" s="770"/>
    </row>
    <row r="31825" spans="8:10" x14ac:dyDescent="0.35">
      <c r="H31825" s="676"/>
      <c r="I31825" s="676"/>
      <c r="J31825" s="770"/>
    </row>
    <row r="31826" spans="8:10" x14ac:dyDescent="0.35">
      <c r="H31826" s="676"/>
      <c r="I31826" s="676"/>
      <c r="J31826" s="770"/>
    </row>
    <row r="31827" spans="8:10" x14ac:dyDescent="0.35">
      <c r="H31827" s="676"/>
      <c r="I31827" s="676"/>
      <c r="J31827" s="770"/>
    </row>
    <row r="31828" spans="8:10" x14ac:dyDescent="0.35">
      <c r="H31828" s="676"/>
      <c r="I31828" s="676"/>
      <c r="J31828" s="770"/>
    </row>
    <row r="31829" spans="8:10" x14ac:dyDescent="0.35">
      <c r="H31829" s="676"/>
      <c r="I31829" s="676"/>
      <c r="J31829" s="770"/>
    </row>
    <row r="31830" spans="8:10" x14ac:dyDescent="0.35">
      <c r="H31830" s="676"/>
      <c r="I31830" s="676"/>
      <c r="J31830" s="770"/>
    </row>
    <row r="31831" spans="8:10" x14ac:dyDescent="0.35">
      <c r="H31831" s="676"/>
      <c r="I31831" s="676"/>
      <c r="J31831" s="770"/>
    </row>
    <row r="31832" spans="8:10" x14ac:dyDescent="0.35">
      <c r="H31832" s="676"/>
      <c r="I31832" s="676"/>
      <c r="J31832" s="770"/>
    </row>
    <row r="31833" spans="8:10" x14ac:dyDescent="0.35">
      <c r="H31833" s="676"/>
      <c r="I31833" s="676"/>
      <c r="J31833" s="770"/>
    </row>
    <row r="31834" spans="8:10" x14ac:dyDescent="0.35">
      <c r="H31834" s="676"/>
      <c r="I31834" s="676"/>
      <c r="J31834" s="770"/>
    </row>
    <row r="31835" spans="8:10" x14ac:dyDescent="0.35">
      <c r="H31835" s="676"/>
      <c r="I31835" s="676"/>
      <c r="J31835" s="770"/>
    </row>
    <row r="31836" spans="8:10" x14ac:dyDescent="0.35">
      <c r="H31836" s="676"/>
      <c r="I31836" s="676"/>
      <c r="J31836" s="770"/>
    </row>
    <row r="31837" spans="8:10" x14ac:dyDescent="0.35">
      <c r="H31837" s="676"/>
      <c r="I31837" s="676"/>
      <c r="J31837" s="770"/>
    </row>
    <row r="31838" spans="8:10" x14ac:dyDescent="0.35">
      <c r="H31838" s="676"/>
      <c r="I31838" s="676"/>
      <c r="J31838" s="770"/>
    </row>
    <row r="31839" spans="8:10" x14ac:dyDescent="0.35">
      <c r="H31839" s="676"/>
      <c r="I31839" s="676"/>
      <c r="J31839" s="770"/>
    </row>
    <row r="31840" spans="8:10" x14ac:dyDescent="0.35">
      <c r="H31840" s="676"/>
      <c r="I31840" s="676"/>
      <c r="J31840" s="770"/>
    </row>
    <row r="31841" spans="8:10" x14ac:dyDescent="0.35">
      <c r="H31841" s="676"/>
      <c r="I31841" s="676"/>
      <c r="J31841" s="770"/>
    </row>
    <row r="31842" spans="8:10" x14ac:dyDescent="0.35">
      <c r="H31842" s="676"/>
      <c r="I31842" s="676"/>
      <c r="J31842" s="770"/>
    </row>
    <row r="31843" spans="8:10" x14ac:dyDescent="0.35">
      <c r="H31843" s="676"/>
      <c r="I31843" s="676"/>
      <c r="J31843" s="770"/>
    </row>
    <row r="31844" spans="8:10" x14ac:dyDescent="0.35">
      <c r="H31844" s="676"/>
      <c r="I31844" s="676"/>
      <c r="J31844" s="770"/>
    </row>
    <row r="31845" spans="8:10" x14ac:dyDescent="0.35">
      <c r="H31845" s="676"/>
      <c r="I31845" s="676"/>
      <c r="J31845" s="770"/>
    </row>
    <row r="31846" spans="8:10" x14ac:dyDescent="0.35">
      <c r="H31846" s="676"/>
      <c r="I31846" s="676"/>
      <c r="J31846" s="770"/>
    </row>
    <row r="31847" spans="8:10" x14ac:dyDescent="0.35">
      <c r="H31847" s="676"/>
      <c r="I31847" s="676"/>
      <c r="J31847" s="770"/>
    </row>
    <row r="31848" spans="8:10" x14ac:dyDescent="0.35">
      <c r="H31848" s="676"/>
      <c r="I31848" s="676"/>
      <c r="J31848" s="770"/>
    </row>
    <row r="31849" spans="8:10" x14ac:dyDescent="0.35">
      <c r="H31849" s="676"/>
      <c r="I31849" s="676"/>
      <c r="J31849" s="770"/>
    </row>
    <row r="31850" spans="8:10" x14ac:dyDescent="0.35">
      <c r="H31850" s="676"/>
      <c r="I31850" s="676"/>
      <c r="J31850" s="770"/>
    </row>
    <row r="31851" spans="8:10" x14ac:dyDescent="0.35">
      <c r="H31851" s="676"/>
      <c r="I31851" s="676"/>
      <c r="J31851" s="770"/>
    </row>
    <row r="31852" spans="8:10" x14ac:dyDescent="0.35">
      <c r="H31852" s="676"/>
      <c r="I31852" s="676"/>
      <c r="J31852" s="770"/>
    </row>
    <row r="31853" spans="8:10" x14ac:dyDescent="0.35">
      <c r="H31853" s="676"/>
      <c r="I31853" s="676"/>
      <c r="J31853" s="770"/>
    </row>
    <row r="31854" spans="8:10" x14ac:dyDescent="0.35">
      <c r="H31854" s="676"/>
      <c r="I31854" s="676"/>
      <c r="J31854" s="770"/>
    </row>
    <row r="31855" spans="8:10" x14ac:dyDescent="0.35">
      <c r="H31855" s="676"/>
      <c r="I31855" s="676"/>
      <c r="J31855" s="770"/>
    </row>
    <row r="31856" spans="8:10" x14ac:dyDescent="0.35">
      <c r="H31856" s="676"/>
      <c r="I31856" s="676"/>
      <c r="J31856" s="770"/>
    </row>
    <row r="31857" spans="8:10" x14ac:dyDescent="0.35">
      <c r="H31857" s="676"/>
      <c r="I31857" s="676"/>
      <c r="J31857" s="770"/>
    </row>
    <row r="31858" spans="8:10" x14ac:dyDescent="0.35">
      <c r="H31858" s="676"/>
      <c r="I31858" s="676"/>
      <c r="J31858" s="770"/>
    </row>
    <row r="31859" spans="8:10" x14ac:dyDescent="0.35">
      <c r="H31859" s="676"/>
      <c r="I31859" s="676"/>
      <c r="J31859" s="770"/>
    </row>
    <row r="31860" spans="8:10" x14ac:dyDescent="0.35">
      <c r="H31860" s="676"/>
      <c r="I31860" s="676"/>
      <c r="J31860" s="770"/>
    </row>
    <row r="31861" spans="8:10" x14ac:dyDescent="0.35">
      <c r="H31861" s="676"/>
      <c r="I31861" s="676"/>
      <c r="J31861" s="770"/>
    </row>
    <row r="31862" spans="8:10" x14ac:dyDescent="0.35">
      <c r="H31862" s="676"/>
      <c r="I31862" s="676"/>
      <c r="J31862" s="770"/>
    </row>
    <row r="31863" spans="8:10" x14ac:dyDescent="0.35">
      <c r="H31863" s="676"/>
      <c r="I31863" s="676"/>
      <c r="J31863" s="770"/>
    </row>
    <row r="31864" spans="8:10" x14ac:dyDescent="0.35">
      <c r="H31864" s="676"/>
      <c r="I31864" s="676"/>
      <c r="J31864" s="770"/>
    </row>
    <row r="31865" spans="8:10" x14ac:dyDescent="0.35">
      <c r="H31865" s="676"/>
      <c r="I31865" s="676"/>
      <c r="J31865" s="770"/>
    </row>
    <row r="31866" spans="8:10" x14ac:dyDescent="0.35">
      <c r="H31866" s="676"/>
      <c r="I31866" s="676"/>
      <c r="J31866" s="770"/>
    </row>
    <row r="31867" spans="8:10" x14ac:dyDescent="0.35">
      <c r="H31867" s="676"/>
      <c r="I31867" s="676"/>
      <c r="J31867" s="770"/>
    </row>
    <row r="31868" spans="8:10" x14ac:dyDescent="0.35">
      <c r="H31868" s="676"/>
      <c r="I31868" s="676"/>
      <c r="J31868" s="770"/>
    </row>
    <row r="31869" spans="8:10" x14ac:dyDescent="0.35">
      <c r="H31869" s="676"/>
      <c r="I31869" s="676"/>
      <c r="J31869" s="770"/>
    </row>
    <row r="31870" spans="8:10" x14ac:dyDescent="0.35">
      <c r="H31870" s="676"/>
      <c r="I31870" s="676"/>
      <c r="J31870" s="770"/>
    </row>
    <row r="31871" spans="8:10" x14ac:dyDescent="0.35">
      <c r="H31871" s="676"/>
      <c r="I31871" s="676"/>
      <c r="J31871" s="770"/>
    </row>
    <row r="31872" spans="8:10" x14ac:dyDescent="0.35">
      <c r="H31872" s="676"/>
      <c r="I31872" s="676"/>
      <c r="J31872" s="770"/>
    </row>
    <row r="31873" spans="8:10" x14ac:dyDescent="0.35">
      <c r="H31873" s="676"/>
      <c r="I31873" s="676"/>
      <c r="J31873" s="770"/>
    </row>
    <row r="31874" spans="8:10" x14ac:dyDescent="0.35">
      <c r="H31874" s="676"/>
      <c r="I31874" s="676"/>
      <c r="J31874" s="770"/>
    </row>
    <row r="31875" spans="8:10" x14ac:dyDescent="0.35">
      <c r="H31875" s="676"/>
      <c r="I31875" s="676"/>
      <c r="J31875" s="770"/>
    </row>
    <row r="31876" spans="8:10" x14ac:dyDescent="0.35">
      <c r="H31876" s="676"/>
      <c r="I31876" s="676"/>
      <c r="J31876" s="770"/>
    </row>
    <row r="31877" spans="8:10" x14ac:dyDescent="0.35">
      <c r="H31877" s="676"/>
      <c r="I31877" s="676"/>
      <c r="J31877" s="770"/>
    </row>
    <row r="31878" spans="8:10" x14ac:dyDescent="0.35">
      <c r="H31878" s="676"/>
      <c r="I31878" s="676"/>
      <c r="J31878" s="770"/>
    </row>
    <row r="31879" spans="8:10" x14ac:dyDescent="0.35">
      <c r="H31879" s="676"/>
      <c r="I31879" s="676"/>
      <c r="J31879" s="770"/>
    </row>
    <row r="31880" spans="8:10" x14ac:dyDescent="0.35">
      <c r="H31880" s="676"/>
      <c r="I31880" s="676"/>
      <c r="J31880" s="770"/>
    </row>
    <row r="31881" spans="8:10" x14ac:dyDescent="0.35">
      <c r="H31881" s="676"/>
      <c r="I31881" s="676"/>
      <c r="J31881" s="770"/>
    </row>
    <row r="31882" spans="8:10" x14ac:dyDescent="0.35">
      <c r="H31882" s="676"/>
      <c r="I31882" s="676"/>
      <c r="J31882" s="770"/>
    </row>
    <row r="31883" spans="8:10" x14ac:dyDescent="0.35">
      <c r="H31883" s="676"/>
      <c r="I31883" s="676"/>
      <c r="J31883" s="770"/>
    </row>
    <row r="31884" spans="8:10" x14ac:dyDescent="0.35">
      <c r="H31884" s="676"/>
      <c r="I31884" s="676"/>
      <c r="J31884" s="770"/>
    </row>
    <row r="31885" spans="8:10" x14ac:dyDescent="0.35">
      <c r="H31885" s="676"/>
      <c r="I31885" s="676"/>
      <c r="J31885" s="770"/>
    </row>
    <row r="31886" spans="8:10" x14ac:dyDescent="0.35">
      <c r="H31886" s="676"/>
      <c r="I31886" s="676"/>
      <c r="J31886" s="770"/>
    </row>
    <row r="31887" spans="8:10" x14ac:dyDescent="0.35">
      <c r="H31887" s="676"/>
      <c r="I31887" s="676"/>
      <c r="J31887" s="770"/>
    </row>
    <row r="31888" spans="8:10" x14ac:dyDescent="0.35">
      <c r="H31888" s="676"/>
      <c r="I31888" s="676"/>
      <c r="J31888" s="770"/>
    </row>
    <row r="31889" spans="8:10" x14ac:dyDescent="0.35">
      <c r="H31889" s="676"/>
      <c r="I31889" s="676"/>
      <c r="J31889" s="770"/>
    </row>
    <row r="31890" spans="8:10" x14ac:dyDescent="0.35">
      <c r="H31890" s="676"/>
      <c r="I31890" s="676"/>
      <c r="J31890" s="770"/>
    </row>
    <row r="31891" spans="8:10" x14ac:dyDescent="0.35">
      <c r="H31891" s="676"/>
      <c r="I31891" s="676"/>
      <c r="J31891" s="770"/>
    </row>
    <row r="31892" spans="8:10" x14ac:dyDescent="0.35">
      <c r="H31892" s="676"/>
      <c r="I31892" s="676"/>
      <c r="J31892" s="770"/>
    </row>
    <row r="31893" spans="8:10" x14ac:dyDescent="0.35">
      <c r="H31893" s="676"/>
      <c r="I31893" s="676"/>
      <c r="J31893" s="770"/>
    </row>
    <row r="31894" spans="8:10" x14ac:dyDescent="0.35">
      <c r="H31894" s="676"/>
      <c r="I31894" s="676"/>
      <c r="J31894" s="770"/>
    </row>
    <row r="31895" spans="8:10" x14ac:dyDescent="0.35">
      <c r="H31895" s="676"/>
      <c r="I31895" s="676"/>
      <c r="J31895" s="770"/>
    </row>
    <row r="31896" spans="8:10" x14ac:dyDescent="0.35">
      <c r="H31896" s="676"/>
      <c r="I31896" s="676"/>
      <c r="J31896" s="770"/>
    </row>
    <row r="31897" spans="8:10" x14ac:dyDescent="0.35">
      <c r="H31897" s="676"/>
      <c r="I31897" s="676"/>
      <c r="J31897" s="770"/>
    </row>
    <row r="31898" spans="8:10" x14ac:dyDescent="0.35">
      <c r="H31898" s="676"/>
      <c r="I31898" s="676"/>
      <c r="J31898" s="770"/>
    </row>
    <row r="31899" spans="8:10" x14ac:dyDescent="0.35">
      <c r="H31899" s="676"/>
      <c r="I31899" s="676"/>
      <c r="J31899" s="770"/>
    </row>
    <row r="31900" spans="8:10" x14ac:dyDescent="0.35">
      <c r="H31900" s="676"/>
      <c r="I31900" s="676"/>
      <c r="J31900" s="770"/>
    </row>
    <row r="31901" spans="8:10" x14ac:dyDescent="0.35">
      <c r="H31901" s="676"/>
      <c r="I31901" s="676"/>
      <c r="J31901" s="770"/>
    </row>
    <row r="31902" spans="8:10" x14ac:dyDescent="0.35">
      <c r="H31902" s="676"/>
      <c r="I31902" s="676"/>
      <c r="J31902" s="770"/>
    </row>
    <row r="31903" spans="8:10" x14ac:dyDescent="0.35">
      <c r="H31903" s="676"/>
      <c r="I31903" s="676"/>
      <c r="J31903" s="770"/>
    </row>
    <row r="31904" spans="8:10" x14ac:dyDescent="0.35">
      <c r="H31904" s="676"/>
      <c r="I31904" s="676"/>
      <c r="J31904" s="770"/>
    </row>
    <row r="31905" spans="8:10" x14ac:dyDescent="0.35">
      <c r="H31905" s="676"/>
      <c r="I31905" s="676"/>
      <c r="J31905" s="770"/>
    </row>
    <row r="31906" spans="8:10" x14ac:dyDescent="0.35">
      <c r="H31906" s="676"/>
      <c r="I31906" s="676"/>
      <c r="J31906" s="770"/>
    </row>
    <row r="31907" spans="8:10" x14ac:dyDescent="0.35">
      <c r="H31907" s="676"/>
      <c r="I31907" s="676"/>
      <c r="J31907" s="770"/>
    </row>
    <row r="31908" spans="8:10" x14ac:dyDescent="0.35">
      <c r="H31908" s="676"/>
      <c r="I31908" s="676"/>
      <c r="J31908" s="770"/>
    </row>
    <row r="31909" spans="8:10" x14ac:dyDescent="0.35">
      <c r="H31909" s="676"/>
      <c r="I31909" s="676"/>
      <c r="J31909" s="770"/>
    </row>
    <row r="31910" spans="8:10" x14ac:dyDescent="0.35">
      <c r="H31910" s="676"/>
      <c r="I31910" s="676"/>
      <c r="J31910" s="770"/>
    </row>
    <row r="31911" spans="8:10" x14ac:dyDescent="0.35">
      <c r="H31911" s="676"/>
      <c r="I31911" s="676"/>
      <c r="J31911" s="770"/>
    </row>
    <row r="31912" spans="8:10" x14ac:dyDescent="0.35">
      <c r="H31912" s="676"/>
      <c r="I31912" s="676"/>
      <c r="J31912" s="770"/>
    </row>
    <row r="31913" spans="8:10" x14ac:dyDescent="0.35">
      <c r="H31913" s="676"/>
      <c r="I31913" s="676"/>
      <c r="J31913" s="770"/>
    </row>
    <row r="31914" spans="8:10" x14ac:dyDescent="0.35">
      <c r="H31914" s="676"/>
      <c r="I31914" s="676"/>
      <c r="J31914" s="770"/>
    </row>
    <row r="31915" spans="8:10" x14ac:dyDescent="0.35">
      <c r="H31915" s="676"/>
      <c r="I31915" s="676"/>
      <c r="J31915" s="770"/>
    </row>
    <row r="31916" spans="8:10" x14ac:dyDescent="0.35">
      <c r="H31916" s="676"/>
      <c r="I31916" s="676"/>
      <c r="J31916" s="770"/>
    </row>
    <row r="31917" spans="8:10" x14ac:dyDescent="0.35">
      <c r="H31917" s="676"/>
      <c r="I31917" s="676"/>
      <c r="J31917" s="770"/>
    </row>
    <row r="31918" spans="8:10" x14ac:dyDescent="0.35">
      <c r="H31918" s="676"/>
      <c r="I31918" s="676"/>
      <c r="J31918" s="770"/>
    </row>
    <row r="31919" spans="8:10" x14ac:dyDescent="0.35">
      <c r="H31919" s="676"/>
      <c r="I31919" s="676"/>
      <c r="J31919" s="770"/>
    </row>
    <row r="31920" spans="8:10" x14ac:dyDescent="0.35">
      <c r="H31920" s="676"/>
      <c r="I31920" s="676"/>
      <c r="J31920" s="770"/>
    </row>
    <row r="31921" spans="8:10" x14ac:dyDescent="0.35">
      <c r="H31921" s="676"/>
      <c r="I31921" s="676"/>
      <c r="J31921" s="770"/>
    </row>
    <row r="31922" spans="8:10" x14ac:dyDescent="0.35">
      <c r="H31922" s="676"/>
      <c r="I31922" s="676"/>
      <c r="J31922" s="770"/>
    </row>
    <row r="31923" spans="8:10" x14ac:dyDescent="0.35">
      <c r="H31923" s="676"/>
      <c r="I31923" s="676"/>
      <c r="J31923" s="770"/>
    </row>
    <row r="31924" spans="8:10" x14ac:dyDescent="0.35">
      <c r="H31924" s="676"/>
      <c r="I31924" s="676"/>
      <c r="J31924" s="770"/>
    </row>
    <row r="31925" spans="8:10" x14ac:dyDescent="0.35">
      <c r="H31925" s="676"/>
      <c r="I31925" s="676"/>
      <c r="J31925" s="770"/>
    </row>
    <row r="31926" spans="8:10" x14ac:dyDescent="0.35">
      <c r="H31926" s="676"/>
      <c r="I31926" s="676"/>
      <c r="J31926" s="770"/>
    </row>
    <row r="31927" spans="8:10" x14ac:dyDescent="0.35">
      <c r="H31927" s="676"/>
      <c r="I31927" s="676"/>
      <c r="J31927" s="770"/>
    </row>
    <row r="31928" spans="8:10" x14ac:dyDescent="0.35">
      <c r="H31928" s="676"/>
      <c r="I31928" s="676"/>
      <c r="J31928" s="770"/>
    </row>
    <row r="31929" spans="8:10" x14ac:dyDescent="0.35">
      <c r="H31929" s="676"/>
      <c r="I31929" s="676"/>
      <c r="J31929" s="770"/>
    </row>
    <row r="31930" spans="8:10" x14ac:dyDescent="0.35">
      <c r="H31930" s="676"/>
      <c r="I31930" s="676"/>
      <c r="J31930" s="770"/>
    </row>
    <row r="31931" spans="8:10" x14ac:dyDescent="0.35">
      <c r="H31931" s="676"/>
      <c r="I31931" s="676"/>
      <c r="J31931" s="770"/>
    </row>
    <row r="31932" spans="8:10" x14ac:dyDescent="0.35">
      <c r="H31932" s="676"/>
      <c r="I31932" s="676"/>
      <c r="J31932" s="770"/>
    </row>
    <row r="31933" spans="8:10" x14ac:dyDescent="0.35">
      <c r="H31933" s="676"/>
      <c r="I31933" s="676"/>
      <c r="J31933" s="770"/>
    </row>
    <row r="31934" spans="8:10" x14ac:dyDescent="0.35">
      <c r="H31934" s="676"/>
      <c r="I31934" s="676"/>
      <c r="J31934" s="770"/>
    </row>
    <row r="31935" spans="8:10" x14ac:dyDescent="0.35">
      <c r="H31935" s="676"/>
      <c r="I31935" s="676"/>
      <c r="J31935" s="770"/>
    </row>
    <row r="31936" spans="8:10" x14ac:dyDescent="0.35">
      <c r="H31936" s="676"/>
      <c r="I31936" s="676"/>
      <c r="J31936" s="770"/>
    </row>
    <row r="31937" spans="8:10" x14ac:dyDescent="0.35">
      <c r="H31937" s="676"/>
      <c r="I31937" s="676"/>
      <c r="J31937" s="770"/>
    </row>
    <row r="31938" spans="8:10" x14ac:dyDescent="0.35">
      <c r="H31938" s="676"/>
      <c r="I31938" s="676"/>
      <c r="J31938" s="770"/>
    </row>
    <row r="31939" spans="8:10" x14ac:dyDescent="0.35">
      <c r="H31939" s="676"/>
      <c r="I31939" s="676"/>
      <c r="J31939" s="770"/>
    </row>
    <row r="31940" spans="8:10" x14ac:dyDescent="0.35">
      <c r="H31940" s="676"/>
      <c r="I31940" s="676"/>
      <c r="J31940" s="770"/>
    </row>
    <row r="31941" spans="8:10" x14ac:dyDescent="0.35">
      <c r="H31941" s="676"/>
      <c r="I31941" s="676"/>
      <c r="J31941" s="770"/>
    </row>
    <row r="31942" spans="8:10" x14ac:dyDescent="0.35">
      <c r="H31942" s="676"/>
      <c r="I31942" s="676"/>
      <c r="J31942" s="770"/>
    </row>
    <row r="31943" spans="8:10" x14ac:dyDescent="0.35">
      <c r="H31943" s="676"/>
      <c r="I31943" s="676"/>
      <c r="J31943" s="770"/>
    </row>
    <row r="31944" spans="8:10" x14ac:dyDescent="0.35">
      <c r="H31944" s="676"/>
      <c r="I31944" s="676"/>
      <c r="J31944" s="770"/>
    </row>
    <row r="31945" spans="8:10" x14ac:dyDescent="0.35">
      <c r="H31945" s="676"/>
      <c r="I31945" s="676"/>
      <c r="J31945" s="770"/>
    </row>
    <row r="31946" spans="8:10" x14ac:dyDescent="0.35">
      <c r="H31946" s="676"/>
      <c r="I31946" s="676"/>
      <c r="J31946" s="770"/>
    </row>
    <row r="31947" spans="8:10" x14ac:dyDescent="0.35">
      <c r="H31947" s="676"/>
      <c r="I31947" s="676"/>
      <c r="J31947" s="770"/>
    </row>
    <row r="31948" spans="8:10" x14ac:dyDescent="0.35">
      <c r="H31948" s="676"/>
      <c r="I31948" s="676"/>
      <c r="J31948" s="770"/>
    </row>
    <row r="31949" spans="8:10" x14ac:dyDescent="0.35">
      <c r="H31949" s="676"/>
      <c r="I31949" s="676"/>
      <c r="J31949" s="770"/>
    </row>
    <row r="31950" spans="8:10" x14ac:dyDescent="0.35">
      <c r="H31950" s="676"/>
      <c r="I31950" s="676"/>
      <c r="J31950" s="770"/>
    </row>
    <row r="31951" spans="8:10" x14ac:dyDescent="0.35">
      <c r="H31951" s="676"/>
      <c r="I31951" s="676"/>
      <c r="J31951" s="770"/>
    </row>
    <row r="31952" spans="8:10" x14ac:dyDescent="0.35">
      <c r="H31952" s="676"/>
      <c r="I31952" s="676"/>
      <c r="J31952" s="770"/>
    </row>
    <row r="31953" spans="8:10" x14ac:dyDescent="0.35">
      <c r="H31953" s="676"/>
      <c r="I31953" s="676"/>
      <c r="J31953" s="770"/>
    </row>
    <row r="31954" spans="8:10" x14ac:dyDescent="0.35">
      <c r="H31954" s="676"/>
      <c r="I31954" s="676"/>
      <c r="J31954" s="770"/>
    </row>
    <row r="31955" spans="8:10" x14ac:dyDescent="0.35">
      <c r="H31955" s="676"/>
      <c r="I31955" s="676"/>
      <c r="J31955" s="770"/>
    </row>
    <row r="31956" spans="8:10" x14ac:dyDescent="0.35">
      <c r="H31956" s="676"/>
      <c r="I31956" s="676"/>
      <c r="J31956" s="770"/>
    </row>
    <row r="31957" spans="8:10" x14ac:dyDescent="0.35">
      <c r="H31957" s="676"/>
      <c r="I31957" s="676"/>
      <c r="J31957" s="770"/>
    </row>
    <row r="31958" spans="8:10" x14ac:dyDescent="0.35">
      <c r="H31958" s="676"/>
      <c r="I31958" s="676"/>
      <c r="J31958" s="770"/>
    </row>
    <row r="31959" spans="8:10" x14ac:dyDescent="0.35">
      <c r="H31959" s="676"/>
      <c r="I31959" s="676"/>
      <c r="J31959" s="770"/>
    </row>
    <row r="31960" spans="8:10" x14ac:dyDescent="0.35">
      <c r="H31960" s="676"/>
      <c r="I31960" s="676"/>
      <c r="J31960" s="770"/>
    </row>
    <row r="31961" spans="8:10" x14ac:dyDescent="0.35">
      <c r="H31961" s="676"/>
      <c r="I31961" s="676"/>
      <c r="J31961" s="770"/>
    </row>
    <row r="31962" spans="8:10" x14ac:dyDescent="0.35">
      <c r="H31962" s="676"/>
      <c r="I31962" s="676"/>
      <c r="J31962" s="770"/>
    </row>
    <row r="31963" spans="8:10" x14ac:dyDescent="0.35">
      <c r="H31963" s="676"/>
      <c r="I31963" s="676"/>
      <c r="J31963" s="770"/>
    </row>
    <row r="31964" spans="8:10" x14ac:dyDescent="0.35">
      <c r="H31964" s="676"/>
      <c r="I31964" s="676"/>
      <c r="J31964" s="770"/>
    </row>
    <row r="31965" spans="8:10" x14ac:dyDescent="0.35">
      <c r="H31965" s="676"/>
      <c r="I31965" s="676"/>
      <c r="J31965" s="770"/>
    </row>
    <row r="31966" spans="8:10" x14ac:dyDescent="0.35">
      <c r="H31966" s="676"/>
      <c r="I31966" s="676"/>
      <c r="J31966" s="770"/>
    </row>
    <row r="31967" spans="8:10" x14ac:dyDescent="0.35">
      <c r="H31967" s="676"/>
      <c r="I31967" s="676"/>
      <c r="J31967" s="770"/>
    </row>
    <row r="31968" spans="8:10" x14ac:dyDescent="0.35">
      <c r="H31968" s="676"/>
      <c r="I31968" s="676"/>
      <c r="J31968" s="770"/>
    </row>
    <row r="31969" spans="8:10" x14ac:dyDescent="0.35">
      <c r="H31969" s="676"/>
      <c r="I31969" s="676"/>
      <c r="J31969" s="770"/>
    </row>
    <row r="31970" spans="8:10" x14ac:dyDescent="0.35">
      <c r="H31970" s="676"/>
      <c r="I31970" s="676"/>
      <c r="J31970" s="770"/>
    </row>
    <row r="31971" spans="8:10" x14ac:dyDescent="0.35">
      <c r="H31971" s="676"/>
      <c r="I31971" s="676"/>
      <c r="J31971" s="770"/>
    </row>
    <row r="31972" spans="8:10" x14ac:dyDescent="0.35">
      <c r="H31972" s="676"/>
      <c r="I31972" s="676"/>
      <c r="J31972" s="770"/>
    </row>
    <row r="31973" spans="8:10" x14ac:dyDescent="0.35">
      <c r="H31973" s="676"/>
      <c r="I31973" s="676"/>
      <c r="J31973" s="770"/>
    </row>
    <row r="31974" spans="8:10" x14ac:dyDescent="0.35">
      <c r="H31974" s="676"/>
      <c r="I31974" s="676"/>
      <c r="J31974" s="770"/>
    </row>
    <row r="31975" spans="8:10" x14ac:dyDescent="0.35">
      <c r="H31975" s="676"/>
      <c r="I31975" s="676"/>
      <c r="J31975" s="770"/>
    </row>
    <row r="31976" spans="8:10" x14ac:dyDescent="0.35">
      <c r="H31976" s="676"/>
      <c r="I31976" s="676"/>
      <c r="J31976" s="770"/>
    </row>
    <row r="31977" spans="8:10" x14ac:dyDescent="0.35">
      <c r="H31977" s="676"/>
      <c r="I31977" s="676"/>
      <c r="J31977" s="770"/>
    </row>
    <row r="31978" spans="8:10" x14ac:dyDescent="0.35">
      <c r="H31978" s="676"/>
      <c r="I31978" s="676"/>
      <c r="J31978" s="770"/>
    </row>
    <row r="31979" spans="8:10" x14ac:dyDescent="0.35">
      <c r="H31979" s="676"/>
      <c r="I31979" s="676"/>
      <c r="J31979" s="770"/>
    </row>
    <row r="31980" spans="8:10" x14ac:dyDescent="0.35">
      <c r="H31980" s="676"/>
      <c r="I31980" s="676"/>
      <c r="J31980" s="770"/>
    </row>
    <row r="31981" spans="8:10" x14ac:dyDescent="0.35">
      <c r="H31981" s="676"/>
      <c r="I31981" s="676"/>
      <c r="J31981" s="770"/>
    </row>
    <row r="31982" spans="8:10" x14ac:dyDescent="0.35">
      <c r="H31982" s="676"/>
      <c r="I31982" s="676"/>
      <c r="J31982" s="770"/>
    </row>
    <row r="31983" spans="8:10" x14ac:dyDescent="0.35">
      <c r="H31983" s="676"/>
      <c r="I31983" s="676"/>
      <c r="J31983" s="770"/>
    </row>
    <row r="31984" spans="8:10" x14ac:dyDescent="0.35">
      <c r="H31984" s="676"/>
      <c r="I31984" s="676"/>
      <c r="J31984" s="770"/>
    </row>
    <row r="31985" spans="8:10" x14ac:dyDescent="0.35">
      <c r="H31985" s="676"/>
      <c r="I31985" s="676"/>
      <c r="J31985" s="770"/>
    </row>
    <row r="31986" spans="8:10" x14ac:dyDescent="0.35">
      <c r="H31986" s="676"/>
      <c r="I31986" s="676"/>
      <c r="J31986" s="770"/>
    </row>
    <row r="31987" spans="8:10" x14ac:dyDescent="0.35">
      <c r="H31987" s="676"/>
      <c r="I31987" s="676"/>
      <c r="J31987" s="770"/>
    </row>
    <row r="31988" spans="8:10" x14ac:dyDescent="0.35">
      <c r="H31988" s="676"/>
      <c r="I31988" s="676"/>
      <c r="J31988" s="770"/>
    </row>
    <row r="31989" spans="8:10" x14ac:dyDescent="0.35">
      <c r="H31989" s="676"/>
      <c r="I31989" s="676"/>
      <c r="J31989" s="770"/>
    </row>
    <row r="31990" spans="8:10" x14ac:dyDescent="0.35">
      <c r="H31990" s="676"/>
      <c r="I31990" s="676"/>
      <c r="J31990" s="770"/>
    </row>
    <row r="31991" spans="8:10" x14ac:dyDescent="0.35">
      <c r="H31991" s="676"/>
      <c r="I31991" s="676"/>
      <c r="J31991" s="770"/>
    </row>
    <row r="31992" spans="8:10" x14ac:dyDescent="0.35">
      <c r="H31992" s="676"/>
      <c r="I31992" s="676"/>
      <c r="J31992" s="770"/>
    </row>
    <row r="31993" spans="8:10" x14ac:dyDescent="0.35">
      <c r="H31993" s="676"/>
      <c r="I31993" s="676"/>
      <c r="J31993" s="770"/>
    </row>
    <row r="31994" spans="8:10" x14ac:dyDescent="0.35">
      <c r="H31994" s="676"/>
      <c r="I31994" s="676"/>
      <c r="J31994" s="770"/>
    </row>
    <row r="31995" spans="8:10" x14ac:dyDescent="0.35">
      <c r="H31995" s="676"/>
      <c r="I31995" s="676"/>
      <c r="J31995" s="770"/>
    </row>
    <row r="31996" spans="8:10" x14ac:dyDescent="0.35">
      <c r="H31996" s="676"/>
      <c r="I31996" s="676"/>
      <c r="J31996" s="770"/>
    </row>
    <row r="31997" spans="8:10" x14ac:dyDescent="0.35">
      <c r="H31997" s="676"/>
      <c r="I31997" s="676"/>
      <c r="J31997" s="770"/>
    </row>
    <row r="31998" spans="8:10" x14ac:dyDescent="0.35">
      <c r="H31998" s="676"/>
      <c r="I31998" s="676"/>
      <c r="J31998" s="770"/>
    </row>
    <row r="31999" spans="8:10" x14ac:dyDescent="0.35">
      <c r="H31999" s="676"/>
      <c r="I31999" s="676"/>
      <c r="J31999" s="770"/>
    </row>
    <row r="32000" spans="8:10" x14ac:dyDescent="0.35">
      <c r="H32000" s="676"/>
      <c r="I32000" s="676"/>
      <c r="J32000" s="770"/>
    </row>
    <row r="32001" spans="8:10" x14ac:dyDescent="0.35">
      <c r="H32001" s="676"/>
      <c r="I32001" s="676"/>
      <c r="J32001" s="770"/>
    </row>
    <row r="32002" spans="8:10" x14ac:dyDescent="0.35">
      <c r="H32002" s="676"/>
      <c r="I32002" s="676"/>
      <c r="J32002" s="770"/>
    </row>
    <row r="32003" spans="8:10" x14ac:dyDescent="0.35">
      <c r="H32003" s="676"/>
      <c r="I32003" s="676"/>
      <c r="J32003" s="770"/>
    </row>
    <row r="32004" spans="8:10" x14ac:dyDescent="0.35">
      <c r="H32004" s="676"/>
      <c r="I32004" s="676"/>
      <c r="J32004" s="770"/>
    </row>
    <row r="32005" spans="8:10" x14ac:dyDescent="0.35">
      <c r="H32005" s="676"/>
      <c r="I32005" s="676"/>
      <c r="J32005" s="770"/>
    </row>
    <row r="32006" spans="8:10" x14ac:dyDescent="0.35">
      <c r="H32006" s="676"/>
      <c r="I32006" s="676"/>
      <c r="J32006" s="770"/>
    </row>
    <row r="32007" spans="8:10" x14ac:dyDescent="0.35">
      <c r="H32007" s="676"/>
      <c r="I32007" s="676"/>
      <c r="J32007" s="770"/>
    </row>
    <row r="32008" spans="8:10" x14ac:dyDescent="0.35">
      <c r="H32008" s="676"/>
      <c r="I32008" s="676"/>
      <c r="J32008" s="770"/>
    </row>
    <row r="32009" spans="8:10" x14ac:dyDescent="0.35">
      <c r="H32009" s="676"/>
      <c r="I32009" s="676"/>
      <c r="J32009" s="770"/>
    </row>
    <row r="32010" spans="8:10" x14ac:dyDescent="0.35">
      <c r="H32010" s="676"/>
      <c r="I32010" s="676"/>
      <c r="J32010" s="770"/>
    </row>
    <row r="32011" spans="8:10" x14ac:dyDescent="0.35">
      <c r="H32011" s="676"/>
      <c r="I32011" s="676"/>
      <c r="J32011" s="770"/>
    </row>
    <row r="32012" spans="8:10" x14ac:dyDescent="0.35">
      <c r="H32012" s="676"/>
      <c r="I32012" s="676"/>
      <c r="J32012" s="770"/>
    </row>
    <row r="32013" spans="8:10" x14ac:dyDescent="0.35">
      <c r="H32013" s="676"/>
      <c r="I32013" s="676"/>
      <c r="J32013" s="770"/>
    </row>
    <row r="32014" spans="8:10" x14ac:dyDescent="0.35">
      <c r="H32014" s="676"/>
      <c r="I32014" s="676"/>
      <c r="J32014" s="770"/>
    </row>
    <row r="32015" spans="8:10" x14ac:dyDescent="0.35">
      <c r="H32015" s="676"/>
      <c r="I32015" s="676"/>
      <c r="J32015" s="770"/>
    </row>
    <row r="32016" spans="8:10" x14ac:dyDescent="0.35">
      <c r="H32016" s="676"/>
      <c r="I32016" s="676"/>
      <c r="J32016" s="770"/>
    </row>
    <row r="32017" spans="8:10" x14ac:dyDescent="0.35">
      <c r="H32017" s="676"/>
      <c r="I32017" s="676"/>
      <c r="J32017" s="770"/>
    </row>
    <row r="32018" spans="8:10" x14ac:dyDescent="0.35">
      <c r="H32018" s="676"/>
      <c r="I32018" s="676"/>
      <c r="J32018" s="770"/>
    </row>
    <row r="32019" spans="8:10" x14ac:dyDescent="0.35">
      <c r="H32019" s="676"/>
      <c r="I32019" s="676"/>
      <c r="J32019" s="770"/>
    </row>
    <row r="32020" spans="8:10" x14ac:dyDescent="0.35">
      <c r="H32020" s="676"/>
      <c r="I32020" s="676"/>
      <c r="J32020" s="770"/>
    </row>
    <row r="32021" spans="8:10" x14ac:dyDescent="0.35">
      <c r="H32021" s="676"/>
      <c r="I32021" s="676"/>
      <c r="J32021" s="770"/>
    </row>
    <row r="32022" spans="8:10" x14ac:dyDescent="0.35">
      <c r="H32022" s="676"/>
      <c r="I32022" s="676"/>
      <c r="J32022" s="770"/>
    </row>
    <row r="32023" spans="8:10" x14ac:dyDescent="0.35">
      <c r="H32023" s="676"/>
      <c r="I32023" s="676"/>
      <c r="J32023" s="770"/>
    </row>
    <row r="32024" spans="8:10" x14ac:dyDescent="0.35">
      <c r="H32024" s="676"/>
      <c r="I32024" s="676"/>
      <c r="J32024" s="770"/>
    </row>
    <row r="32025" spans="8:10" x14ac:dyDescent="0.35">
      <c r="H32025" s="676"/>
      <c r="I32025" s="676"/>
      <c r="J32025" s="770"/>
    </row>
    <row r="32026" spans="8:10" x14ac:dyDescent="0.35">
      <c r="H32026" s="676"/>
      <c r="I32026" s="676"/>
      <c r="J32026" s="770"/>
    </row>
    <row r="32027" spans="8:10" x14ac:dyDescent="0.35">
      <c r="H32027" s="676"/>
      <c r="I32027" s="676"/>
      <c r="J32027" s="770"/>
    </row>
    <row r="32028" spans="8:10" x14ac:dyDescent="0.35">
      <c r="H32028" s="676"/>
      <c r="I32028" s="676"/>
      <c r="J32028" s="770"/>
    </row>
    <row r="32029" spans="8:10" x14ac:dyDescent="0.35">
      <c r="H32029" s="676"/>
      <c r="I32029" s="676"/>
      <c r="J32029" s="770"/>
    </row>
    <row r="32030" spans="8:10" x14ac:dyDescent="0.35">
      <c r="H32030" s="676"/>
      <c r="I32030" s="676"/>
      <c r="J32030" s="770"/>
    </row>
    <row r="32031" spans="8:10" x14ac:dyDescent="0.35">
      <c r="H32031" s="676"/>
      <c r="I32031" s="676"/>
      <c r="J32031" s="770"/>
    </row>
    <row r="32032" spans="8:10" x14ac:dyDescent="0.35">
      <c r="H32032" s="676"/>
      <c r="I32032" s="676"/>
      <c r="J32032" s="770"/>
    </row>
    <row r="32033" spans="8:10" x14ac:dyDescent="0.35">
      <c r="H32033" s="676"/>
      <c r="I32033" s="676"/>
      <c r="J32033" s="770"/>
    </row>
    <row r="32034" spans="8:10" x14ac:dyDescent="0.35">
      <c r="H32034" s="676"/>
      <c r="I32034" s="676"/>
      <c r="J32034" s="770"/>
    </row>
    <row r="32035" spans="8:10" x14ac:dyDescent="0.35">
      <c r="H32035" s="676"/>
      <c r="I32035" s="676"/>
      <c r="J32035" s="770"/>
    </row>
    <row r="32036" spans="8:10" x14ac:dyDescent="0.35">
      <c r="H32036" s="676"/>
      <c r="I32036" s="676"/>
      <c r="J32036" s="770"/>
    </row>
    <row r="32037" spans="8:10" x14ac:dyDescent="0.35">
      <c r="H32037" s="676"/>
      <c r="I32037" s="676"/>
      <c r="J32037" s="770"/>
    </row>
    <row r="32038" spans="8:10" x14ac:dyDescent="0.35">
      <c r="H32038" s="676"/>
      <c r="I32038" s="676"/>
      <c r="J32038" s="770"/>
    </row>
    <row r="32039" spans="8:10" x14ac:dyDescent="0.35">
      <c r="H32039" s="676"/>
      <c r="I32039" s="676"/>
      <c r="J32039" s="770"/>
    </row>
    <row r="32040" spans="8:10" x14ac:dyDescent="0.35">
      <c r="H32040" s="676"/>
      <c r="I32040" s="676"/>
      <c r="J32040" s="770"/>
    </row>
    <row r="32041" spans="8:10" x14ac:dyDescent="0.35">
      <c r="H32041" s="676"/>
      <c r="I32041" s="676"/>
      <c r="J32041" s="770"/>
    </row>
    <row r="32042" spans="8:10" x14ac:dyDescent="0.35">
      <c r="H32042" s="676"/>
      <c r="I32042" s="676"/>
      <c r="J32042" s="770"/>
    </row>
    <row r="32043" spans="8:10" x14ac:dyDescent="0.35">
      <c r="H32043" s="676"/>
      <c r="I32043" s="676"/>
      <c r="J32043" s="770"/>
    </row>
    <row r="32044" spans="8:10" x14ac:dyDescent="0.35">
      <c r="H32044" s="676"/>
      <c r="I32044" s="676"/>
      <c r="J32044" s="770"/>
    </row>
    <row r="32045" spans="8:10" x14ac:dyDescent="0.35">
      <c r="H32045" s="676"/>
      <c r="I32045" s="676"/>
      <c r="J32045" s="770"/>
    </row>
    <row r="32046" spans="8:10" x14ac:dyDescent="0.35">
      <c r="H32046" s="676"/>
      <c r="I32046" s="676"/>
      <c r="J32046" s="770"/>
    </row>
    <row r="32047" spans="8:10" x14ac:dyDescent="0.35">
      <c r="H32047" s="676"/>
      <c r="I32047" s="676"/>
      <c r="J32047" s="770"/>
    </row>
    <row r="32048" spans="8:10" x14ac:dyDescent="0.35">
      <c r="H32048" s="676"/>
      <c r="I32048" s="676"/>
      <c r="J32048" s="770"/>
    </row>
    <row r="32049" spans="8:10" x14ac:dyDescent="0.35">
      <c r="H32049" s="676"/>
      <c r="I32049" s="676"/>
      <c r="J32049" s="770"/>
    </row>
    <row r="32050" spans="8:10" x14ac:dyDescent="0.35">
      <c r="H32050" s="676"/>
      <c r="I32050" s="676"/>
      <c r="J32050" s="770"/>
    </row>
    <row r="32051" spans="8:10" x14ac:dyDescent="0.35">
      <c r="H32051" s="676"/>
      <c r="I32051" s="676"/>
      <c r="J32051" s="770"/>
    </row>
    <row r="32052" spans="8:10" x14ac:dyDescent="0.35">
      <c r="H32052" s="676"/>
      <c r="I32052" s="676"/>
      <c r="J32052" s="770"/>
    </row>
    <row r="32053" spans="8:10" x14ac:dyDescent="0.35">
      <c r="H32053" s="676"/>
      <c r="I32053" s="676"/>
      <c r="J32053" s="770"/>
    </row>
    <row r="32054" spans="8:10" x14ac:dyDescent="0.35">
      <c r="H32054" s="676"/>
      <c r="I32054" s="676"/>
      <c r="J32054" s="770"/>
    </row>
    <row r="32055" spans="8:10" x14ac:dyDescent="0.35">
      <c r="H32055" s="676"/>
      <c r="I32055" s="676"/>
      <c r="J32055" s="770"/>
    </row>
    <row r="32056" spans="8:10" x14ac:dyDescent="0.35">
      <c r="H32056" s="676"/>
      <c r="I32056" s="676"/>
      <c r="J32056" s="770"/>
    </row>
    <row r="32057" spans="8:10" x14ac:dyDescent="0.35">
      <c r="H32057" s="676"/>
      <c r="I32057" s="676"/>
      <c r="J32057" s="770"/>
    </row>
    <row r="32058" spans="8:10" x14ac:dyDescent="0.35">
      <c r="H32058" s="676"/>
      <c r="I32058" s="676"/>
      <c r="J32058" s="770"/>
    </row>
    <row r="32059" spans="8:10" x14ac:dyDescent="0.35">
      <c r="H32059" s="676"/>
      <c r="I32059" s="676"/>
      <c r="J32059" s="770"/>
    </row>
    <row r="32060" spans="8:10" x14ac:dyDescent="0.35">
      <c r="H32060" s="676"/>
      <c r="I32060" s="676"/>
      <c r="J32060" s="770"/>
    </row>
    <row r="32061" spans="8:10" x14ac:dyDescent="0.35">
      <c r="H32061" s="676"/>
      <c r="I32061" s="676"/>
      <c r="J32061" s="770"/>
    </row>
    <row r="32062" spans="8:10" x14ac:dyDescent="0.35">
      <c r="H32062" s="676"/>
      <c r="I32062" s="676"/>
      <c r="J32062" s="770"/>
    </row>
    <row r="32063" spans="8:10" x14ac:dyDescent="0.35">
      <c r="H32063" s="676"/>
      <c r="I32063" s="676"/>
      <c r="J32063" s="770"/>
    </row>
    <row r="32064" spans="8:10" x14ac:dyDescent="0.35">
      <c r="H32064" s="676"/>
      <c r="I32064" s="676"/>
      <c r="J32064" s="770"/>
    </row>
    <row r="32065" spans="8:10" x14ac:dyDescent="0.35">
      <c r="H32065" s="676"/>
      <c r="I32065" s="676"/>
      <c r="J32065" s="770"/>
    </row>
    <row r="32066" spans="8:10" x14ac:dyDescent="0.35">
      <c r="H32066" s="676"/>
      <c r="I32066" s="676"/>
      <c r="J32066" s="770"/>
    </row>
    <row r="32067" spans="8:10" x14ac:dyDescent="0.35">
      <c r="H32067" s="676"/>
      <c r="I32067" s="676"/>
      <c r="J32067" s="770"/>
    </row>
    <row r="32068" spans="8:10" x14ac:dyDescent="0.35">
      <c r="H32068" s="676"/>
      <c r="I32068" s="676"/>
      <c r="J32068" s="770"/>
    </row>
    <row r="32069" spans="8:10" x14ac:dyDescent="0.35">
      <c r="H32069" s="676"/>
      <c r="I32069" s="676"/>
      <c r="J32069" s="770"/>
    </row>
    <row r="32070" spans="8:10" x14ac:dyDescent="0.35">
      <c r="H32070" s="676"/>
      <c r="I32070" s="676"/>
      <c r="J32070" s="770"/>
    </row>
    <row r="32071" spans="8:10" x14ac:dyDescent="0.35">
      <c r="H32071" s="676"/>
      <c r="I32071" s="676"/>
      <c r="J32071" s="770"/>
    </row>
    <row r="32072" spans="8:10" x14ac:dyDescent="0.35">
      <c r="H32072" s="676"/>
      <c r="I32072" s="676"/>
      <c r="J32072" s="770"/>
    </row>
    <row r="32073" spans="8:10" x14ac:dyDescent="0.35">
      <c r="H32073" s="676"/>
      <c r="I32073" s="676"/>
      <c r="J32073" s="770"/>
    </row>
    <row r="32074" spans="8:10" x14ac:dyDescent="0.35">
      <c r="H32074" s="676"/>
      <c r="I32074" s="676"/>
      <c r="J32074" s="770"/>
    </row>
    <row r="32075" spans="8:10" x14ac:dyDescent="0.35">
      <c r="H32075" s="676"/>
      <c r="I32075" s="676"/>
      <c r="J32075" s="770"/>
    </row>
    <row r="32076" spans="8:10" x14ac:dyDescent="0.35">
      <c r="H32076" s="676"/>
      <c r="I32076" s="676"/>
      <c r="J32076" s="770"/>
    </row>
    <row r="32077" spans="8:10" x14ac:dyDescent="0.35">
      <c r="H32077" s="676"/>
      <c r="I32077" s="676"/>
      <c r="J32077" s="770"/>
    </row>
    <row r="32078" spans="8:10" x14ac:dyDescent="0.35">
      <c r="H32078" s="676"/>
      <c r="I32078" s="676"/>
      <c r="J32078" s="770"/>
    </row>
    <row r="32079" spans="8:10" x14ac:dyDescent="0.35">
      <c r="H32079" s="676"/>
      <c r="I32079" s="676"/>
      <c r="J32079" s="770"/>
    </row>
    <row r="32080" spans="8:10" x14ac:dyDescent="0.35">
      <c r="H32080" s="676"/>
      <c r="I32080" s="676"/>
      <c r="J32080" s="770"/>
    </row>
    <row r="32081" spans="8:10" x14ac:dyDescent="0.35">
      <c r="H32081" s="676"/>
      <c r="I32081" s="676"/>
      <c r="J32081" s="770"/>
    </row>
    <row r="32082" spans="8:10" x14ac:dyDescent="0.35">
      <c r="H32082" s="676"/>
      <c r="I32082" s="676"/>
      <c r="J32082" s="770"/>
    </row>
    <row r="32083" spans="8:10" x14ac:dyDescent="0.35">
      <c r="H32083" s="676"/>
      <c r="I32083" s="676"/>
      <c r="J32083" s="770"/>
    </row>
    <row r="32084" spans="8:10" x14ac:dyDescent="0.35">
      <c r="H32084" s="676"/>
      <c r="I32084" s="676"/>
      <c r="J32084" s="770"/>
    </row>
    <row r="32085" spans="8:10" x14ac:dyDescent="0.35">
      <c r="H32085" s="676"/>
      <c r="I32085" s="676"/>
      <c r="J32085" s="770"/>
    </row>
    <row r="32086" spans="8:10" x14ac:dyDescent="0.35">
      <c r="H32086" s="676"/>
      <c r="I32086" s="676"/>
      <c r="J32086" s="770"/>
    </row>
    <row r="32087" spans="8:10" x14ac:dyDescent="0.35">
      <c r="H32087" s="676"/>
      <c r="I32087" s="676"/>
      <c r="J32087" s="770"/>
    </row>
    <row r="32088" spans="8:10" x14ac:dyDescent="0.35">
      <c r="H32088" s="676"/>
      <c r="I32088" s="676"/>
      <c r="J32088" s="770"/>
    </row>
    <row r="32089" spans="8:10" x14ac:dyDescent="0.35">
      <c r="H32089" s="676"/>
      <c r="I32089" s="676"/>
      <c r="J32089" s="770"/>
    </row>
    <row r="32090" spans="8:10" x14ac:dyDescent="0.35">
      <c r="H32090" s="676"/>
      <c r="I32090" s="676"/>
      <c r="J32090" s="770"/>
    </row>
    <row r="32091" spans="8:10" x14ac:dyDescent="0.35">
      <c r="H32091" s="676"/>
      <c r="I32091" s="676"/>
      <c r="J32091" s="770"/>
    </row>
    <row r="32092" spans="8:10" x14ac:dyDescent="0.35">
      <c r="H32092" s="676"/>
      <c r="I32092" s="676"/>
      <c r="J32092" s="770"/>
    </row>
    <row r="32093" spans="8:10" x14ac:dyDescent="0.35">
      <c r="H32093" s="676"/>
      <c r="I32093" s="676"/>
      <c r="J32093" s="770"/>
    </row>
    <row r="32094" spans="8:10" x14ac:dyDescent="0.35">
      <c r="H32094" s="676"/>
      <c r="I32094" s="676"/>
      <c r="J32094" s="770"/>
    </row>
    <row r="32095" spans="8:10" x14ac:dyDescent="0.35">
      <c r="H32095" s="676"/>
      <c r="I32095" s="676"/>
      <c r="J32095" s="770"/>
    </row>
    <row r="32096" spans="8:10" x14ac:dyDescent="0.35">
      <c r="H32096" s="676"/>
      <c r="I32096" s="676"/>
      <c r="J32096" s="770"/>
    </row>
    <row r="32097" spans="8:10" x14ac:dyDescent="0.35">
      <c r="H32097" s="676"/>
      <c r="I32097" s="676"/>
      <c r="J32097" s="770"/>
    </row>
    <row r="32098" spans="8:10" x14ac:dyDescent="0.35">
      <c r="H32098" s="676"/>
      <c r="I32098" s="676"/>
      <c r="J32098" s="770"/>
    </row>
    <row r="32099" spans="8:10" x14ac:dyDescent="0.35">
      <c r="H32099" s="676"/>
      <c r="I32099" s="676"/>
      <c r="J32099" s="770"/>
    </row>
    <row r="32100" spans="8:10" x14ac:dyDescent="0.35">
      <c r="H32100" s="676"/>
      <c r="I32100" s="676"/>
      <c r="J32100" s="770"/>
    </row>
    <row r="32101" spans="8:10" x14ac:dyDescent="0.35">
      <c r="H32101" s="676"/>
      <c r="I32101" s="676"/>
      <c r="J32101" s="770"/>
    </row>
    <row r="32102" spans="8:10" x14ac:dyDescent="0.35">
      <c r="H32102" s="676"/>
      <c r="I32102" s="676"/>
      <c r="J32102" s="770"/>
    </row>
    <row r="32103" spans="8:10" x14ac:dyDescent="0.35">
      <c r="H32103" s="676"/>
      <c r="I32103" s="676"/>
      <c r="J32103" s="770"/>
    </row>
    <row r="32104" spans="8:10" x14ac:dyDescent="0.35">
      <c r="H32104" s="676"/>
      <c r="I32104" s="676"/>
      <c r="J32104" s="770"/>
    </row>
    <row r="32105" spans="8:10" x14ac:dyDescent="0.35">
      <c r="H32105" s="676"/>
      <c r="I32105" s="676"/>
      <c r="J32105" s="770"/>
    </row>
    <row r="32106" spans="8:10" x14ac:dyDescent="0.35">
      <c r="H32106" s="676"/>
      <c r="I32106" s="676"/>
      <c r="J32106" s="770"/>
    </row>
    <row r="32107" spans="8:10" x14ac:dyDescent="0.35">
      <c r="H32107" s="676"/>
      <c r="I32107" s="676"/>
      <c r="J32107" s="770"/>
    </row>
    <row r="32108" spans="8:10" x14ac:dyDescent="0.35">
      <c r="H32108" s="676"/>
      <c r="I32108" s="676"/>
      <c r="J32108" s="770"/>
    </row>
    <row r="32109" spans="8:10" x14ac:dyDescent="0.35">
      <c r="H32109" s="676"/>
      <c r="I32109" s="676"/>
      <c r="J32109" s="770"/>
    </row>
    <row r="32110" spans="8:10" x14ac:dyDescent="0.35">
      <c r="H32110" s="676"/>
      <c r="I32110" s="676"/>
      <c r="J32110" s="770"/>
    </row>
    <row r="32111" spans="8:10" x14ac:dyDescent="0.35">
      <c r="H32111" s="676"/>
      <c r="I32111" s="676"/>
      <c r="J32111" s="770"/>
    </row>
    <row r="32112" spans="8:10" x14ac:dyDescent="0.35">
      <c r="H32112" s="676"/>
      <c r="I32112" s="676"/>
      <c r="J32112" s="770"/>
    </row>
    <row r="32113" spans="8:10" x14ac:dyDescent="0.35">
      <c r="H32113" s="676"/>
      <c r="I32113" s="676"/>
      <c r="J32113" s="770"/>
    </row>
    <row r="32114" spans="8:10" x14ac:dyDescent="0.35">
      <c r="H32114" s="676"/>
      <c r="I32114" s="676"/>
      <c r="J32114" s="770"/>
    </row>
    <row r="32115" spans="8:10" x14ac:dyDescent="0.35">
      <c r="H32115" s="676"/>
      <c r="I32115" s="676"/>
      <c r="J32115" s="770"/>
    </row>
    <row r="32116" spans="8:10" x14ac:dyDescent="0.35">
      <c r="H32116" s="676"/>
      <c r="I32116" s="676"/>
      <c r="J32116" s="770"/>
    </row>
    <row r="32117" spans="8:10" x14ac:dyDescent="0.35">
      <c r="H32117" s="676"/>
      <c r="I32117" s="676"/>
      <c r="J32117" s="770"/>
    </row>
    <row r="32118" spans="8:10" x14ac:dyDescent="0.35">
      <c r="H32118" s="676"/>
      <c r="I32118" s="676"/>
      <c r="J32118" s="770"/>
    </row>
    <row r="32119" spans="8:10" x14ac:dyDescent="0.35">
      <c r="H32119" s="676"/>
      <c r="I32119" s="676"/>
      <c r="J32119" s="770"/>
    </row>
    <row r="32120" spans="8:10" x14ac:dyDescent="0.35">
      <c r="H32120" s="676"/>
      <c r="I32120" s="676"/>
      <c r="J32120" s="770"/>
    </row>
    <row r="32121" spans="8:10" x14ac:dyDescent="0.35">
      <c r="H32121" s="676"/>
      <c r="I32121" s="676"/>
      <c r="J32121" s="770"/>
    </row>
    <row r="32122" spans="8:10" x14ac:dyDescent="0.35">
      <c r="H32122" s="676"/>
      <c r="I32122" s="676"/>
      <c r="J32122" s="770"/>
    </row>
    <row r="32123" spans="8:10" x14ac:dyDescent="0.35">
      <c r="H32123" s="676"/>
      <c r="I32123" s="676"/>
      <c r="J32123" s="770"/>
    </row>
    <row r="32124" spans="8:10" x14ac:dyDescent="0.35">
      <c r="H32124" s="676"/>
      <c r="I32124" s="676"/>
      <c r="J32124" s="770"/>
    </row>
    <row r="32125" spans="8:10" x14ac:dyDescent="0.35">
      <c r="H32125" s="676"/>
      <c r="I32125" s="676"/>
      <c r="J32125" s="770"/>
    </row>
    <row r="32126" spans="8:10" x14ac:dyDescent="0.35">
      <c r="H32126" s="676"/>
      <c r="I32126" s="676"/>
      <c r="J32126" s="770"/>
    </row>
    <row r="32127" spans="8:10" x14ac:dyDescent="0.35">
      <c r="H32127" s="676"/>
      <c r="I32127" s="676"/>
      <c r="J32127" s="770"/>
    </row>
    <row r="32128" spans="8:10" x14ac:dyDescent="0.35">
      <c r="H32128" s="676"/>
      <c r="I32128" s="676"/>
      <c r="J32128" s="770"/>
    </row>
    <row r="32129" spans="8:10" x14ac:dyDescent="0.35">
      <c r="H32129" s="676"/>
      <c r="I32129" s="676"/>
      <c r="J32129" s="770"/>
    </row>
    <row r="32130" spans="8:10" x14ac:dyDescent="0.35">
      <c r="H32130" s="676"/>
      <c r="I32130" s="676"/>
      <c r="J32130" s="770"/>
    </row>
    <row r="32131" spans="8:10" x14ac:dyDescent="0.35">
      <c r="H32131" s="676"/>
      <c r="I32131" s="676"/>
      <c r="J32131" s="770"/>
    </row>
    <row r="32132" spans="8:10" x14ac:dyDescent="0.35">
      <c r="H32132" s="676"/>
      <c r="I32132" s="676"/>
      <c r="J32132" s="770"/>
    </row>
    <row r="32133" spans="8:10" x14ac:dyDescent="0.35">
      <c r="H32133" s="676"/>
      <c r="I32133" s="676"/>
      <c r="J32133" s="770"/>
    </row>
    <row r="32134" spans="8:10" x14ac:dyDescent="0.35">
      <c r="H32134" s="676"/>
      <c r="I32134" s="676"/>
      <c r="J32134" s="770"/>
    </row>
    <row r="32135" spans="8:10" x14ac:dyDescent="0.35">
      <c r="H32135" s="676"/>
      <c r="I32135" s="676"/>
      <c r="J32135" s="770"/>
    </row>
    <row r="32136" spans="8:10" x14ac:dyDescent="0.35">
      <c r="H32136" s="676"/>
      <c r="I32136" s="676"/>
      <c r="J32136" s="770"/>
    </row>
    <row r="32137" spans="8:10" x14ac:dyDescent="0.35">
      <c r="H32137" s="676"/>
      <c r="I32137" s="676"/>
      <c r="J32137" s="770"/>
    </row>
    <row r="32138" spans="8:10" x14ac:dyDescent="0.35">
      <c r="H32138" s="676"/>
      <c r="I32138" s="676"/>
      <c r="J32138" s="770"/>
    </row>
    <row r="32139" spans="8:10" x14ac:dyDescent="0.35">
      <c r="H32139" s="676"/>
      <c r="I32139" s="676"/>
      <c r="J32139" s="770"/>
    </row>
    <row r="32140" spans="8:10" x14ac:dyDescent="0.35">
      <c r="H32140" s="676"/>
      <c r="I32140" s="676"/>
      <c r="J32140" s="770"/>
    </row>
    <row r="32141" spans="8:10" x14ac:dyDescent="0.35">
      <c r="H32141" s="676"/>
      <c r="I32141" s="676"/>
      <c r="J32141" s="770"/>
    </row>
    <row r="32142" spans="8:10" x14ac:dyDescent="0.35">
      <c r="H32142" s="676"/>
      <c r="I32142" s="676"/>
      <c r="J32142" s="770"/>
    </row>
    <row r="32143" spans="8:10" x14ac:dyDescent="0.35">
      <c r="H32143" s="676"/>
      <c r="I32143" s="676"/>
      <c r="J32143" s="770"/>
    </row>
    <row r="32144" spans="8:10" x14ac:dyDescent="0.35">
      <c r="H32144" s="676"/>
      <c r="I32144" s="676"/>
      <c r="J32144" s="770"/>
    </row>
    <row r="32145" spans="8:10" x14ac:dyDescent="0.35">
      <c r="H32145" s="676"/>
      <c r="I32145" s="676"/>
      <c r="J32145" s="770"/>
    </row>
    <row r="32146" spans="8:10" x14ac:dyDescent="0.35">
      <c r="H32146" s="676"/>
      <c r="I32146" s="676"/>
      <c r="J32146" s="770"/>
    </row>
    <row r="32147" spans="8:10" x14ac:dyDescent="0.35">
      <c r="H32147" s="676"/>
      <c r="I32147" s="676"/>
      <c r="J32147" s="770"/>
    </row>
    <row r="32148" spans="8:10" x14ac:dyDescent="0.35">
      <c r="H32148" s="676"/>
      <c r="I32148" s="676"/>
      <c r="J32148" s="770"/>
    </row>
    <row r="32149" spans="8:10" x14ac:dyDescent="0.35">
      <c r="H32149" s="676"/>
      <c r="I32149" s="676"/>
      <c r="J32149" s="770"/>
    </row>
    <row r="32150" spans="8:10" x14ac:dyDescent="0.35">
      <c r="H32150" s="676"/>
      <c r="I32150" s="676"/>
      <c r="J32150" s="770"/>
    </row>
    <row r="32151" spans="8:10" x14ac:dyDescent="0.35">
      <c r="H32151" s="676"/>
      <c r="I32151" s="676"/>
      <c r="J32151" s="770"/>
    </row>
    <row r="32152" spans="8:10" x14ac:dyDescent="0.35">
      <c r="H32152" s="676"/>
      <c r="I32152" s="676"/>
      <c r="J32152" s="770"/>
    </row>
    <row r="32153" spans="8:10" x14ac:dyDescent="0.35">
      <c r="H32153" s="676"/>
      <c r="I32153" s="676"/>
      <c r="J32153" s="770"/>
    </row>
    <row r="32154" spans="8:10" x14ac:dyDescent="0.35">
      <c r="H32154" s="676"/>
      <c r="I32154" s="676"/>
      <c r="J32154" s="770"/>
    </row>
    <row r="32155" spans="8:10" x14ac:dyDescent="0.35">
      <c r="H32155" s="676"/>
      <c r="I32155" s="676"/>
      <c r="J32155" s="770"/>
    </row>
    <row r="32156" spans="8:10" x14ac:dyDescent="0.35">
      <c r="H32156" s="676"/>
      <c r="I32156" s="676"/>
      <c r="J32156" s="770"/>
    </row>
    <row r="32157" spans="8:10" x14ac:dyDescent="0.35">
      <c r="H32157" s="676"/>
      <c r="I32157" s="676"/>
      <c r="J32157" s="770"/>
    </row>
    <row r="32158" spans="8:10" x14ac:dyDescent="0.35">
      <c r="H32158" s="676"/>
      <c r="I32158" s="676"/>
      <c r="J32158" s="770"/>
    </row>
    <row r="32159" spans="8:10" x14ac:dyDescent="0.35">
      <c r="H32159" s="676"/>
      <c r="I32159" s="676"/>
      <c r="J32159" s="770"/>
    </row>
    <row r="32160" spans="8:10" x14ac:dyDescent="0.35">
      <c r="H32160" s="676"/>
      <c r="I32160" s="676"/>
      <c r="J32160" s="770"/>
    </row>
    <row r="32161" spans="8:10" x14ac:dyDescent="0.35">
      <c r="H32161" s="676"/>
      <c r="I32161" s="676"/>
      <c r="J32161" s="770"/>
    </row>
    <row r="32162" spans="8:10" x14ac:dyDescent="0.35">
      <c r="H32162" s="676"/>
      <c r="I32162" s="676"/>
      <c r="J32162" s="770"/>
    </row>
    <row r="32163" spans="8:10" x14ac:dyDescent="0.35">
      <c r="H32163" s="676"/>
      <c r="I32163" s="676"/>
      <c r="J32163" s="770"/>
    </row>
    <row r="32164" spans="8:10" x14ac:dyDescent="0.35">
      <c r="H32164" s="676"/>
      <c r="I32164" s="676"/>
      <c r="J32164" s="770"/>
    </row>
    <row r="32165" spans="8:10" x14ac:dyDescent="0.35">
      <c r="H32165" s="676"/>
      <c r="I32165" s="676"/>
      <c r="J32165" s="770"/>
    </row>
    <row r="32166" spans="8:10" x14ac:dyDescent="0.35">
      <c r="H32166" s="676"/>
      <c r="I32166" s="676"/>
      <c r="J32166" s="770"/>
    </row>
    <row r="32167" spans="8:10" x14ac:dyDescent="0.35">
      <c r="H32167" s="676"/>
      <c r="I32167" s="676"/>
      <c r="J32167" s="770"/>
    </row>
    <row r="32168" spans="8:10" x14ac:dyDescent="0.35">
      <c r="H32168" s="676"/>
      <c r="I32168" s="676"/>
      <c r="J32168" s="770"/>
    </row>
    <row r="32169" spans="8:10" x14ac:dyDescent="0.35">
      <c r="H32169" s="676"/>
      <c r="I32169" s="676"/>
      <c r="J32169" s="770"/>
    </row>
    <row r="32170" spans="8:10" x14ac:dyDescent="0.35">
      <c r="H32170" s="676"/>
      <c r="I32170" s="676"/>
      <c r="J32170" s="770"/>
    </row>
    <row r="32171" spans="8:10" x14ac:dyDescent="0.35">
      <c r="H32171" s="676"/>
      <c r="I32171" s="676"/>
      <c r="J32171" s="770"/>
    </row>
    <row r="32172" spans="8:10" x14ac:dyDescent="0.35">
      <c r="H32172" s="676"/>
      <c r="I32172" s="676"/>
      <c r="J32172" s="770"/>
    </row>
    <row r="32173" spans="8:10" x14ac:dyDescent="0.35">
      <c r="H32173" s="676"/>
      <c r="I32173" s="676"/>
      <c r="J32173" s="770"/>
    </row>
    <row r="32174" spans="8:10" x14ac:dyDescent="0.35">
      <c r="H32174" s="676"/>
      <c r="I32174" s="676"/>
      <c r="J32174" s="770"/>
    </row>
    <row r="32175" spans="8:10" x14ac:dyDescent="0.35">
      <c r="H32175" s="676"/>
      <c r="I32175" s="676"/>
      <c r="J32175" s="770"/>
    </row>
    <row r="32176" spans="8:10" x14ac:dyDescent="0.35">
      <c r="H32176" s="676"/>
      <c r="I32176" s="676"/>
      <c r="J32176" s="770"/>
    </row>
    <row r="32177" spans="8:10" x14ac:dyDescent="0.35">
      <c r="H32177" s="676"/>
      <c r="I32177" s="676"/>
      <c r="J32177" s="770"/>
    </row>
    <row r="32178" spans="8:10" x14ac:dyDescent="0.35">
      <c r="H32178" s="676"/>
      <c r="I32178" s="676"/>
      <c r="J32178" s="770"/>
    </row>
    <row r="32179" spans="8:10" x14ac:dyDescent="0.35">
      <c r="H32179" s="676"/>
      <c r="I32179" s="676"/>
      <c r="J32179" s="770"/>
    </row>
    <row r="32180" spans="8:10" x14ac:dyDescent="0.35">
      <c r="H32180" s="676"/>
      <c r="I32180" s="676"/>
      <c r="J32180" s="770"/>
    </row>
    <row r="32181" spans="8:10" x14ac:dyDescent="0.35">
      <c r="H32181" s="676"/>
      <c r="I32181" s="676"/>
      <c r="J32181" s="770"/>
    </row>
    <row r="32182" spans="8:10" x14ac:dyDescent="0.35">
      <c r="H32182" s="676"/>
      <c r="I32182" s="676"/>
      <c r="J32182" s="770"/>
    </row>
    <row r="32183" spans="8:10" x14ac:dyDescent="0.35">
      <c r="H32183" s="676"/>
      <c r="I32183" s="676"/>
      <c r="J32183" s="770"/>
    </row>
    <row r="32184" spans="8:10" x14ac:dyDescent="0.35">
      <c r="H32184" s="676"/>
      <c r="I32184" s="676"/>
      <c r="J32184" s="770"/>
    </row>
    <row r="32185" spans="8:10" x14ac:dyDescent="0.35">
      <c r="H32185" s="676"/>
      <c r="I32185" s="676"/>
      <c r="J32185" s="770"/>
    </row>
    <row r="32186" spans="8:10" x14ac:dyDescent="0.35">
      <c r="H32186" s="676"/>
      <c r="I32186" s="676"/>
      <c r="J32186" s="770"/>
    </row>
    <row r="32187" spans="8:10" x14ac:dyDescent="0.35">
      <c r="H32187" s="676"/>
      <c r="I32187" s="676"/>
      <c r="J32187" s="770"/>
    </row>
    <row r="32188" spans="8:10" x14ac:dyDescent="0.35">
      <c r="H32188" s="676"/>
      <c r="I32188" s="676"/>
      <c r="J32188" s="770"/>
    </row>
    <row r="32189" spans="8:10" x14ac:dyDescent="0.35">
      <c r="H32189" s="676"/>
      <c r="I32189" s="676"/>
      <c r="J32189" s="770"/>
    </row>
    <row r="32190" spans="8:10" x14ac:dyDescent="0.35">
      <c r="H32190" s="676"/>
      <c r="I32190" s="676"/>
      <c r="J32190" s="770"/>
    </row>
    <row r="32191" spans="8:10" x14ac:dyDescent="0.35">
      <c r="H32191" s="676"/>
      <c r="I32191" s="676"/>
      <c r="J32191" s="770"/>
    </row>
    <row r="32192" spans="8:10" x14ac:dyDescent="0.35">
      <c r="H32192" s="676"/>
      <c r="I32192" s="676"/>
      <c r="J32192" s="770"/>
    </row>
    <row r="32193" spans="8:10" x14ac:dyDescent="0.35">
      <c r="H32193" s="676"/>
      <c r="I32193" s="676"/>
      <c r="J32193" s="770"/>
    </row>
    <row r="32194" spans="8:10" x14ac:dyDescent="0.35">
      <c r="H32194" s="676"/>
      <c r="I32194" s="676"/>
      <c r="J32194" s="770"/>
    </row>
    <row r="32195" spans="8:10" x14ac:dyDescent="0.35">
      <c r="H32195" s="676"/>
      <c r="I32195" s="676"/>
      <c r="J32195" s="770"/>
    </row>
    <row r="32196" spans="8:10" x14ac:dyDescent="0.35">
      <c r="H32196" s="676"/>
      <c r="I32196" s="676"/>
      <c r="J32196" s="770"/>
    </row>
    <row r="32197" spans="8:10" x14ac:dyDescent="0.35">
      <c r="H32197" s="676"/>
      <c r="I32197" s="676"/>
      <c r="J32197" s="770"/>
    </row>
    <row r="32198" spans="8:10" x14ac:dyDescent="0.35">
      <c r="H32198" s="676"/>
      <c r="I32198" s="676"/>
      <c r="J32198" s="770"/>
    </row>
    <row r="32199" spans="8:10" x14ac:dyDescent="0.35">
      <c r="H32199" s="676"/>
      <c r="I32199" s="676"/>
      <c r="J32199" s="770"/>
    </row>
    <row r="32200" spans="8:10" x14ac:dyDescent="0.35">
      <c r="H32200" s="676"/>
      <c r="I32200" s="676"/>
      <c r="J32200" s="770"/>
    </row>
    <row r="32201" spans="8:10" x14ac:dyDescent="0.35">
      <c r="H32201" s="676"/>
      <c r="I32201" s="676"/>
      <c r="J32201" s="770"/>
    </row>
    <row r="32202" spans="8:10" x14ac:dyDescent="0.35">
      <c r="H32202" s="676"/>
      <c r="I32202" s="676"/>
      <c r="J32202" s="770"/>
    </row>
    <row r="32203" spans="8:10" x14ac:dyDescent="0.35">
      <c r="H32203" s="676"/>
      <c r="I32203" s="676"/>
      <c r="J32203" s="770"/>
    </row>
    <row r="32204" spans="8:10" x14ac:dyDescent="0.35">
      <c r="H32204" s="676"/>
      <c r="I32204" s="676"/>
      <c r="J32204" s="770"/>
    </row>
    <row r="32205" spans="8:10" x14ac:dyDescent="0.35">
      <c r="H32205" s="676"/>
      <c r="I32205" s="676"/>
      <c r="J32205" s="770"/>
    </row>
    <row r="32206" spans="8:10" x14ac:dyDescent="0.35">
      <c r="H32206" s="676"/>
      <c r="I32206" s="676"/>
      <c r="J32206" s="770"/>
    </row>
    <row r="32207" spans="8:10" x14ac:dyDescent="0.35">
      <c r="H32207" s="676"/>
      <c r="I32207" s="676"/>
      <c r="J32207" s="770"/>
    </row>
    <row r="32208" spans="8:10" x14ac:dyDescent="0.35">
      <c r="H32208" s="676"/>
      <c r="I32208" s="676"/>
      <c r="J32208" s="770"/>
    </row>
    <row r="32209" spans="8:10" x14ac:dyDescent="0.35">
      <c r="H32209" s="676"/>
      <c r="I32209" s="676"/>
      <c r="J32209" s="770"/>
    </row>
    <row r="32210" spans="8:10" x14ac:dyDescent="0.35">
      <c r="H32210" s="676"/>
      <c r="I32210" s="676"/>
      <c r="J32210" s="770"/>
    </row>
    <row r="32211" spans="8:10" x14ac:dyDescent="0.35">
      <c r="H32211" s="676"/>
      <c r="I32211" s="676"/>
      <c r="J32211" s="770"/>
    </row>
    <row r="32212" spans="8:10" x14ac:dyDescent="0.35">
      <c r="H32212" s="676"/>
      <c r="I32212" s="676"/>
      <c r="J32212" s="770"/>
    </row>
    <row r="32213" spans="8:10" x14ac:dyDescent="0.35">
      <c r="H32213" s="676"/>
      <c r="I32213" s="676"/>
      <c r="J32213" s="770"/>
    </row>
    <row r="32214" spans="8:10" x14ac:dyDescent="0.35">
      <c r="H32214" s="676"/>
      <c r="I32214" s="676"/>
      <c r="J32214" s="770"/>
    </row>
    <row r="32215" spans="8:10" x14ac:dyDescent="0.35">
      <c r="H32215" s="676"/>
      <c r="I32215" s="676"/>
      <c r="J32215" s="770"/>
    </row>
    <row r="32216" spans="8:10" x14ac:dyDescent="0.35">
      <c r="H32216" s="676"/>
      <c r="I32216" s="676"/>
      <c r="J32216" s="770"/>
    </row>
    <row r="32217" spans="8:10" x14ac:dyDescent="0.35">
      <c r="H32217" s="676"/>
      <c r="I32217" s="676"/>
      <c r="J32217" s="770"/>
    </row>
    <row r="32218" spans="8:10" x14ac:dyDescent="0.35">
      <c r="H32218" s="676"/>
      <c r="I32218" s="676"/>
      <c r="J32218" s="770"/>
    </row>
    <row r="32219" spans="8:10" x14ac:dyDescent="0.35">
      <c r="H32219" s="676"/>
      <c r="I32219" s="676"/>
      <c r="J32219" s="770"/>
    </row>
    <row r="32220" spans="8:10" x14ac:dyDescent="0.35">
      <c r="H32220" s="676"/>
      <c r="I32220" s="676"/>
      <c r="J32220" s="770"/>
    </row>
    <row r="32221" spans="8:10" x14ac:dyDescent="0.35">
      <c r="H32221" s="676"/>
      <c r="I32221" s="676"/>
      <c r="J32221" s="770"/>
    </row>
    <row r="32222" spans="8:10" x14ac:dyDescent="0.35">
      <c r="H32222" s="676"/>
      <c r="I32222" s="676"/>
      <c r="J32222" s="770"/>
    </row>
    <row r="32223" spans="8:10" x14ac:dyDescent="0.35">
      <c r="H32223" s="676"/>
      <c r="I32223" s="676"/>
      <c r="J32223" s="770"/>
    </row>
    <row r="32224" spans="8:10" x14ac:dyDescent="0.35">
      <c r="H32224" s="676"/>
      <c r="I32224" s="676"/>
      <c r="J32224" s="770"/>
    </row>
    <row r="32225" spans="8:10" x14ac:dyDescent="0.35">
      <c r="H32225" s="676"/>
      <c r="I32225" s="676"/>
      <c r="J32225" s="770"/>
    </row>
    <row r="32226" spans="8:10" x14ac:dyDescent="0.35">
      <c r="H32226" s="676"/>
      <c r="I32226" s="676"/>
      <c r="J32226" s="770"/>
    </row>
    <row r="32227" spans="8:10" x14ac:dyDescent="0.35">
      <c r="H32227" s="676"/>
      <c r="I32227" s="676"/>
      <c r="J32227" s="770"/>
    </row>
    <row r="32228" spans="8:10" x14ac:dyDescent="0.35">
      <c r="H32228" s="676"/>
      <c r="I32228" s="676"/>
      <c r="J32228" s="770"/>
    </row>
    <row r="32229" spans="8:10" x14ac:dyDescent="0.35">
      <c r="H32229" s="676"/>
      <c r="I32229" s="676"/>
      <c r="J32229" s="770"/>
    </row>
    <row r="32230" spans="8:10" x14ac:dyDescent="0.35">
      <c r="H32230" s="676"/>
      <c r="I32230" s="676"/>
      <c r="J32230" s="770"/>
    </row>
    <row r="32231" spans="8:10" x14ac:dyDescent="0.35">
      <c r="H32231" s="676"/>
      <c r="I32231" s="676"/>
      <c r="J32231" s="770"/>
    </row>
    <row r="32232" spans="8:10" x14ac:dyDescent="0.35">
      <c r="H32232" s="676"/>
      <c r="I32232" s="676"/>
      <c r="J32232" s="770"/>
    </row>
    <row r="32233" spans="8:10" x14ac:dyDescent="0.35">
      <c r="H32233" s="676"/>
      <c r="I32233" s="676"/>
      <c r="J32233" s="770"/>
    </row>
    <row r="32234" spans="8:10" x14ac:dyDescent="0.35">
      <c r="H32234" s="676"/>
      <c r="I32234" s="676"/>
      <c r="J32234" s="770"/>
    </row>
    <row r="32235" spans="8:10" x14ac:dyDescent="0.35">
      <c r="H32235" s="676"/>
      <c r="I32235" s="676"/>
      <c r="J32235" s="770"/>
    </row>
    <row r="32236" spans="8:10" x14ac:dyDescent="0.35">
      <c r="H32236" s="676"/>
      <c r="I32236" s="676"/>
      <c r="J32236" s="770"/>
    </row>
    <row r="32237" spans="8:10" x14ac:dyDescent="0.35">
      <c r="H32237" s="676"/>
      <c r="I32237" s="676"/>
      <c r="J32237" s="770"/>
    </row>
    <row r="32238" spans="8:10" x14ac:dyDescent="0.35">
      <c r="H32238" s="676"/>
      <c r="I32238" s="676"/>
      <c r="J32238" s="770"/>
    </row>
    <row r="32239" spans="8:10" x14ac:dyDescent="0.35">
      <c r="H32239" s="676"/>
      <c r="I32239" s="676"/>
      <c r="J32239" s="770"/>
    </row>
    <row r="32240" spans="8:10" x14ac:dyDescent="0.35">
      <c r="H32240" s="676"/>
      <c r="I32240" s="676"/>
      <c r="J32240" s="770"/>
    </row>
    <row r="32241" spans="8:10" x14ac:dyDescent="0.35">
      <c r="H32241" s="676"/>
      <c r="I32241" s="676"/>
      <c r="J32241" s="770"/>
    </row>
    <row r="32242" spans="8:10" x14ac:dyDescent="0.35">
      <c r="H32242" s="676"/>
      <c r="I32242" s="676"/>
      <c r="J32242" s="770"/>
    </row>
    <row r="32243" spans="8:10" x14ac:dyDescent="0.35">
      <c r="H32243" s="676"/>
      <c r="I32243" s="676"/>
      <c r="J32243" s="770"/>
    </row>
    <row r="32244" spans="8:10" x14ac:dyDescent="0.35">
      <c r="H32244" s="676"/>
      <c r="I32244" s="676"/>
      <c r="J32244" s="770"/>
    </row>
    <row r="32245" spans="8:10" x14ac:dyDescent="0.35">
      <c r="H32245" s="676"/>
      <c r="I32245" s="676"/>
      <c r="J32245" s="770"/>
    </row>
    <row r="32246" spans="8:10" x14ac:dyDescent="0.35">
      <c r="H32246" s="676"/>
      <c r="I32246" s="676"/>
      <c r="J32246" s="770"/>
    </row>
    <row r="32247" spans="8:10" x14ac:dyDescent="0.35">
      <c r="H32247" s="676"/>
      <c r="I32247" s="676"/>
      <c r="J32247" s="770"/>
    </row>
    <row r="32248" spans="8:10" x14ac:dyDescent="0.35">
      <c r="H32248" s="676"/>
      <c r="I32248" s="676"/>
      <c r="J32248" s="770"/>
    </row>
    <row r="32249" spans="8:10" x14ac:dyDescent="0.35">
      <c r="H32249" s="676"/>
      <c r="I32249" s="676"/>
      <c r="J32249" s="770"/>
    </row>
    <row r="32250" spans="8:10" x14ac:dyDescent="0.35">
      <c r="H32250" s="676"/>
      <c r="I32250" s="676"/>
      <c r="J32250" s="770"/>
    </row>
    <row r="32251" spans="8:10" x14ac:dyDescent="0.35">
      <c r="H32251" s="676"/>
      <c r="I32251" s="676"/>
      <c r="J32251" s="770"/>
    </row>
    <row r="32252" spans="8:10" x14ac:dyDescent="0.35">
      <c r="H32252" s="676"/>
      <c r="I32252" s="676"/>
      <c r="J32252" s="770"/>
    </row>
    <row r="32253" spans="8:10" x14ac:dyDescent="0.35">
      <c r="H32253" s="676"/>
      <c r="I32253" s="676"/>
      <c r="J32253" s="770"/>
    </row>
    <row r="32254" spans="8:10" x14ac:dyDescent="0.35">
      <c r="H32254" s="676"/>
      <c r="I32254" s="676"/>
      <c r="J32254" s="770"/>
    </row>
    <row r="32255" spans="8:10" x14ac:dyDescent="0.35">
      <c r="H32255" s="676"/>
      <c r="I32255" s="676"/>
      <c r="J32255" s="770"/>
    </row>
    <row r="32256" spans="8:10" x14ac:dyDescent="0.35">
      <c r="H32256" s="676"/>
      <c r="I32256" s="676"/>
      <c r="J32256" s="770"/>
    </row>
    <row r="32257" spans="8:10" x14ac:dyDescent="0.35">
      <c r="H32257" s="676"/>
      <c r="I32257" s="676"/>
      <c r="J32257" s="770"/>
    </row>
    <row r="32258" spans="8:10" x14ac:dyDescent="0.35">
      <c r="H32258" s="676"/>
      <c r="I32258" s="676"/>
      <c r="J32258" s="770"/>
    </row>
    <row r="32259" spans="8:10" x14ac:dyDescent="0.35">
      <c r="H32259" s="676"/>
      <c r="I32259" s="676"/>
      <c r="J32259" s="770"/>
    </row>
    <row r="32260" spans="8:10" x14ac:dyDescent="0.35">
      <c r="H32260" s="676"/>
      <c r="I32260" s="676"/>
      <c r="J32260" s="770"/>
    </row>
    <row r="32261" spans="8:10" x14ac:dyDescent="0.35">
      <c r="H32261" s="676"/>
      <c r="I32261" s="676"/>
      <c r="J32261" s="770"/>
    </row>
    <row r="32262" spans="8:10" x14ac:dyDescent="0.35">
      <c r="H32262" s="676"/>
      <c r="I32262" s="676"/>
      <c r="J32262" s="770"/>
    </row>
    <row r="32263" spans="8:10" x14ac:dyDescent="0.35">
      <c r="H32263" s="676"/>
      <c r="I32263" s="676"/>
      <c r="J32263" s="770"/>
    </row>
    <row r="32264" spans="8:10" x14ac:dyDescent="0.35">
      <c r="H32264" s="676"/>
      <c r="I32264" s="676"/>
      <c r="J32264" s="770"/>
    </row>
    <row r="32265" spans="8:10" x14ac:dyDescent="0.35">
      <c r="H32265" s="676"/>
      <c r="I32265" s="676"/>
      <c r="J32265" s="770"/>
    </row>
    <row r="32266" spans="8:10" x14ac:dyDescent="0.35">
      <c r="H32266" s="676"/>
      <c r="I32266" s="676"/>
      <c r="J32266" s="770"/>
    </row>
    <row r="32267" spans="8:10" x14ac:dyDescent="0.35">
      <c r="H32267" s="676"/>
      <c r="I32267" s="676"/>
      <c r="J32267" s="770"/>
    </row>
    <row r="32268" spans="8:10" x14ac:dyDescent="0.35">
      <c r="H32268" s="676"/>
      <c r="I32268" s="676"/>
      <c r="J32268" s="770"/>
    </row>
    <row r="32269" spans="8:10" x14ac:dyDescent="0.35">
      <c r="H32269" s="676"/>
      <c r="I32269" s="676"/>
      <c r="J32269" s="770"/>
    </row>
    <row r="32270" spans="8:10" x14ac:dyDescent="0.35">
      <c r="H32270" s="676"/>
      <c r="I32270" s="676"/>
      <c r="J32270" s="770"/>
    </row>
    <row r="32271" spans="8:10" x14ac:dyDescent="0.35">
      <c r="H32271" s="676"/>
      <c r="I32271" s="676"/>
      <c r="J32271" s="770"/>
    </row>
    <row r="32272" spans="8:10" x14ac:dyDescent="0.35">
      <c r="H32272" s="676"/>
      <c r="I32272" s="676"/>
      <c r="J32272" s="770"/>
    </row>
    <row r="32273" spans="8:10" x14ac:dyDescent="0.35">
      <c r="H32273" s="676"/>
      <c r="I32273" s="676"/>
      <c r="J32273" s="770"/>
    </row>
    <row r="32274" spans="8:10" x14ac:dyDescent="0.35">
      <c r="H32274" s="676"/>
      <c r="I32274" s="676"/>
      <c r="J32274" s="770"/>
    </row>
    <row r="32275" spans="8:10" x14ac:dyDescent="0.35">
      <c r="H32275" s="676"/>
      <c r="I32275" s="676"/>
      <c r="J32275" s="770"/>
    </row>
    <row r="32276" spans="8:10" x14ac:dyDescent="0.35">
      <c r="H32276" s="676"/>
      <c r="I32276" s="676"/>
      <c r="J32276" s="770"/>
    </row>
    <row r="32277" spans="8:10" x14ac:dyDescent="0.35">
      <c r="H32277" s="676"/>
      <c r="I32277" s="676"/>
      <c r="J32277" s="770"/>
    </row>
    <row r="32278" spans="8:10" x14ac:dyDescent="0.35">
      <c r="H32278" s="676"/>
      <c r="I32278" s="676"/>
      <c r="J32278" s="770"/>
    </row>
    <row r="32279" spans="8:10" x14ac:dyDescent="0.35">
      <c r="H32279" s="676"/>
      <c r="I32279" s="676"/>
      <c r="J32279" s="770"/>
    </row>
    <row r="32280" spans="8:10" x14ac:dyDescent="0.35">
      <c r="H32280" s="676"/>
      <c r="I32280" s="676"/>
      <c r="J32280" s="770"/>
    </row>
    <row r="32281" spans="8:10" x14ac:dyDescent="0.35">
      <c r="H32281" s="676"/>
      <c r="I32281" s="676"/>
      <c r="J32281" s="770"/>
    </row>
    <row r="32282" spans="8:10" x14ac:dyDescent="0.35">
      <c r="H32282" s="676"/>
      <c r="I32282" s="676"/>
      <c r="J32282" s="770"/>
    </row>
    <row r="32283" spans="8:10" x14ac:dyDescent="0.35">
      <c r="H32283" s="676"/>
      <c r="I32283" s="676"/>
      <c r="J32283" s="770"/>
    </row>
    <row r="32284" spans="8:10" x14ac:dyDescent="0.35">
      <c r="H32284" s="676"/>
      <c r="I32284" s="676"/>
      <c r="J32284" s="770"/>
    </row>
    <row r="32285" spans="8:10" x14ac:dyDescent="0.35">
      <c r="H32285" s="676"/>
      <c r="I32285" s="676"/>
      <c r="J32285" s="770"/>
    </row>
    <row r="32286" spans="8:10" x14ac:dyDescent="0.35">
      <c r="H32286" s="676"/>
      <c r="I32286" s="676"/>
      <c r="J32286" s="770"/>
    </row>
    <row r="32287" spans="8:10" x14ac:dyDescent="0.35">
      <c r="H32287" s="676"/>
      <c r="I32287" s="676"/>
      <c r="J32287" s="770"/>
    </row>
    <row r="32288" spans="8:10" x14ac:dyDescent="0.35">
      <c r="H32288" s="676"/>
      <c r="I32288" s="676"/>
      <c r="J32288" s="770"/>
    </row>
    <row r="32289" spans="8:10" x14ac:dyDescent="0.35">
      <c r="H32289" s="676"/>
      <c r="I32289" s="676"/>
      <c r="J32289" s="770"/>
    </row>
    <row r="32290" spans="8:10" x14ac:dyDescent="0.35">
      <c r="H32290" s="676"/>
      <c r="I32290" s="676"/>
      <c r="J32290" s="770"/>
    </row>
    <row r="32291" spans="8:10" x14ac:dyDescent="0.35">
      <c r="H32291" s="676"/>
      <c r="I32291" s="676"/>
      <c r="J32291" s="770"/>
    </row>
    <row r="32292" spans="8:10" x14ac:dyDescent="0.35">
      <c r="H32292" s="676"/>
      <c r="I32292" s="676"/>
      <c r="J32292" s="770"/>
    </row>
    <row r="32293" spans="8:10" x14ac:dyDescent="0.35">
      <c r="H32293" s="676"/>
      <c r="I32293" s="676"/>
      <c r="J32293" s="770"/>
    </row>
    <row r="32294" spans="8:10" x14ac:dyDescent="0.35">
      <c r="H32294" s="676"/>
      <c r="I32294" s="676"/>
      <c r="J32294" s="770"/>
    </row>
    <row r="32295" spans="8:10" x14ac:dyDescent="0.35">
      <c r="H32295" s="676"/>
      <c r="I32295" s="676"/>
      <c r="J32295" s="770"/>
    </row>
    <row r="32296" spans="8:10" x14ac:dyDescent="0.35">
      <c r="H32296" s="676"/>
      <c r="I32296" s="676"/>
      <c r="J32296" s="770"/>
    </row>
    <row r="32297" spans="8:10" x14ac:dyDescent="0.35">
      <c r="H32297" s="676"/>
      <c r="I32297" s="676"/>
      <c r="J32297" s="770"/>
    </row>
    <row r="32298" spans="8:10" x14ac:dyDescent="0.35">
      <c r="H32298" s="676"/>
      <c r="I32298" s="676"/>
      <c r="J32298" s="770"/>
    </row>
    <row r="32299" spans="8:10" x14ac:dyDescent="0.35">
      <c r="H32299" s="676"/>
      <c r="I32299" s="676"/>
      <c r="J32299" s="770"/>
    </row>
    <row r="32300" spans="8:10" x14ac:dyDescent="0.35">
      <c r="H32300" s="676"/>
      <c r="I32300" s="676"/>
      <c r="J32300" s="770"/>
    </row>
    <row r="32301" spans="8:10" x14ac:dyDescent="0.35">
      <c r="H32301" s="676"/>
      <c r="I32301" s="676"/>
      <c r="J32301" s="770"/>
    </row>
    <row r="32302" spans="8:10" x14ac:dyDescent="0.35">
      <c r="H32302" s="676"/>
      <c r="I32302" s="676"/>
      <c r="J32302" s="770"/>
    </row>
    <row r="32303" spans="8:10" x14ac:dyDescent="0.35">
      <c r="H32303" s="676"/>
      <c r="I32303" s="676"/>
      <c r="J32303" s="770"/>
    </row>
    <row r="32304" spans="8:10" x14ac:dyDescent="0.35">
      <c r="H32304" s="676"/>
      <c r="I32304" s="676"/>
      <c r="J32304" s="770"/>
    </row>
    <row r="32305" spans="8:10" x14ac:dyDescent="0.35">
      <c r="H32305" s="676"/>
      <c r="I32305" s="676"/>
      <c r="J32305" s="770"/>
    </row>
    <row r="32306" spans="8:10" x14ac:dyDescent="0.35">
      <c r="H32306" s="676"/>
      <c r="I32306" s="676"/>
      <c r="J32306" s="770"/>
    </row>
    <row r="32307" spans="8:10" x14ac:dyDescent="0.35">
      <c r="H32307" s="676"/>
      <c r="I32307" s="676"/>
      <c r="J32307" s="770"/>
    </row>
    <row r="32308" spans="8:10" x14ac:dyDescent="0.35">
      <c r="H32308" s="676"/>
      <c r="I32308" s="676"/>
      <c r="J32308" s="770"/>
    </row>
    <row r="32309" spans="8:10" x14ac:dyDescent="0.35">
      <c r="H32309" s="676"/>
      <c r="I32309" s="676"/>
      <c r="J32309" s="770"/>
    </row>
    <row r="32310" spans="8:10" x14ac:dyDescent="0.35">
      <c r="H32310" s="676"/>
      <c r="I32310" s="676"/>
      <c r="J32310" s="770"/>
    </row>
    <row r="32311" spans="8:10" x14ac:dyDescent="0.35">
      <c r="H32311" s="676"/>
      <c r="I32311" s="676"/>
      <c r="J32311" s="770"/>
    </row>
    <row r="32312" spans="8:10" x14ac:dyDescent="0.35">
      <c r="H32312" s="676"/>
      <c r="I32312" s="676"/>
      <c r="J32312" s="770"/>
    </row>
    <row r="32313" spans="8:10" x14ac:dyDescent="0.35">
      <c r="H32313" s="676"/>
      <c r="I32313" s="676"/>
      <c r="J32313" s="770"/>
    </row>
    <row r="32314" spans="8:10" x14ac:dyDescent="0.35">
      <c r="H32314" s="676"/>
      <c r="I32314" s="676"/>
      <c r="J32314" s="770"/>
    </row>
    <row r="32315" spans="8:10" x14ac:dyDescent="0.35">
      <c r="H32315" s="676"/>
      <c r="I32315" s="676"/>
      <c r="J32315" s="770"/>
    </row>
    <row r="32316" spans="8:10" x14ac:dyDescent="0.35">
      <c r="H32316" s="676"/>
      <c r="I32316" s="676"/>
      <c r="J32316" s="770"/>
    </row>
    <row r="32317" spans="8:10" x14ac:dyDescent="0.35">
      <c r="H32317" s="676"/>
      <c r="I32317" s="676"/>
      <c r="J32317" s="770"/>
    </row>
    <row r="32318" spans="8:10" x14ac:dyDescent="0.35">
      <c r="H32318" s="676"/>
      <c r="I32318" s="676"/>
      <c r="J32318" s="770"/>
    </row>
    <row r="32319" spans="8:10" x14ac:dyDescent="0.35">
      <c r="H32319" s="676"/>
      <c r="I32319" s="676"/>
      <c r="J32319" s="770"/>
    </row>
    <row r="32320" spans="8:10" x14ac:dyDescent="0.35">
      <c r="H32320" s="676"/>
      <c r="I32320" s="676"/>
      <c r="J32320" s="770"/>
    </row>
    <row r="32321" spans="8:10" x14ac:dyDescent="0.35">
      <c r="H32321" s="676"/>
      <c r="I32321" s="676"/>
      <c r="J32321" s="770"/>
    </row>
    <row r="32322" spans="8:10" x14ac:dyDescent="0.35">
      <c r="H32322" s="676"/>
      <c r="I32322" s="676"/>
      <c r="J32322" s="770"/>
    </row>
    <row r="32323" spans="8:10" x14ac:dyDescent="0.35">
      <c r="H32323" s="676"/>
      <c r="I32323" s="676"/>
      <c r="J32323" s="770"/>
    </row>
    <row r="32324" spans="8:10" x14ac:dyDescent="0.35">
      <c r="H32324" s="676"/>
      <c r="I32324" s="676"/>
      <c r="J32324" s="770"/>
    </row>
    <row r="32325" spans="8:10" x14ac:dyDescent="0.35">
      <c r="H32325" s="676"/>
      <c r="I32325" s="676"/>
      <c r="J32325" s="770"/>
    </row>
    <row r="32326" spans="8:10" x14ac:dyDescent="0.35">
      <c r="H32326" s="676"/>
      <c r="I32326" s="676"/>
      <c r="J32326" s="770"/>
    </row>
    <row r="32327" spans="8:10" x14ac:dyDescent="0.35">
      <c r="H32327" s="676"/>
      <c r="I32327" s="676"/>
      <c r="J32327" s="770"/>
    </row>
    <row r="32328" spans="8:10" x14ac:dyDescent="0.35">
      <c r="H32328" s="676"/>
      <c r="I32328" s="676"/>
      <c r="J32328" s="770"/>
    </row>
    <row r="32329" spans="8:10" x14ac:dyDescent="0.35">
      <c r="H32329" s="676"/>
      <c r="I32329" s="676"/>
      <c r="J32329" s="770"/>
    </row>
    <row r="32330" spans="8:10" x14ac:dyDescent="0.35">
      <c r="H32330" s="676"/>
      <c r="I32330" s="676"/>
      <c r="J32330" s="770"/>
    </row>
    <row r="32331" spans="8:10" x14ac:dyDescent="0.35">
      <c r="H32331" s="676"/>
      <c r="I32331" s="676"/>
      <c r="J32331" s="770"/>
    </row>
    <row r="32332" spans="8:10" x14ac:dyDescent="0.35">
      <c r="H32332" s="676"/>
      <c r="I32332" s="676"/>
      <c r="J32332" s="770"/>
    </row>
    <row r="32333" spans="8:10" x14ac:dyDescent="0.35">
      <c r="H32333" s="676"/>
      <c r="I32333" s="676"/>
      <c r="J32333" s="770"/>
    </row>
    <row r="32334" spans="8:10" x14ac:dyDescent="0.35">
      <c r="H32334" s="676"/>
      <c r="I32334" s="676"/>
      <c r="J32334" s="770"/>
    </row>
    <row r="32335" spans="8:10" x14ac:dyDescent="0.35">
      <c r="H32335" s="676"/>
      <c r="I32335" s="676"/>
      <c r="J32335" s="770"/>
    </row>
    <row r="32336" spans="8:10" x14ac:dyDescent="0.35">
      <c r="H32336" s="676"/>
      <c r="I32336" s="676"/>
      <c r="J32336" s="770"/>
    </row>
    <row r="32337" spans="8:10" x14ac:dyDescent="0.35">
      <c r="H32337" s="676"/>
      <c r="I32337" s="676"/>
      <c r="J32337" s="770"/>
    </row>
    <row r="32338" spans="8:10" x14ac:dyDescent="0.35">
      <c r="H32338" s="676"/>
      <c r="I32338" s="676"/>
      <c r="J32338" s="770"/>
    </row>
    <row r="32339" spans="8:10" x14ac:dyDescent="0.35">
      <c r="H32339" s="676"/>
      <c r="I32339" s="676"/>
      <c r="J32339" s="770"/>
    </row>
    <row r="32340" spans="8:10" x14ac:dyDescent="0.35">
      <c r="H32340" s="676"/>
      <c r="I32340" s="676"/>
      <c r="J32340" s="770"/>
    </row>
    <row r="32341" spans="8:10" x14ac:dyDescent="0.35">
      <c r="H32341" s="676"/>
      <c r="I32341" s="676"/>
      <c r="J32341" s="770"/>
    </row>
    <row r="32342" spans="8:10" x14ac:dyDescent="0.35">
      <c r="H32342" s="676"/>
      <c r="I32342" s="676"/>
      <c r="J32342" s="770"/>
    </row>
    <row r="32343" spans="8:10" x14ac:dyDescent="0.35">
      <c r="H32343" s="676"/>
      <c r="I32343" s="676"/>
      <c r="J32343" s="770"/>
    </row>
    <row r="32344" spans="8:10" x14ac:dyDescent="0.35">
      <c r="H32344" s="676"/>
      <c r="I32344" s="676"/>
      <c r="J32344" s="770"/>
    </row>
    <row r="32345" spans="8:10" x14ac:dyDescent="0.35">
      <c r="H32345" s="676"/>
      <c r="I32345" s="676"/>
      <c r="J32345" s="770"/>
    </row>
    <row r="32346" spans="8:10" x14ac:dyDescent="0.35">
      <c r="H32346" s="676"/>
      <c r="I32346" s="676"/>
      <c r="J32346" s="770"/>
    </row>
    <row r="32347" spans="8:10" x14ac:dyDescent="0.35">
      <c r="H32347" s="676"/>
      <c r="I32347" s="676"/>
      <c r="J32347" s="770"/>
    </row>
    <row r="32348" spans="8:10" x14ac:dyDescent="0.35">
      <c r="H32348" s="676"/>
      <c r="I32348" s="676"/>
      <c r="J32348" s="770"/>
    </row>
    <row r="32349" spans="8:10" x14ac:dyDescent="0.35">
      <c r="H32349" s="676"/>
      <c r="I32349" s="676"/>
      <c r="J32349" s="770"/>
    </row>
    <row r="32350" spans="8:10" x14ac:dyDescent="0.35">
      <c r="H32350" s="676"/>
      <c r="I32350" s="676"/>
      <c r="J32350" s="770"/>
    </row>
    <row r="32351" spans="8:10" x14ac:dyDescent="0.35">
      <c r="H32351" s="676"/>
      <c r="I32351" s="676"/>
      <c r="J32351" s="770"/>
    </row>
    <row r="32352" spans="8:10" x14ac:dyDescent="0.35">
      <c r="H32352" s="676"/>
      <c r="I32352" s="676"/>
      <c r="J32352" s="770"/>
    </row>
    <row r="32353" spans="8:10" x14ac:dyDescent="0.35">
      <c r="H32353" s="676"/>
      <c r="I32353" s="676"/>
      <c r="J32353" s="770"/>
    </row>
    <row r="32354" spans="8:10" x14ac:dyDescent="0.35">
      <c r="H32354" s="676"/>
      <c r="I32354" s="676"/>
      <c r="J32354" s="770"/>
    </row>
    <row r="32355" spans="8:10" x14ac:dyDescent="0.35">
      <c r="H32355" s="676"/>
      <c r="I32355" s="676"/>
      <c r="J32355" s="770"/>
    </row>
    <row r="32356" spans="8:10" x14ac:dyDescent="0.35">
      <c r="H32356" s="676"/>
      <c r="I32356" s="676"/>
      <c r="J32356" s="770"/>
    </row>
    <row r="32357" spans="8:10" x14ac:dyDescent="0.35">
      <c r="H32357" s="676"/>
      <c r="I32357" s="676"/>
      <c r="J32357" s="770"/>
    </row>
    <row r="32358" spans="8:10" x14ac:dyDescent="0.35">
      <c r="H32358" s="676"/>
      <c r="I32358" s="676"/>
      <c r="J32358" s="770"/>
    </row>
    <row r="32359" spans="8:10" x14ac:dyDescent="0.35">
      <c r="H32359" s="676"/>
      <c r="I32359" s="676"/>
      <c r="J32359" s="770"/>
    </row>
    <row r="32360" spans="8:10" x14ac:dyDescent="0.35">
      <c r="H32360" s="676"/>
      <c r="I32360" s="676"/>
      <c r="J32360" s="770"/>
    </row>
    <row r="32361" spans="8:10" x14ac:dyDescent="0.35">
      <c r="H32361" s="676"/>
      <c r="I32361" s="676"/>
      <c r="J32361" s="770"/>
    </row>
    <row r="32362" spans="8:10" x14ac:dyDescent="0.35">
      <c r="H32362" s="676"/>
      <c r="I32362" s="676"/>
      <c r="J32362" s="770"/>
    </row>
    <row r="32363" spans="8:10" x14ac:dyDescent="0.35">
      <c r="H32363" s="676"/>
      <c r="I32363" s="676"/>
      <c r="J32363" s="770"/>
    </row>
    <row r="32364" spans="8:10" x14ac:dyDescent="0.35">
      <c r="H32364" s="676"/>
      <c r="I32364" s="676"/>
      <c r="J32364" s="770"/>
    </row>
    <row r="32365" spans="8:10" x14ac:dyDescent="0.35">
      <c r="H32365" s="676"/>
      <c r="I32365" s="676"/>
      <c r="J32365" s="770"/>
    </row>
    <row r="32366" spans="8:10" x14ac:dyDescent="0.35">
      <c r="H32366" s="676"/>
      <c r="I32366" s="676"/>
      <c r="J32366" s="770"/>
    </row>
    <row r="32367" spans="8:10" x14ac:dyDescent="0.35">
      <c r="H32367" s="676"/>
      <c r="I32367" s="676"/>
      <c r="J32367" s="770"/>
    </row>
    <row r="32368" spans="8:10" x14ac:dyDescent="0.35">
      <c r="H32368" s="676"/>
      <c r="I32368" s="676"/>
      <c r="J32368" s="770"/>
    </row>
    <row r="32369" spans="8:10" x14ac:dyDescent="0.35">
      <c r="H32369" s="676"/>
      <c r="I32369" s="676"/>
      <c r="J32369" s="770"/>
    </row>
    <row r="32370" spans="8:10" x14ac:dyDescent="0.35">
      <c r="H32370" s="676"/>
      <c r="I32370" s="676"/>
      <c r="J32370" s="770"/>
    </row>
    <row r="32371" spans="8:10" x14ac:dyDescent="0.35">
      <c r="H32371" s="676"/>
      <c r="I32371" s="676"/>
      <c r="J32371" s="770"/>
    </row>
    <row r="32372" spans="8:10" x14ac:dyDescent="0.35">
      <c r="H32372" s="676"/>
      <c r="I32372" s="676"/>
      <c r="J32372" s="770"/>
    </row>
    <row r="32373" spans="8:10" x14ac:dyDescent="0.35">
      <c r="H32373" s="676"/>
      <c r="I32373" s="676"/>
      <c r="J32373" s="770"/>
    </row>
    <row r="32374" spans="8:10" x14ac:dyDescent="0.35">
      <c r="H32374" s="676"/>
      <c r="I32374" s="676"/>
      <c r="J32374" s="770"/>
    </row>
    <row r="32375" spans="8:10" x14ac:dyDescent="0.35">
      <c r="H32375" s="676"/>
      <c r="I32375" s="676"/>
      <c r="J32375" s="770"/>
    </row>
    <row r="32376" spans="8:10" x14ac:dyDescent="0.35">
      <c r="H32376" s="676"/>
      <c r="I32376" s="676"/>
      <c r="J32376" s="770"/>
    </row>
    <row r="32377" spans="8:10" x14ac:dyDescent="0.35">
      <c r="H32377" s="676"/>
      <c r="I32377" s="676"/>
      <c r="J32377" s="770"/>
    </row>
    <row r="32378" spans="8:10" x14ac:dyDescent="0.35">
      <c r="H32378" s="676"/>
      <c r="I32378" s="676"/>
      <c r="J32378" s="770"/>
    </row>
    <row r="32379" spans="8:10" x14ac:dyDescent="0.35">
      <c r="H32379" s="676"/>
      <c r="I32379" s="676"/>
      <c r="J32379" s="770"/>
    </row>
    <row r="32380" spans="8:10" x14ac:dyDescent="0.35">
      <c r="H32380" s="676"/>
      <c r="I32380" s="676"/>
      <c r="J32380" s="770"/>
    </row>
    <row r="32381" spans="8:10" x14ac:dyDescent="0.35">
      <c r="H32381" s="676"/>
      <c r="I32381" s="676"/>
      <c r="J32381" s="770"/>
    </row>
    <row r="32382" spans="8:10" x14ac:dyDescent="0.35">
      <c r="H32382" s="676"/>
      <c r="I32382" s="676"/>
      <c r="J32382" s="770"/>
    </row>
    <row r="32383" spans="8:10" x14ac:dyDescent="0.35">
      <c r="H32383" s="676"/>
      <c r="I32383" s="676"/>
      <c r="J32383" s="770"/>
    </row>
    <row r="32384" spans="8:10" x14ac:dyDescent="0.35">
      <c r="H32384" s="676"/>
      <c r="I32384" s="676"/>
      <c r="J32384" s="770"/>
    </row>
    <row r="32385" spans="8:10" x14ac:dyDescent="0.35">
      <c r="H32385" s="676"/>
      <c r="I32385" s="676"/>
      <c r="J32385" s="770"/>
    </row>
    <row r="32386" spans="8:10" x14ac:dyDescent="0.35">
      <c r="H32386" s="676"/>
      <c r="I32386" s="676"/>
      <c r="J32386" s="770"/>
    </row>
    <row r="32387" spans="8:10" x14ac:dyDescent="0.35">
      <c r="H32387" s="676"/>
      <c r="I32387" s="676"/>
      <c r="J32387" s="770"/>
    </row>
    <row r="32388" spans="8:10" x14ac:dyDescent="0.35">
      <c r="H32388" s="676"/>
      <c r="I32388" s="676"/>
      <c r="J32388" s="770"/>
    </row>
    <row r="32389" spans="8:10" x14ac:dyDescent="0.35">
      <c r="H32389" s="676"/>
      <c r="I32389" s="676"/>
      <c r="J32389" s="770"/>
    </row>
    <row r="32390" spans="8:10" x14ac:dyDescent="0.35">
      <c r="H32390" s="676"/>
      <c r="I32390" s="676"/>
      <c r="J32390" s="770"/>
    </row>
    <row r="32391" spans="8:10" x14ac:dyDescent="0.35">
      <c r="H32391" s="676"/>
      <c r="I32391" s="676"/>
      <c r="J32391" s="770"/>
    </row>
    <row r="32392" spans="8:10" x14ac:dyDescent="0.35">
      <c r="H32392" s="676"/>
      <c r="I32392" s="676"/>
      <c r="J32392" s="770"/>
    </row>
    <row r="32393" spans="8:10" x14ac:dyDescent="0.35">
      <c r="H32393" s="676"/>
      <c r="I32393" s="676"/>
      <c r="J32393" s="770"/>
    </row>
    <row r="32394" spans="8:10" x14ac:dyDescent="0.35">
      <c r="H32394" s="676"/>
      <c r="I32394" s="676"/>
      <c r="J32394" s="770"/>
    </row>
    <row r="32395" spans="8:10" x14ac:dyDescent="0.35">
      <c r="H32395" s="676"/>
      <c r="I32395" s="676"/>
      <c r="J32395" s="770"/>
    </row>
    <row r="32396" spans="8:10" x14ac:dyDescent="0.35">
      <c r="H32396" s="676"/>
      <c r="I32396" s="676"/>
      <c r="J32396" s="770"/>
    </row>
    <row r="32397" spans="8:10" x14ac:dyDescent="0.35">
      <c r="H32397" s="676"/>
      <c r="I32397" s="676"/>
      <c r="J32397" s="770"/>
    </row>
    <row r="32398" spans="8:10" x14ac:dyDescent="0.35">
      <c r="H32398" s="676"/>
      <c r="I32398" s="676"/>
      <c r="J32398" s="770"/>
    </row>
    <row r="32399" spans="8:10" x14ac:dyDescent="0.35">
      <c r="H32399" s="676"/>
      <c r="I32399" s="676"/>
      <c r="J32399" s="770"/>
    </row>
    <row r="32400" spans="8:10" x14ac:dyDescent="0.35">
      <c r="H32400" s="676"/>
      <c r="I32400" s="676"/>
      <c r="J32400" s="770"/>
    </row>
    <row r="32401" spans="8:10" x14ac:dyDescent="0.35">
      <c r="H32401" s="676"/>
      <c r="I32401" s="676"/>
      <c r="J32401" s="770"/>
    </row>
    <row r="32402" spans="8:10" x14ac:dyDescent="0.35">
      <c r="H32402" s="676"/>
      <c r="I32402" s="676"/>
      <c r="J32402" s="770"/>
    </row>
    <row r="32403" spans="8:10" x14ac:dyDescent="0.35">
      <c r="H32403" s="676"/>
      <c r="I32403" s="676"/>
      <c r="J32403" s="770"/>
    </row>
    <row r="32404" spans="8:10" x14ac:dyDescent="0.35">
      <c r="H32404" s="676"/>
      <c r="I32404" s="676"/>
      <c r="J32404" s="770"/>
    </row>
    <row r="32405" spans="8:10" x14ac:dyDescent="0.35">
      <c r="H32405" s="676"/>
      <c r="I32405" s="676"/>
      <c r="J32405" s="770"/>
    </row>
    <row r="32406" spans="8:10" x14ac:dyDescent="0.35">
      <c r="H32406" s="676"/>
      <c r="I32406" s="676"/>
      <c r="J32406" s="770"/>
    </row>
    <row r="32407" spans="8:10" x14ac:dyDescent="0.35">
      <c r="H32407" s="676"/>
      <c r="I32407" s="676"/>
      <c r="J32407" s="770"/>
    </row>
    <row r="32408" spans="8:10" x14ac:dyDescent="0.35">
      <c r="H32408" s="676"/>
      <c r="I32408" s="676"/>
      <c r="J32408" s="770"/>
    </row>
    <row r="32409" spans="8:10" x14ac:dyDescent="0.35">
      <c r="H32409" s="676"/>
      <c r="I32409" s="676"/>
      <c r="J32409" s="770"/>
    </row>
    <row r="32410" spans="8:10" x14ac:dyDescent="0.35">
      <c r="H32410" s="676"/>
      <c r="I32410" s="676"/>
      <c r="J32410" s="770"/>
    </row>
    <row r="32411" spans="8:10" x14ac:dyDescent="0.35">
      <c r="H32411" s="676"/>
      <c r="I32411" s="676"/>
      <c r="J32411" s="770"/>
    </row>
    <row r="32412" spans="8:10" x14ac:dyDescent="0.35">
      <c r="H32412" s="676"/>
      <c r="I32412" s="676"/>
      <c r="J32412" s="770"/>
    </row>
    <row r="32413" spans="8:10" x14ac:dyDescent="0.35">
      <c r="H32413" s="676"/>
      <c r="I32413" s="676"/>
      <c r="J32413" s="770"/>
    </row>
    <row r="32414" spans="8:10" x14ac:dyDescent="0.35">
      <c r="H32414" s="676"/>
      <c r="I32414" s="676"/>
      <c r="J32414" s="770"/>
    </row>
    <row r="32415" spans="8:10" x14ac:dyDescent="0.35">
      <c r="H32415" s="676"/>
      <c r="I32415" s="676"/>
      <c r="J32415" s="770"/>
    </row>
    <row r="32416" spans="8:10" x14ac:dyDescent="0.35">
      <c r="H32416" s="676"/>
      <c r="I32416" s="676"/>
      <c r="J32416" s="770"/>
    </row>
    <row r="32417" spans="8:10" x14ac:dyDescent="0.35">
      <c r="H32417" s="676"/>
      <c r="I32417" s="676"/>
      <c r="J32417" s="770"/>
    </row>
    <row r="32418" spans="8:10" x14ac:dyDescent="0.35">
      <c r="H32418" s="676"/>
      <c r="I32418" s="676"/>
      <c r="J32418" s="770"/>
    </row>
    <row r="32419" spans="8:10" x14ac:dyDescent="0.35">
      <c r="H32419" s="676"/>
      <c r="I32419" s="676"/>
      <c r="J32419" s="770"/>
    </row>
    <row r="32420" spans="8:10" x14ac:dyDescent="0.35">
      <c r="H32420" s="676"/>
      <c r="I32420" s="676"/>
      <c r="J32420" s="770"/>
    </row>
    <row r="32421" spans="8:10" x14ac:dyDescent="0.35">
      <c r="H32421" s="676"/>
      <c r="I32421" s="676"/>
      <c r="J32421" s="770"/>
    </row>
    <row r="32422" spans="8:10" x14ac:dyDescent="0.35">
      <c r="H32422" s="676"/>
      <c r="I32422" s="676"/>
      <c r="J32422" s="770"/>
    </row>
    <row r="32423" spans="8:10" x14ac:dyDescent="0.35">
      <c r="H32423" s="676"/>
      <c r="I32423" s="676"/>
      <c r="J32423" s="770"/>
    </row>
    <row r="32424" spans="8:10" x14ac:dyDescent="0.35">
      <c r="H32424" s="676"/>
      <c r="I32424" s="676"/>
      <c r="J32424" s="770"/>
    </row>
    <row r="32425" spans="8:10" x14ac:dyDescent="0.35">
      <c r="H32425" s="676"/>
      <c r="I32425" s="676"/>
      <c r="J32425" s="770"/>
    </row>
    <row r="32426" spans="8:10" x14ac:dyDescent="0.35">
      <c r="H32426" s="676"/>
      <c r="I32426" s="676"/>
      <c r="J32426" s="770"/>
    </row>
    <row r="32427" spans="8:10" x14ac:dyDescent="0.35">
      <c r="H32427" s="676"/>
      <c r="I32427" s="676"/>
      <c r="J32427" s="770"/>
    </row>
    <row r="32428" spans="8:10" x14ac:dyDescent="0.35">
      <c r="H32428" s="676"/>
      <c r="I32428" s="676"/>
      <c r="J32428" s="770"/>
    </row>
    <row r="32429" spans="8:10" x14ac:dyDescent="0.35">
      <c r="H32429" s="676"/>
      <c r="I32429" s="676"/>
      <c r="J32429" s="770"/>
    </row>
    <row r="32430" spans="8:10" x14ac:dyDescent="0.35">
      <c r="H32430" s="676"/>
      <c r="I32430" s="676"/>
      <c r="J32430" s="770"/>
    </row>
    <row r="32431" spans="8:10" x14ac:dyDescent="0.35">
      <c r="H32431" s="676"/>
      <c r="I32431" s="676"/>
      <c r="J32431" s="770"/>
    </row>
    <row r="32432" spans="8:10" x14ac:dyDescent="0.35">
      <c r="H32432" s="676"/>
      <c r="I32432" s="676"/>
      <c r="J32432" s="770"/>
    </row>
    <row r="32433" spans="8:10" x14ac:dyDescent="0.35">
      <c r="H32433" s="676"/>
      <c r="I32433" s="676"/>
      <c r="J32433" s="770"/>
    </row>
    <row r="32434" spans="8:10" x14ac:dyDescent="0.35">
      <c r="H32434" s="676"/>
      <c r="I32434" s="676"/>
      <c r="J32434" s="770"/>
    </row>
    <row r="32435" spans="8:10" x14ac:dyDescent="0.35">
      <c r="H32435" s="676"/>
      <c r="I32435" s="676"/>
      <c r="J32435" s="770"/>
    </row>
    <row r="32436" spans="8:10" x14ac:dyDescent="0.35">
      <c r="H32436" s="676"/>
      <c r="I32436" s="676"/>
      <c r="J32436" s="770"/>
    </row>
    <row r="32437" spans="8:10" x14ac:dyDescent="0.35">
      <c r="H32437" s="676"/>
      <c r="I32437" s="676"/>
      <c r="J32437" s="770"/>
    </row>
    <row r="32438" spans="8:10" x14ac:dyDescent="0.35">
      <c r="H32438" s="676"/>
      <c r="I32438" s="676"/>
      <c r="J32438" s="770"/>
    </row>
    <row r="32439" spans="8:10" x14ac:dyDescent="0.35">
      <c r="H32439" s="676"/>
      <c r="I32439" s="676"/>
      <c r="J32439" s="770"/>
    </row>
    <row r="32440" spans="8:10" x14ac:dyDescent="0.35">
      <c r="H32440" s="676"/>
      <c r="I32440" s="676"/>
      <c r="J32440" s="770"/>
    </row>
    <row r="32441" spans="8:10" x14ac:dyDescent="0.35">
      <c r="H32441" s="676"/>
      <c r="I32441" s="676"/>
      <c r="J32441" s="770"/>
    </row>
    <row r="32442" spans="8:10" x14ac:dyDescent="0.35">
      <c r="H32442" s="676"/>
      <c r="I32442" s="676"/>
      <c r="J32442" s="770"/>
    </row>
    <row r="32443" spans="8:10" x14ac:dyDescent="0.35">
      <c r="H32443" s="676"/>
      <c r="I32443" s="676"/>
      <c r="J32443" s="770"/>
    </row>
    <row r="32444" spans="8:10" x14ac:dyDescent="0.35">
      <c r="H32444" s="676"/>
      <c r="I32444" s="676"/>
      <c r="J32444" s="770"/>
    </row>
    <row r="32445" spans="8:10" x14ac:dyDescent="0.35">
      <c r="H32445" s="676"/>
      <c r="I32445" s="676"/>
      <c r="J32445" s="770"/>
    </row>
    <row r="32446" spans="8:10" x14ac:dyDescent="0.35">
      <c r="H32446" s="676"/>
      <c r="I32446" s="676"/>
      <c r="J32446" s="770"/>
    </row>
    <row r="32447" spans="8:10" x14ac:dyDescent="0.35">
      <c r="H32447" s="676"/>
      <c r="I32447" s="676"/>
      <c r="J32447" s="770"/>
    </row>
    <row r="32448" spans="8:10" x14ac:dyDescent="0.35">
      <c r="H32448" s="676"/>
      <c r="I32448" s="676"/>
      <c r="J32448" s="770"/>
    </row>
    <row r="32449" spans="8:10" x14ac:dyDescent="0.35">
      <c r="H32449" s="676"/>
      <c r="I32449" s="676"/>
      <c r="J32449" s="770"/>
    </row>
    <row r="32450" spans="8:10" x14ac:dyDescent="0.35">
      <c r="H32450" s="676"/>
      <c r="I32450" s="676"/>
      <c r="J32450" s="770"/>
    </row>
    <row r="32451" spans="8:10" x14ac:dyDescent="0.35">
      <c r="H32451" s="676"/>
      <c r="I32451" s="676"/>
      <c r="J32451" s="770"/>
    </row>
    <row r="32452" spans="8:10" x14ac:dyDescent="0.35">
      <c r="H32452" s="676"/>
      <c r="I32452" s="676"/>
      <c r="J32452" s="770"/>
    </row>
    <row r="32453" spans="8:10" x14ac:dyDescent="0.35">
      <c r="H32453" s="676"/>
      <c r="I32453" s="676"/>
      <c r="J32453" s="770"/>
    </row>
    <row r="32454" spans="8:10" x14ac:dyDescent="0.35">
      <c r="H32454" s="676"/>
      <c r="I32454" s="676"/>
      <c r="J32454" s="770"/>
    </row>
    <row r="32455" spans="8:10" x14ac:dyDescent="0.35">
      <c r="H32455" s="676"/>
      <c r="I32455" s="676"/>
      <c r="J32455" s="770"/>
    </row>
    <row r="32456" spans="8:10" x14ac:dyDescent="0.35">
      <c r="H32456" s="676"/>
      <c r="I32456" s="676"/>
      <c r="J32456" s="770"/>
    </row>
    <row r="32457" spans="8:10" x14ac:dyDescent="0.35">
      <c r="H32457" s="676"/>
      <c r="I32457" s="676"/>
      <c r="J32457" s="770"/>
    </row>
    <row r="32458" spans="8:10" x14ac:dyDescent="0.35">
      <c r="H32458" s="676"/>
      <c r="I32458" s="676"/>
      <c r="J32458" s="770"/>
    </row>
    <row r="32459" spans="8:10" x14ac:dyDescent="0.35">
      <c r="H32459" s="676"/>
      <c r="I32459" s="676"/>
      <c r="J32459" s="770"/>
    </row>
    <row r="32460" spans="8:10" x14ac:dyDescent="0.35">
      <c r="H32460" s="676"/>
      <c r="I32460" s="676"/>
      <c r="J32460" s="770"/>
    </row>
    <row r="32461" spans="8:10" x14ac:dyDescent="0.35">
      <c r="H32461" s="676"/>
      <c r="I32461" s="676"/>
      <c r="J32461" s="770"/>
    </row>
    <row r="32462" spans="8:10" x14ac:dyDescent="0.35">
      <c r="H32462" s="676"/>
      <c r="I32462" s="676"/>
      <c r="J32462" s="770"/>
    </row>
    <row r="32463" spans="8:10" x14ac:dyDescent="0.35">
      <c r="H32463" s="676"/>
      <c r="I32463" s="676"/>
      <c r="J32463" s="770"/>
    </row>
    <row r="32464" spans="8:10" x14ac:dyDescent="0.35">
      <c r="H32464" s="676"/>
      <c r="I32464" s="676"/>
      <c r="J32464" s="770"/>
    </row>
    <row r="32465" spans="8:10" x14ac:dyDescent="0.35">
      <c r="H32465" s="676"/>
      <c r="I32465" s="676"/>
      <c r="J32465" s="770"/>
    </row>
    <row r="32466" spans="8:10" x14ac:dyDescent="0.35">
      <c r="H32466" s="676"/>
      <c r="I32466" s="676"/>
      <c r="J32466" s="770"/>
    </row>
    <row r="32467" spans="8:10" x14ac:dyDescent="0.35">
      <c r="H32467" s="676"/>
      <c r="I32467" s="676"/>
      <c r="J32467" s="770"/>
    </row>
    <row r="32468" spans="8:10" x14ac:dyDescent="0.35">
      <c r="H32468" s="676"/>
      <c r="I32468" s="676"/>
      <c r="J32468" s="770"/>
    </row>
    <row r="32469" spans="8:10" x14ac:dyDescent="0.35">
      <c r="H32469" s="676"/>
      <c r="I32469" s="676"/>
      <c r="J32469" s="770"/>
    </row>
    <row r="32470" spans="8:10" x14ac:dyDescent="0.35">
      <c r="H32470" s="676"/>
      <c r="I32470" s="676"/>
      <c r="J32470" s="770"/>
    </row>
    <row r="32471" spans="8:10" x14ac:dyDescent="0.35">
      <c r="H32471" s="676"/>
      <c r="I32471" s="676"/>
      <c r="J32471" s="770"/>
    </row>
    <row r="32472" spans="8:10" x14ac:dyDescent="0.35">
      <c r="H32472" s="676"/>
      <c r="I32472" s="676"/>
      <c r="J32472" s="770"/>
    </row>
    <row r="32473" spans="8:10" x14ac:dyDescent="0.35">
      <c r="H32473" s="676"/>
      <c r="I32473" s="676"/>
      <c r="J32473" s="770"/>
    </row>
    <row r="32474" spans="8:10" x14ac:dyDescent="0.35">
      <c r="H32474" s="676"/>
      <c r="I32474" s="676"/>
      <c r="J32474" s="770"/>
    </row>
    <row r="32475" spans="8:10" x14ac:dyDescent="0.35">
      <c r="H32475" s="676"/>
      <c r="I32475" s="676"/>
      <c r="J32475" s="770"/>
    </row>
    <row r="32476" spans="8:10" x14ac:dyDescent="0.35">
      <c r="H32476" s="676"/>
      <c r="I32476" s="676"/>
      <c r="J32476" s="770"/>
    </row>
    <row r="32477" spans="8:10" x14ac:dyDescent="0.35">
      <c r="H32477" s="676"/>
      <c r="I32477" s="676"/>
      <c r="J32477" s="770"/>
    </row>
    <row r="32478" spans="8:10" x14ac:dyDescent="0.35">
      <c r="H32478" s="676"/>
      <c r="I32478" s="676"/>
      <c r="J32478" s="770"/>
    </row>
    <row r="32479" spans="8:10" x14ac:dyDescent="0.35">
      <c r="H32479" s="676"/>
      <c r="I32479" s="676"/>
      <c r="J32479" s="770"/>
    </row>
    <row r="32480" spans="8:10" x14ac:dyDescent="0.35">
      <c r="H32480" s="676"/>
      <c r="I32480" s="676"/>
      <c r="J32480" s="770"/>
    </row>
    <row r="32481" spans="8:10" x14ac:dyDescent="0.35">
      <c r="H32481" s="676"/>
      <c r="I32481" s="676"/>
      <c r="J32481" s="770"/>
    </row>
    <row r="32482" spans="8:10" x14ac:dyDescent="0.35">
      <c r="H32482" s="676"/>
      <c r="I32482" s="676"/>
      <c r="J32482" s="770"/>
    </row>
    <row r="32483" spans="8:10" x14ac:dyDescent="0.35">
      <c r="H32483" s="676"/>
      <c r="I32483" s="676"/>
      <c r="J32483" s="770"/>
    </row>
    <row r="32484" spans="8:10" x14ac:dyDescent="0.35">
      <c r="H32484" s="676"/>
      <c r="I32484" s="676"/>
      <c r="J32484" s="770"/>
    </row>
    <row r="32485" spans="8:10" x14ac:dyDescent="0.35">
      <c r="H32485" s="676"/>
      <c r="I32485" s="676"/>
      <c r="J32485" s="770"/>
    </row>
    <row r="32486" spans="8:10" x14ac:dyDescent="0.35">
      <c r="H32486" s="676"/>
      <c r="I32486" s="676"/>
      <c r="J32486" s="770"/>
    </row>
    <row r="32487" spans="8:10" x14ac:dyDescent="0.35">
      <c r="H32487" s="676"/>
      <c r="I32487" s="676"/>
      <c r="J32487" s="770"/>
    </row>
    <row r="32488" spans="8:10" x14ac:dyDescent="0.35">
      <c r="H32488" s="676"/>
      <c r="I32488" s="676"/>
      <c r="J32488" s="770"/>
    </row>
    <row r="32489" spans="8:10" x14ac:dyDescent="0.35">
      <c r="H32489" s="676"/>
      <c r="I32489" s="676"/>
      <c r="J32489" s="770"/>
    </row>
    <row r="32490" spans="8:10" x14ac:dyDescent="0.35">
      <c r="H32490" s="676"/>
      <c r="I32490" s="676"/>
      <c r="J32490" s="770"/>
    </row>
    <row r="32491" spans="8:10" x14ac:dyDescent="0.35">
      <c r="H32491" s="676"/>
      <c r="I32491" s="676"/>
      <c r="J32491" s="770"/>
    </row>
    <row r="32492" spans="8:10" x14ac:dyDescent="0.35">
      <c r="H32492" s="676"/>
      <c r="I32492" s="676"/>
      <c r="J32492" s="770"/>
    </row>
    <row r="32493" spans="8:10" x14ac:dyDescent="0.35">
      <c r="H32493" s="676"/>
      <c r="I32493" s="676"/>
      <c r="J32493" s="770"/>
    </row>
    <row r="32494" spans="8:10" x14ac:dyDescent="0.35">
      <c r="H32494" s="676"/>
      <c r="I32494" s="676"/>
      <c r="J32494" s="770"/>
    </row>
    <row r="32495" spans="8:10" x14ac:dyDescent="0.35">
      <c r="H32495" s="676"/>
      <c r="I32495" s="676"/>
      <c r="J32495" s="770"/>
    </row>
    <row r="32496" spans="8:10" x14ac:dyDescent="0.35">
      <c r="H32496" s="676"/>
      <c r="I32496" s="676"/>
      <c r="J32496" s="770"/>
    </row>
    <row r="32497" spans="8:10" x14ac:dyDescent="0.35">
      <c r="H32497" s="676"/>
      <c r="I32497" s="676"/>
      <c r="J32497" s="770"/>
    </row>
    <row r="32498" spans="8:10" x14ac:dyDescent="0.35">
      <c r="H32498" s="676"/>
      <c r="I32498" s="676"/>
      <c r="J32498" s="770"/>
    </row>
    <row r="32499" spans="8:10" x14ac:dyDescent="0.35">
      <c r="H32499" s="676"/>
      <c r="I32499" s="676"/>
      <c r="J32499" s="770"/>
    </row>
    <row r="32500" spans="8:10" x14ac:dyDescent="0.35">
      <c r="H32500" s="676"/>
      <c r="I32500" s="676"/>
      <c r="J32500" s="770"/>
    </row>
    <row r="32501" spans="8:10" x14ac:dyDescent="0.35">
      <c r="H32501" s="676"/>
      <c r="I32501" s="676"/>
      <c r="J32501" s="770"/>
    </row>
    <row r="32502" spans="8:10" x14ac:dyDescent="0.35">
      <c r="H32502" s="676"/>
      <c r="I32502" s="676"/>
      <c r="J32502" s="770"/>
    </row>
    <row r="32503" spans="8:10" x14ac:dyDescent="0.35">
      <c r="H32503" s="676"/>
      <c r="I32503" s="676"/>
      <c r="J32503" s="770"/>
    </row>
    <row r="32504" spans="8:10" x14ac:dyDescent="0.35">
      <c r="H32504" s="676"/>
      <c r="I32504" s="676"/>
      <c r="J32504" s="770"/>
    </row>
    <row r="32505" spans="8:10" x14ac:dyDescent="0.35">
      <c r="H32505" s="676"/>
      <c r="I32505" s="676"/>
      <c r="J32505" s="770"/>
    </row>
    <row r="32506" spans="8:10" x14ac:dyDescent="0.35">
      <c r="H32506" s="676"/>
      <c r="I32506" s="676"/>
      <c r="J32506" s="770"/>
    </row>
    <row r="32507" spans="8:10" x14ac:dyDescent="0.35">
      <c r="H32507" s="676"/>
      <c r="I32507" s="676"/>
      <c r="J32507" s="770"/>
    </row>
    <row r="32508" spans="8:10" x14ac:dyDescent="0.35">
      <c r="H32508" s="676"/>
      <c r="I32508" s="676"/>
      <c r="J32508" s="770"/>
    </row>
    <row r="32509" spans="8:10" x14ac:dyDescent="0.35">
      <c r="H32509" s="676"/>
      <c r="I32509" s="676"/>
      <c r="J32509" s="770"/>
    </row>
    <row r="32510" spans="8:10" x14ac:dyDescent="0.35">
      <c r="H32510" s="676"/>
      <c r="I32510" s="676"/>
      <c r="J32510" s="770"/>
    </row>
    <row r="32511" spans="8:10" x14ac:dyDescent="0.35">
      <c r="H32511" s="676"/>
      <c r="I32511" s="676"/>
      <c r="J32511" s="770"/>
    </row>
    <row r="32512" spans="8:10" x14ac:dyDescent="0.35">
      <c r="H32512" s="676"/>
      <c r="I32512" s="676"/>
      <c r="J32512" s="770"/>
    </row>
    <row r="32513" spans="8:10" x14ac:dyDescent="0.35">
      <c r="H32513" s="676"/>
      <c r="I32513" s="676"/>
      <c r="J32513" s="770"/>
    </row>
    <row r="32514" spans="8:10" x14ac:dyDescent="0.35">
      <c r="H32514" s="676"/>
      <c r="I32514" s="676"/>
      <c r="J32514" s="770"/>
    </row>
    <row r="32515" spans="8:10" x14ac:dyDescent="0.35">
      <c r="H32515" s="676"/>
      <c r="I32515" s="676"/>
      <c r="J32515" s="770"/>
    </row>
    <row r="32516" spans="8:10" x14ac:dyDescent="0.35">
      <c r="H32516" s="676"/>
      <c r="I32516" s="676"/>
      <c r="J32516" s="770"/>
    </row>
    <row r="32517" spans="8:10" x14ac:dyDescent="0.35">
      <c r="H32517" s="676"/>
      <c r="I32517" s="676"/>
      <c r="J32517" s="770"/>
    </row>
    <row r="32518" spans="8:10" x14ac:dyDescent="0.35">
      <c r="H32518" s="676"/>
      <c r="I32518" s="676"/>
      <c r="J32518" s="770"/>
    </row>
    <row r="32519" spans="8:10" x14ac:dyDescent="0.35">
      <c r="H32519" s="676"/>
      <c r="I32519" s="676"/>
      <c r="J32519" s="770"/>
    </row>
    <row r="32520" spans="8:10" x14ac:dyDescent="0.35">
      <c r="H32520" s="676"/>
      <c r="I32520" s="676"/>
      <c r="J32520" s="770"/>
    </row>
    <row r="32521" spans="8:10" x14ac:dyDescent="0.35">
      <c r="H32521" s="676"/>
      <c r="I32521" s="676"/>
      <c r="J32521" s="770"/>
    </row>
    <row r="32522" spans="8:10" x14ac:dyDescent="0.35">
      <c r="H32522" s="676"/>
      <c r="I32522" s="676"/>
      <c r="J32522" s="770"/>
    </row>
    <row r="32523" spans="8:10" x14ac:dyDescent="0.35">
      <c r="H32523" s="676"/>
      <c r="I32523" s="676"/>
      <c r="J32523" s="770"/>
    </row>
    <row r="32524" spans="8:10" x14ac:dyDescent="0.35">
      <c r="H32524" s="676"/>
      <c r="I32524" s="676"/>
      <c r="J32524" s="770"/>
    </row>
    <row r="32525" spans="8:10" x14ac:dyDescent="0.35">
      <c r="H32525" s="676"/>
      <c r="I32525" s="676"/>
      <c r="J32525" s="770"/>
    </row>
    <row r="32526" spans="8:10" x14ac:dyDescent="0.35">
      <c r="H32526" s="676"/>
      <c r="I32526" s="676"/>
      <c r="J32526" s="770"/>
    </row>
    <row r="32527" spans="8:10" x14ac:dyDescent="0.35">
      <c r="H32527" s="676"/>
      <c r="I32527" s="676"/>
      <c r="J32527" s="770"/>
    </row>
    <row r="32528" spans="8:10" x14ac:dyDescent="0.35">
      <c r="H32528" s="676"/>
      <c r="I32528" s="676"/>
      <c r="J32528" s="770"/>
    </row>
    <row r="32529" spans="8:10" x14ac:dyDescent="0.35">
      <c r="H32529" s="676"/>
      <c r="I32529" s="676"/>
      <c r="J32529" s="770"/>
    </row>
    <row r="32530" spans="8:10" x14ac:dyDescent="0.35">
      <c r="H32530" s="676"/>
      <c r="I32530" s="676"/>
      <c r="J32530" s="770"/>
    </row>
    <row r="32531" spans="8:10" x14ac:dyDescent="0.35">
      <c r="H32531" s="676"/>
      <c r="I32531" s="676"/>
      <c r="J32531" s="770"/>
    </row>
    <row r="32532" spans="8:10" x14ac:dyDescent="0.35">
      <c r="H32532" s="676"/>
      <c r="I32532" s="676"/>
      <c r="J32532" s="770"/>
    </row>
    <row r="32533" spans="8:10" x14ac:dyDescent="0.35">
      <c r="H32533" s="676"/>
      <c r="I32533" s="676"/>
      <c r="J32533" s="770"/>
    </row>
    <row r="32534" spans="8:10" x14ac:dyDescent="0.35">
      <c r="H32534" s="676"/>
      <c r="I32534" s="676"/>
      <c r="J32534" s="770"/>
    </row>
    <row r="32535" spans="8:10" x14ac:dyDescent="0.35">
      <c r="H32535" s="676"/>
      <c r="I32535" s="676"/>
      <c r="J32535" s="770"/>
    </row>
    <row r="32536" spans="8:10" x14ac:dyDescent="0.35">
      <c r="H32536" s="676"/>
      <c r="I32536" s="676"/>
      <c r="J32536" s="770"/>
    </row>
    <row r="32537" spans="8:10" x14ac:dyDescent="0.35">
      <c r="H32537" s="676"/>
      <c r="I32537" s="676"/>
      <c r="J32537" s="770"/>
    </row>
    <row r="32538" spans="8:10" x14ac:dyDescent="0.35">
      <c r="H32538" s="676"/>
      <c r="I32538" s="676"/>
      <c r="J32538" s="770"/>
    </row>
    <row r="32539" spans="8:10" x14ac:dyDescent="0.35">
      <c r="H32539" s="676"/>
      <c r="I32539" s="676"/>
      <c r="J32539" s="770"/>
    </row>
    <row r="32540" spans="8:10" x14ac:dyDescent="0.35">
      <c r="H32540" s="676"/>
      <c r="I32540" s="676"/>
      <c r="J32540" s="770"/>
    </row>
    <row r="32541" spans="8:10" x14ac:dyDescent="0.35">
      <c r="H32541" s="676"/>
      <c r="I32541" s="676"/>
      <c r="J32541" s="770"/>
    </row>
    <row r="32542" spans="8:10" x14ac:dyDescent="0.35">
      <c r="H32542" s="676"/>
      <c r="I32542" s="676"/>
      <c r="J32542" s="770"/>
    </row>
    <row r="32543" spans="8:10" x14ac:dyDescent="0.35">
      <c r="H32543" s="676"/>
      <c r="I32543" s="676"/>
      <c r="J32543" s="770"/>
    </row>
    <row r="32544" spans="8:10" x14ac:dyDescent="0.35">
      <c r="H32544" s="676"/>
      <c r="I32544" s="676"/>
      <c r="J32544" s="770"/>
    </row>
    <row r="32545" spans="8:10" x14ac:dyDescent="0.35">
      <c r="H32545" s="676"/>
      <c r="I32545" s="676"/>
      <c r="J32545" s="770"/>
    </row>
    <row r="32546" spans="8:10" x14ac:dyDescent="0.35">
      <c r="H32546" s="676"/>
      <c r="I32546" s="676"/>
      <c r="J32546" s="770"/>
    </row>
    <row r="32547" spans="8:10" x14ac:dyDescent="0.35">
      <c r="H32547" s="676"/>
      <c r="I32547" s="676"/>
      <c r="J32547" s="770"/>
    </row>
    <row r="32548" spans="8:10" x14ac:dyDescent="0.35">
      <c r="H32548" s="676"/>
      <c r="I32548" s="676"/>
      <c r="J32548" s="770"/>
    </row>
    <row r="32549" spans="8:10" x14ac:dyDescent="0.35">
      <c r="H32549" s="676"/>
      <c r="I32549" s="676"/>
      <c r="J32549" s="770"/>
    </row>
    <row r="32550" spans="8:10" x14ac:dyDescent="0.35">
      <c r="H32550" s="676"/>
      <c r="I32550" s="676"/>
      <c r="J32550" s="770"/>
    </row>
    <row r="32551" spans="8:10" x14ac:dyDescent="0.35">
      <c r="H32551" s="676"/>
      <c r="I32551" s="676"/>
      <c r="J32551" s="770"/>
    </row>
    <row r="32552" spans="8:10" x14ac:dyDescent="0.35">
      <c r="H32552" s="676"/>
      <c r="I32552" s="676"/>
      <c r="J32552" s="770"/>
    </row>
    <row r="32553" spans="8:10" x14ac:dyDescent="0.35">
      <c r="H32553" s="676"/>
      <c r="I32553" s="676"/>
      <c r="J32553" s="770"/>
    </row>
    <row r="32554" spans="8:10" x14ac:dyDescent="0.35">
      <c r="H32554" s="676"/>
      <c r="I32554" s="676"/>
      <c r="J32554" s="770"/>
    </row>
    <row r="32555" spans="8:10" x14ac:dyDescent="0.35">
      <c r="H32555" s="676"/>
      <c r="I32555" s="676"/>
      <c r="J32555" s="770"/>
    </row>
    <row r="32556" spans="8:10" x14ac:dyDescent="0.35">
      <c r="H32556" s="676"/>
      <c r="I32556" s="676"/>
      <c r="J32556" s="770"/>
    </row>
    <row r="32557" spans="8:10" x14ac:dyDescent="0.35">
      <c r="H32557" s="676"/>
      <c r="I32557" s="676"/>
      <c r="J32557" s="770"/>
    </row>
    <row r="32558" spans="8:10" x14ac:dyDescent="0.35">
      <c r="H32558" s="676"/>
      <c r="I32558" s="676"/>
      <c r="J32558" s="770"/>
    </row>
    <row r="32559" spans="8:10" x14ac:dyDescent="0.35">
      <c r="H32559" s="676"/>
      <c r="I32559" s="676"/>
      <c r="J32559" s="770"/>
    </row>
    <row r="32560" spans="8:10" x14ac:dyDescent="0.35">
      <c r="H32560" s="676"/>
      <c r="I32560" s="676"/>
      <c r="J32560" s="770"/>
    </row>
    <row r="32561" spans="8:10" x14ac:dyDescent="0.35">
      <c r="H32561" s="676"/>
      <c r="I32561" s="676"/>
      <c r="J32561" s="770"/>
    </row>
    <row r="32562" spans="8:10" x14ac:dyDescent="0.35">
      <c r="H32562" s="676"/>
      <c r="I32562" s="676"/>
      <c r="J32562" s="770"/>
    </row>
    <row r="32563" spans="8:10" x14ac:dyDescent="0.35">
      <c r="H32563" s="676"/>
      <c r="I32563" s="676"/>
      <c r="J32563" s="770"/>
    </row>
    <row r="32564" spans="8:10" x14ac:dyDescent="0.35">
      <c r="H32564" s="676"/>
      <c r="I32564" s="676"/>
      <c r="J32564" s="770"/>
    </row>
    <row r="32565" spans="8:10" x14ac:dyDescent="0.35">
      <c r="H32565" s="676"/>
      <c r="I32565" s="676"/>
      <c r="J32565" s="770"/>
    </row>
    <row r="32566" spans="8:10" x14ac:dyDescent="0.35">
      <c r="H32566" s="676"/>
      <c r="I32566" s="676"/>
      <c r="J32566" s="770"/>
    </row>
    <row r="32567" spans="8:10" x14ac:dyDescent="0.35">
      <c r="H32567" s="676"/>
      <c r="I32567" s="676"/>
      <c r="J32567" s="770"/>
    </row>
    <row r="32568" spans="8:10" x14ac:dyDescent="0.35">
      <c r="H32568" s="676"/>
      <c r="I32568" s="676"/>
      <c r="J32568" s="770"/>
    </row>
    <row r="32569" spans="8:10" x14ac:dyDescent="0.35">
      <c r="H32569" s="676"/>
      <c r="I32569" s="676"/>
      <c r="J32569" s="770"/>
    </row>
    <row r="32570" spans="8:10" x14ac:dyDescent="0.35">
      <c r="H32570" s="676"/>
      <c r="I32570" s="676"/>
      <c r="J32570" s="770"/>
    </row>
    <row r="32571" spans="8:10" x14ac:dyDescent="0.35">
      <c r="H32571" s="676"/>
      <c r="I32571" s="676"/>
      <c r="J32571" s="770"/>
    </row>
    <row r="32572" spans="8:10" x14ac:dyDescent="0.35">
      <c r="H32572" s="676"/>
      <c r="I32572" s="676"/>
      <c r="J32572" s="770"/>
    </row>
    <row r="32573" spans="8:10" x14ac:dyDescent="0.35">
      <c r="H32573" s="676"/>
      <c r="I32573" s="676"/>
      <c r="J32573" s="770"/>
    </row>
    <row r="32574" spans="8:10" x14ac:dyDescent="0.35">
      <c r="H32574" s="676"/>
      <c r="I32574" s="676"/>
      <c r="J32574" s="770"/>
    </row>
    <row r="32575" spans="8:10" x14ac:dyDescent="0.35">
      <c r="H32575" s="676"/>
      <c r="I32575" s="676"/>
      <c r="J32575" s="770"/>
    </row>
    <row r="32576" spans="8:10" x14ac:dyDescent="0.35">
      <c r="H32576" s="676"/>
      <c r="I32576" s="676"/>
      <c r="J32576" s="770"/>
    </row>
    <row r="32577" spans="8:10" x14ac:dyDescent="0.35">
      <c r="H32577" s="676"/>
      <c r="I32577" s="676"/>
      <c r="J32577" s="770"/>
    </row>
    <row r="32578" spans="8:10" x14ac:dyDescent="0.35">
      <c r="H32578" s="676"/>
      <c r="I32578" s="676"/>
      <c r="J32578" s="770"/>
    </row>
    <row r="32579" spans="8:10" x14ac:dyDescent="0.35">
      <c r="H32579" s="676"/>
      <c r="I32579" s="676"/>
      <c r="J32579" s="770"/>
    </row>
    <row r="32580" spans="8:10" x14ac:dyDescent="0.35">
      <c r="H32580" s="676"/>
      <c r="I32580" s="676"/>
      <c r="J32580" s="770"/>
    </row>
    <row r="32581" spans="8:10" x14ac:dyDescent="0.35">
      <c r="H32581" s="676"/>
      <c r="I32581" s="676"/>
      <c r="J32581" s="770"/>
    </row>
    <row r="32582" spans="8:10" x14ac:dyDescent="0.35">
      <c r="H32582" s="676"/>
      <c r="I32582" s="676"/>
      <c r="J32582" s="770"/>
    </row>
    <row r="32583" spans="8:10" x14ac:dyDescent="0.35">
      <c r="H32583" s="676"/>
      <c r="I32583" s="676"/>
      <c r="J32583" s="770"/>
    </row>
    <row r="32584" spans="8:10" x14ac:dyDescent="0.35">
      <c r="H32584" s="676"/>
      <c r="I32584" s="676"/>
      <c r="J32584" s="770"/>
    </row>
    <row r="32585" spans="8:10" x14ac:dyDescent="0.35">
      <c r="H32585" s="676"/>
      <c r="I32585" s="676"/>
      <c r="J32585" s="770"/>
    </row>
    <row r="32586" spans="8:10" x14ac:dyDescent="0.35">
      <c r="H32586" s="676"/>
      <c r="I32586" s="676"/>
      <c r="J32586" s="770"/>
    </row>
    <row r="32587" spans="8:10" x14ac:dyDescent="0.35">
      <c r="H32587" s="676"/>
      <c r="I32587" s="676"/>
      <c r="J32587" s="770"/>
    </row>
    <row r="32588" spans="8:10" x14ac:dyDescent="0.35">
      <c r="H32588" s="676"/>
      <c r="I32588" s="676"/>
      <c r="J32588" s="770"/>
    </row>
    <row r="32589" spans="8:10" x14ac:dyDescent="0.35">
      <c r="H32589" s="676"/>
      <c r="I32589" s="676"/>
      <c r="J32589" s="770"/>
    </row>
    <row r="32590" spans="8:10" x14ac:dyDescent="0.35">
      <c r="H32590" s="676"/>
      <c r="I32590" s="676"/>
      <c r="J32590" s="770"/>
    </row>
    <row r="32591" spans="8:10" x14ac:dyDescent="0.35">
      <c r="H32591" s="676"/>
      <c r="I32591" s="676"/>
      <c r="J32591" s="770"/>
    </row>
    <row r="32592" spans="8:10" x14ac:dyDescent="0.35">
      <c r="H32592" s="676"/>
      <c r="I32592" s="676"/>
      <c r="J32592" s="770"/>
    </row>
    <row r="32593" spans="8:10" x14ac:dyDescent="0.35">
      <c r="H32593" s="676"/>
      <c r="I32593" s="676"/>
      <c r="J32593" s="770"/>
    </row>
    <row r="32594" spans="8:10" x14ac:dyDescent="0.35">
      <c r="H32594" s="676"/>
      <c r="I32594" s="676"/>
      <c r="J32594" s="770"/>
    </row>
    <row r="32595" spans="8:10" x14ac:dyDescent="0.35">
      <c r="H32595" s="676"/>
      <c r="I32595" s="676"/>
      <c r="J32595" s="770"/>
    </row>
    <row r="32596" spans="8:10" x14ac:dyDescent="0.35">
      <c r="H32596" s="676"/>
      <c r="I32596" s="676"/>
      <c r="J32596" s="770"/>
    </row>
    <row r="32597" spans="8:10" x14ac:dyDescent="0.35">
      <c r="H32597" s="676"/>
      <c r="I32597" s="676"/>
      <c r="J32597" s="770"/>
    </row>
    <row r="32598" spans="8:10" x14ac:dyDescent="0.35">
      <c r="H32598" s="676"/>
      <c r="I32598" s="676"/>
      <c r="J32598" s="770"/>
    </row>
    <row r="32599" spans="8:10" x14ac:dyDescent="0.35">
      <c r="H32599" s="676"/>
      <c r="I32599" s="676"/>
      <c r="J32599" s="770"/>
    </row>
    <row r="32600" spans="8:10" x14ac:dyDescent="0.35">
      <c r="H32600" s="676"/>
      <c r="I32600" s="676"/>
      <c r="J32600" s="770"/>
    </row>
    <row r="32601" spans="8:10" x14ac:dyDescent="0.35">
      <c r="H32601" s="676"/>
      <c r="I32601" s="676"/>
      <c r="J32601" s="770"/>
    </row>
    <row r="32602" spans="8:10" x14ac:dyDescent="0.35">
      <c r="H32602" s="676"/>
      <c r="I32602" s="676"/>
      <c r="J32602" s="770"/>
    </row>
    <row r="32603" spans="8:10" x14ac:dyDescent="0.35">
      <c r="H32603" s="676"/>
      <c r="I32603" s="676"/>
      <c r="J32603" s="770"/>
    </row>
    <row r="32604" spans="8:10" x14ac:dyDescent="0.35">
      <c r="H32604" s="676"/>
      <c r="I32604" s="676"/>
      <c r="J32604" s="770"/>
    </row>
    <row r="32605" spans="8:10" x14ac:dyDescent="0.35">
      <c r="H32605" s="676"/>
      <c r="I32605" s="676"/>
      <c r="J32605" s="770"/>
    </row>
    <row r="32606" spans="8:10" x14ac:dyDescent="0.35">
      <c r="H32606" s="676"/>
      <c r="I32606" s="676"/>
      <c r="J32606" s="770"/>
    </row>
    <row r="32607" spans="8:10" x14ac:dyDescent="0.35">
      <c r="H32607" s="676"/>
      <c r="I32607" s="676"/>
      <c r="J32607" s="770"/>
    </row>
    <row r="32608" spans="8:10" x14ac:dyDescent="0.35">
      <c r="H32608" s="676"/>
      <c r="I32608" s="676"/>
      <c r="J32608" s="770"/>
    </row>
    <row r="32609" spans="8:10" x14ac:dyDescent="0.35">
      <c r="H32609" s="676"/>
      <c r="I32609" s="676"/>
      <c r="J32609" s="770"/>
    </row>
    <row r="32610" spans="8:10" x14ac:dyDescent="0.35">
      <c r="H32610" s="676"/>
      <c r="I32610" s="676"/>
      <c r="J32610" s="770"/>
    </row>
    <row r="32611" spans="8:10" x14ac:dyDescent="0.35">
      <c r="H32611" s="676"/>
      <c r="I32611" s="676"/>
      <c r="J32611" s="770"/>
    </row>
    <row r="32612" spans="8:10" x14ac:dyDescent="0.35">
      <c r="H32612" s="676"/>
      <c r="I32612" s="676"/>
      <c r="J32612" s="770"/>
    </row>
    <row r="32613" spans="8:10" x14ac:dyDescent="0.35">
      <c r="H32613" s="676"/>
      <c r="I32613" s="676"/>
      <c r="J32613" s="770"/>
    </row>
    <row r="32614" spans="8:10" x14ac:dyDescent="0.35">
      <c r="H32614" s="676"/>
      <c r="I32614" s="676"/>
      <c r="J32614" s="770"/>
    </row>
    <row r="32615" spans="8:10" x14ac:dyDescent="0.35">
      <c r="H32615" s="676"/>
      <c r="I32615" s="676"/>
      <c r="J32615" s="770"/>
    </row>
    <row r="32616" spans="8:10" x14ac:dyDescent="0.35">
      <c r="H32616" s="676"/>
      <c r="I32616" s="676"/>
      <c r="J32616" s="770"/>
    </row>
    <row r="32617" spans="8:10" x14ac:dyDescent="0.35">
      <c r="H32617" s="676"/>
      <c r="I32617" s="676"/>
      <c r="J32617" s="770"/>
    </row>
    <row r="32618" spans="8:10" x14ac:dyDescent="0.35">
      <c r="H32618" s="676"/>
      <c r="I32618" s="676"/>
      <c r="J32618" s="770"/>
    </row>
    <row r="32619" spans="8:10" x14ac:dyDescent="0.35">
      <c r="H32619" s="676"/>
      <c r="I32619" s="676"/>
      <c r="J32619" s="770"/>
    </row>
    <row r="32620" spans="8:10" x14ac:dyDescent="0.35">
      <c r="H32620" s="676"/>
      <c r="I32620" s="676"/>
      <c r="J32620" s="770"/>
    </row>
    <row r="32621" spans="8:10" x14ac:dyDescent="0.35">
      <c r="H32621" s="676"/>
      <c r="I32621" s="676"/>
      <c r="J32621" s="770"/>
    </row>
    <row r="32622" spans="8:10" x14ac:dyDescent="0.35">
      <c r="H32622" s="676"/>
      <c r="I32622" s="676"/>
      <c r="J32622" s="770"/>
    </row>
    <row r="32623" spans="8:10" x14ac:dyDescent="0.35">
      <c r="H32623" s="676"/>
      <c r="I32623" s="676"/>
      <c r="J32623" s="770"/>
    </row>
    <row r="32624" spans="8:10" x14ac:dyDescent="0.35">
      <c r="H32624" s="676"/>
      <c r="I32624" s="676"/>
      <c r="J32624" s="770"/>
    </row>
    <row r="32625" spans="8:10" x14ac:dyDescent="0.35">
      <c r="H32625" s="676"/>
      <c r="I32625" s="676"/>
      <c r="J32625" s="770"/>
    </row>
    <row r="32626" spans="8:10" x14ac:dyDescent="0.35">
      <c r="H32626" s="676"/>
      <c r="I32626" s="676"/>
      <c r="J32626" s="770"/>
    </row>
    <row r="32627" spans="8:10" x14ac:dyDescent="0.35">
      <c r="H32627" s="676"/>
      <c r="I32627" s="676"/>
      <c r="J32627" s="770"/>
    </row>
    <row r="32628" spans="8:10" x14ac:dyDescent="0.35">
      <c r="H32628" s="676"/>
      <c r="I32628" s="676"/>
      <c r="J32628" s="770"/>
    </row>
    <row r="32629" spans="8:10" x14ac:dyDescent="0.35">
      <c r="H32629" s="676"/>
      <c r="I32629" s="676"/>
      <c r="J32629" s="770"/>
    </row>
    <row r="32630" spans="8:10" x14ac:dyDescent="0.35">
      <c r="H32630" s="676"/>
      <c r="I32630" s="676"/>
      <c r="J32630" s="770"/>
    </row>
    <row r="32631" spans="8:10" x14ac:dyDescent="0.35">
      <c r="H32631" s="676"/>
      <c r="I32631" s="676"/>
      <c r="J32631" s="770"/>
    </row>
    <row r="32632" spans="8:10" x14ac:dyDescent="0.35">
      <c r="H32632" s="676"/>
      <c r="I32632" s="676"/>
      <c r="J32632" s="770"/>
    </row>
    <row r="32633" spans="8:10" x14ac:dyDescent="0.35">
      <c r="H32633" s="676"/>
      <c r="I32633" s="676"/>
      <c r="J32633" s="770"/>
    </row>
    <row r="32634" spans="8:10" x14ac:dyDescent="0.35">
      <c r="H32634" s="676"/>
      <c r="I32634" s="676"/>
      <c r="J32634" s="770"/>
    </row>
    <row r="32635" spans="8:10" x14ac:dyDescent="0.35">
      <c r="H32635" s="676"/>
      <c r="I32635" s="676"/>
      <c r="J32635" s="770"/>
    </row>
    <row r="32636" spans="8:10" x14ac:dyDescent="0.35">
      <c r="H32636" s="676"/>
      <c r="I32636" s="676"/>
      <c r="J32636" s="770"/>
    </row>
    <row r="32637" spans="8:10" x14ac:dyDescent="0.35">
      <c r="H32637" s="676"/>
      <c r="I32637" s="676"/>
      <c r="J32637" s="770"/>
    </row>
    <row r="32638" spans="8:10" x14ac:dyDescent="0.35">
      <c r="H32638" s="676"/>
      <c r="I32638" s="676"/>
      <c r="J32638" s="770"/>
    </row>
    <row r="32639" spans="8:10" x14ac:dyDescent="0.35">
      <c r="H32639" s="676"/>
      <c r="I32639" s="676"/>
      <c r="J32639" s="770"/>
    </row>
    <row r="32640" spans="8:10" x14ac:dyDescent="0.35">
      <c r="H32640" s="676"/>
      <c r="I32640" s="676"/>
      <c r="J32640" s="770"/>
    </row>
    <row r="32641" spans="8:10" x14ac:dyDescent="0.35">
      <c r="H32641" s="676"/>
      <c r="I32641" s="676"/>
      <c r="J32641" s="770"/>
    </row>
    <row r="32642" spans="8:10" x14ac:dyDescent="0.35">
      <c r="H32642" s="676"/>
      <c r="I32642" s="676"/>
      <c r="J32642" s="770"/>
    </row>
    <row r="32643" spans="8:10" x14ac:dyDescent="0.35">
      <c r="H32643" s="676"/>
      <c r="I32643" s="676"/>
      <c r="J32643" s="770"/>
    </row>
    <row r="32644" spans="8:10" x14ac:dyDescent="0.35">
      <c r="H32644" s="676"/>
      <c r="I32644" s="676"/>
      <c r="J32644" s="770"/>
    </row>
    <row r="32645" spans="8:10" x14ac:dyDescent="0.35">
      <c r="H32645" s="676"/>
      <c r="I32645" s="676"/>
      <c r="J32645" s="770"/>
    </row>
    <row r="32646" spans="8:10" x14ac:dyDescent="0.35">
      <c r="H32646" s="676"/>
      <c r="I32646" s="676"/>
      <c r="J32646" s="770"/>
    </row>
    <row r="32647" spans="8:10" x14ac:dyDescent="0.35">
      <c r="H32647" s="676"/>
      <c r="I32647" s="676"/>
      <c r="J32647" s="770"/>
    </row>
    <row r="32648" spans="8:10" x14ac:dyDescent="0.35">
      <c r="H32648" s="676"/>
      <c r="I32648" s="676"/>
      <c r="J32648" s="770"/>
    </row>
    <row r="32649" spans="8:10" x14ac:dyDescent="0.35">
      <c r="H32649" s="676"/>
      <c r="I32649" s="676"/>
      <c r="J32649" s="770"/>
    </row>
    <row r="32650" spans="8:10" x14ac:dyDescent="0.35">
      <c r="H32650" s="676"/>
      <c r="I32650" s="676"/>
      <c r="J32650" s="770"/>
    </row>
    <row r="32651" spans="8:10" x14ac:dyDescent="0.35">
      <c r="H32651" s="676"/>
      <c r="I32651" s="676"/>
      <c r="J32651" s="770"/>
    </row>
    <row r="32652" spans="8:10" x14ac:dyDescent="0.35">
      <c r="H32652" s="676"/>
      <c r="I32652" s="676"/>
      <c r="J32652" s="770"/>
    </row>
    <row r="32653" spans="8:10" x14ac:dyDescent="0.35">
      <c r="H32653" s="676"/>
      <c r="I32653" s="676"/>
      <c r="J32653" s="770"/>
    </row>
    <row r="32654" spans="8:10" x14ac:dyDescent="0.35">
      <c r="H32654" s="676"/>
      <c r="I32654" s="676"/>
      <c r="J32654" s="770"/>
    </row>
    <row r="32655" spans="8:10" x14ac:dyDescent="0.35">
      <c r="H32655" s="676"/>
      <c r="I32655" s="676"/>
      <c r="J32655" s="770"/>
    </row>
    <row r="32656" spans="8:10" x14ac:dyDescent="0.35">
      <c r="H32656" s="676"/>
      <c r="I32656" s="676"/>
      <c r="J32656" s="770"/>
    </row>
    <row r="32657" spans="8:10" x14ac:dyDescent="0.35">
      <c r="H32657" s="676"/>
      <c r="I32657" s="676"/>
      <c r="J32657" s="770"/>
    </row>
    <row r="32658" spans="8:10" x14ac:dyDescent="0.35">
      <c r="H32658" s="676"/>
      <c r="I32658" s="676"/>
      <c r="J32658" s="770"/>
    </row>
    <row r="32659" spans="8:10" x14ac:dyDescent="0.35">
      <c r="H32659" s="676"/>
      <c r="I32659" s="676"/>
      <c r="J32659" s="770"/>
    </row>
    <row r="32660" spans="8:10" x14ac:dyDescent="0.35">
      <c r="H32660" s="676"/>
      <c r="I32660" s="676"/>
      <c r="J32660" s="770"/>
    </row>
    <row r="32661" spans="8:10" x14ac:dyDescent="0.35">
      <c r="H32661" s="676"/>
      <c r="I32661" s="676"/>
      <c r="J32661" s="770"/>
    </row>
    <row r="32662" spans="8:10" x14ac:dyDescent="0.35">
      <c r="H32662" s="676"/>
      <c r="I32662" s="676"/>
      <c r="J32662" s="770"/>
    </row>
    <row r="32663" spans="8:10" x14ac:dyDescent="0.35">
      <c r="H32663" s="676"/>
      <c r="I32663" s="676"/>
      <c r="J32663" s="770"/>
    </row>
    <row r="32664" spans="8:10" x14ac:dyDescent="0.35">
      <c r="H32664" s="676"/>
      <c r="I32664" s="676"/>
      <c r="J32664" s="770"/>
    </row>
    <row r="32665" spans="8:10" x14ac:dyDescent="0.35">
      <c r="H32665" s="676"/>
      <c r="I32665" s="676"/>
      <c r="J32665" s="770"/>
    </row>
    <row r="32666" spans="8:10" x14ac:dyDescent="0.35">
      <c r="H32666" s="676"/>
      <c r="I32666" s="676"/>
      <c r="J32666" s="770"/>
    </row>
    <row r="32667" spans="8:10" x14ac:dyDescent="0.35">
      <c r="H32667" s="676"/>
      <c r="I32667" s="676"/>
      <c r="J32667" s="770"/>
    </row>
    <row r="32668" spans="8:10" x14ac:dyDescent="0.35">
      <c r="H32668" s="676"/>
      <c r="I32668" s="676"/>
      <c r="J32668" s="770"/>
    </row>
    <row r="32669" spans="8:10" x14ac:dyDescent="0.35">
      <c r="H32669" s="676"/>
      <c r="I32669" s="676"/>
      <c r="J32669" s="770"/>
    </row>
    <row r="32670" spans="8:10" x14ac:dyDescent="0.35">
      <c r="H32670" s="676"/>
      <c r="I32670" s="676"/>
      <c r="J32670" s="770"/>
    </row>
    <row r="32671" spans="8:10" x14ac:dyDescent="0.35">
      <c r="H32671" s="676"/>
      <c r="I32671" s="676"/>
      <c r="J32671" s="770"/>
    </row>
    <row r="32672" spans="8:10" x14ac:dyDescent="0.35">
      <c r="H32672" s="676"/>
      <c r="I32672" s="676"/>
      <c r="J32672" s="770"/>
    </row>
    <row r="32673" spans="8:10" x14ac:dyDescent="0.35">
      <c r="H32673" s="676"/>
      <c r="I32673" s="676"/>
      <c r="J32673" s="770"/>
    </row>
    <row r="32674" spans="8:10" x14ac:dyDescent="0.35">
      <c r="H32674" s="676"/>
      <c r="I32674" s="676"/>
      <c r="J32674" s="770"/>
    </row>
    <row r="32675" spans="8:10" x14ac:dyDescent="0.35">
      <c r="H32675" s="676"/>
      <c r="I32675" s="676"/>
      <c r="J32675" s="770"/>
    </row>
    <row r="32676" spans="8:10" x14ac:dyDescent="0.35">
      <c r="H32676" s="676"/>
      <c r="I32676" s="676"/>
      <c r="J32676" s="770"/>
    </row>
    <row r="32677" spans="8:10" x14ac:dyDescent="0.35">
      <c r="H32677" s="676"/>
      <c r="I32677" s="676"/>
      <c r="J32677" s="770"/>
    </row>
    <row r="32678" spans="8:10" x14ac:dyDescent="0.35">
      <c r="H32678" s="676"/>
      <c r="I32678" s="676"/>
      <c r="J32678" s="770"/>
    </row>
    <row r="32679" spans="8:10" x14ac:dyDescent="0.35">
      <c r="H32679" s="676"/>
      <c r="I32679" s="676"/>
      <c r="J32679" s="770"/>
    </row>
    <row r="32680" spans="8:10" x14ac:dyDescent="0.35">
      <c r="H32680" s="676"/>
      <c r="I32680" s="676"/>
      <c r="J32680" s="770"/>
    </row>
    <row r="32681" spans="8:10" x14ac:dyDescent="0.35">
      <c r="H32681" s="676"/>
      <c r="I32681" s="676"/>
      <c r="J32681" s="770"/>
    </row>
    <row r="32682" spans="8:10" x14ac:dyDescent="0.35">
      <c r="H32682" s="676"/>
      <c r="I32682" s="676"/>
      <c r="J32682" s="770"/>
    </row>
    <row r="32683" spans="8:10" x14ac:dyDescent="0.35">
      <c r="H32683" s="676"/>
      <c r="I32683" s="676"/>
      <c r="J32683" s="770"/>
    </row>
    <row r="32684" spans="8:10" x14ac:dyDescent="0.35">
      <c r="H32684" s="676"/>
      <c r="I32684" s="676"/>
      <c r="J32684" s="770"/>
    </row>
    <row r="32685" spans="8:10" x14ac:dyDescent="0.35">
      <c r="H32685" s="676"/>
      <c r="I32685" s="676"/>
      <c r="J32685" s="770"/>
    </row>
    <row r="32686" spans="8:10" x14ac:dyDescent="0.35">
      <c r="H32686" s="676"/>
      <c r="I32686" s="676"/>
      <c r="J32686" s="770"/>
    </row>
    <row r="32687" spans="8:10" x14ac:dyDescent="0.35">
      <c r="H32687" s="676"/>
      <c r="I32687" s="676"/>
      <c r="J32687" s="770"/>
    </row>
    <row r="32688" spans="8:10" x14ac:dyDescent="0.35">
      <c r="H32688" s="676"/>
      <c r="I32688" s="676"/>
      <c r="J32688" s="770"/>
    </row>
    <row r="32689" spans="8:10" x14ac:dyDescent="0.35">
      <c r="H32689" s="676"/>
      <c r="I32689" s="676"/>
      <c r="J32689" s="770"/>
    </row>
    <row r="32690" spans="8:10" x14ac:dyDescent="0.35">
      <c r="H32690" s="676"/>
      <c r="I32690" s="676"/>
      <c r="J32690" s="770"/>
    </row>
    <row r="32691" spans="8:10" x14ac:dyDescent="0.35">
      <c r="H32691" s="676"/>
      <c r="I32691" s="676"/>
      <c r="J32691" s="770"/>
    </row>
    <row r="32692" spans="8:10" x14ac:dyDescent="0.35">
      <c r="H32692" s="676"/>
      <c r="I32692" s="676"/>
      <c r="J32692" s="770"/>
    </row>
    <row r="32693" spans="8:10" x14ac:dyDescent="0.35">
      <c r="H32693" s="676"/>
      <c r="I32693" s="676"/>
      <c r="J32693" s="770"/>
    </row>
    <row r="32694" spans="8:10" x14ac:dyDescent="0.35">
      <c r="H32694" s="676"/>
      <c r="I32694" s="676"/>
      <c r="J32694" s="770"/>
    </row>
    <row r="32695" spans="8:10" x14ac:dyDescent="0.35">
      <c r="H32695" s="676"/>
      <c r="I32695" s="676"/>
      <c r="J32695" s="770"/>
    </row>
    <row r="32696" spans="8:10" x14ac:dyDescent="0.35">
      <c r="H32696" s="676"/>
      <c r="I32696" s="676"/>
      <c r="J32696" s="770"/>
    </row>
    <row r="32697" spans="8:10" x14ac:dyDescent="0.35">
      <c r="H32697" s="676"/>
      <c r="I32697" s="676"/>
      <c r="J32697" s="770"/>
    </row>
    <row r="32698" spans="8:10" x14ac:dyDescent="0.35">
      <c r="H32698" s="676"/>
      <c r="I32698" s="676"/>
      <c r="J32698" s="770"/>
    </row>
    <row r="32699" spans="8:10" x14ac:dyDescent="0.35">
      <c r="H32699" s="676"/>
      <c r="I32699" s="676"/>
      <c r="J32699" s="770"/>
    </row>
    <row r="32700" spans="8:10" x14ac:dyDescent="0.35">
      <c r="H32700" s="676"/>
      <c r="I32700" s="676"/>
      <c r="J32700" s="770"/>
    </row>
    <row r="32701" spans="8:10" x14ac:dyDescent="0.35">
      <c r="H32701" s="676"/>
      <c r="I32701" s="676"/>
      <c r="J32701" s="770"/>
    </row>
    <row r="32702" spans="8:10" x14ac:dyDescent="0.35">
      <c r="H32702" s="676"/>
      <c r="I32702" s="676"/>
      <c r="J32702" s="770"/>
    </row>
    <row r="32703" spans="8:10" x14ac:dyDescent="0.35">
      <c r="H32703" s="676"/>
      <c r="I32703" s="676"/>
      <c r="J32703" s="770"/>
    </row>
    <row r="32704" spans="8:10" x14ac:dyDescent="0.35">
      <c r="H32704" s="676"/>
      <c r="I32704" s="676"/>
      <c r="J32704" s="770"/>
    </row>
    <row r="32705" spans="8:10" x14ac:dyDescent="0.35">
      <c r="H32705" s="676"/>
      <c r="I32705" s="676"/>
      <c r="J32705" s="770"/>
    </row>
    <row r="32706" spans="8:10" x14ac:dyDescent="0.35">
      <c r="H32706" s="676"/>
      <c r="I32706" s="676"/>
      <c r="J32706" s="770"/>
    </row>
    <row r="32707" spans="8:10" x14ac:dyDescent="0.35">
      <c r="H32707" s="676"/>
      <c r="I32707" s="676"/>
      <c r="J32707" s="770"/>
    </row>
    <row r="32708" spans="8:10" x14ac:dyDescent="0.35">
      <c r="H32708" s="676"/>
      <c r="I32708" s="676"/>
      <c r="J32708" s="770"/>
    </row>
    <row r="32709" spans="8:10" x14ac:dyDescent="0.35">
      <c r="H32709" s="676"/>
      <c r="I32709" s="676"/>
      <c r="J32709" s="770"/>
    </row>
    <row r="32710" spans="8:10" x14ac:dyDescent="0.35">
      <c r="H32710" s="676"/>
      <c r="I32710" s="676"/>
      <c r="J32710" s="770"/>
    </row>
    <row r="32711" spans="8:10" x14ac:dyDescent="0.35">
      <c r="H32711" s="676"/>
      <c r="I32711" s="676"/>
      <c r="J32711" s="770"/>
    </row>
    <row r="32712" spans="8:10" x14ac:dyDescent="0.35">
      <c r="H32712" s="676"/>
      <c r="I32712" s="676"/>
      <c r="J32712" s="770"/>
    </row>
    <row r="32713" spans="8:10" x14ac:dyDescent="0.35">
      <c r="H32713" s="676"/>
      <c r="I32713" s="676"/>
      <c r="J32713" s="770"/>
    </row>
    <row r="32714" spans="8:10" x14ac:dyDescent="0.35">
      <c r="H32714" s="676"/>
      <c r="I32714" s="676"/>
      <c r="J32714" s="770"/>
    </row>
    <row r="32715" spans="8:10" x14ac:dyDescent="0.35">
      <c r="H32715" s="676"/>
      <c r="I32715" s="676"/>
      <c r="J32715" s="770"/>
    </row>
    <row r="32716" spans="8:10" x14ac:dyDescent="0.35">
      <c r="H32716" s="676"/>
      <c r="I32716" s="676"/>
      <c r="J32716" s="770"/>
    </row>
    <row r="32717" spans="8:10" x14ac:dyDescent="0.35">
      <c r="H32717" s="676"/>
      <c r="I32717" s="676"/>
      <c r="J32717" s="770"/>
    </row>
    <row r="32718" spans="8:10" x14ac:dyDescent="0.35">
      <c r="H32718" s="676"/>
      <c r="I32718" s="676"/>
      <c r="J32718" s="770"/>
    </row>
    <row r="32719" spans="8:10" x14ac:dyDescent="0.35">
      <c r="H32719" s="676"/>
      <c r="I32719" s="676"/>
      <c r="J32719" s="770"/>
    </row>
    <row r="32720" spans="8:10" x14ac:dyDescent="0.35">
      <c r="H32720" s="676"/>
      <c r="I32720" s="676"/>
      <c r="J32720" s="770"/>
    </row>
    <row r="32721" spans="8:10" x14ac:dyDescent="0.35">
      <c r="H32721" s="676"/>
      <c r="I32721" s="676"/>
      <c r="J32721" s="770"/>
    </row>
    <row r="32722" spans="8:10" x14ac:dyDescent="0.35">
      <c r="H32722" s="676"/>
      <c r="I32722" s="676"/>
      <c r="J32722" s="770"/>
    </row>
    <row r="32723" spans="8:10" x14ac:dyDescent="0.35">
      <c r="H32723" s="676"/>
      <c r="I32723" s="676"/>
      <c r="J32723" s="770"/>
    </row>
    <row r="32724" spans="8:10" x14ac:dyDescent="0.35">
      <c r="H32724" s="676"/>
      <c r="I32724" s="676"/>
      <c r="J32724" s="770"/>
    </row>
    <row r="32725" spans="8:10" x14ac:dyDescent="0.35">
      <c r="H32725" s="676"/>
      <c r="I32725" s="676"/>
      <c r="J32725" s="770"/>
    </row>
    <row r="32726" spans="8:10" x14ac:dyDescent="0.35">
      <c r="H32726" s="676"/>
      <c r="I32726" s="676"/>
      <c r="J32726" s="770"/>
    </row>
    <row r="32727" spans="8:10" x14ac:dyDescent="0.35">
      <c r="H32727" s="676"/>
      <c r="I32727" s="676"/>
      <c r="J32727" s="770"/>
    </row>
    <row r="32728" spans="8:10" x14ac:dyDescent="0.35">
      <c r="H32728" s="676"/>
      <c r="I32728" s="676"/>
      <c r="J32728" s="770"/>
    </row>
    <row r="32729" spans="8:10" x14ac:dyDescent="0.35">
      <c r="H32729" s="676"/>
      <c r="I32729" s="676"/>
      <c r="J32729" s="770"/>
    </row>
    <row r="32730" spans="8:10" x14ac:dyDescent="0.35">
      <c r="H32730" s="676"/>
      <c r="I32730" s="676"/>
      <c r="J32730" s="770"/>
    </row>
    <row r="32731" spans="8:10" x14ac:dyDescent="0.35">
      <c r="H32731" s="676"/>
      <c r="I32731" s="676"/>
      <c r="J32731" s="770"/>
    </row>
    <row r="32732" spans="8:10" x14ac:dyDescent="0.35">
      <c r="H32732" s="676"/>
      <c r="I32732" s="676"/>
      <c r="J32732" s="770"/>
    </row>
    <row r="32733" spans="8:10" x14ac:dyDescent="0.35">
      <c r="H32733" s="676"/>
      <c r="I32733" s="676"/>
      <c r="J32733" s="770"/>
    </row>
    <row r="32734" spans="8:10" x14ac:dyDescent="0.35">
      <c r="H32734" s="676"/>
      <c r="I32734" s="676"/>
      <c r="J32734" s="770"/>
    </row>
    <row r="32735" spans="8:10" x14ac:dyDescent="0.35">
      <c r="H32735" s="676"/>
      <c r="I32735" s="676"/>
      <c r="J32735" s="770"/>
    </row>
    <row r="32736" spans="8:10" x14ac:dyDescent="0.35">
      <c r="H32736" s="676"/>
      <c r="I32736" s="676"/>
      <c r="J32736" s="770"/>
    </row>
    <row r="32737" spans="8:10" x14ac:dyDescent="0.35">
      <c r="H32737" s="676"/>
      <c r="I32737" s="676"/>
      <c r="J32737" s="770"/>
    </row>
    <row r="32738" spans="8:10" x14ac:dyDescent="0.35">
      <c r="H32738" s="676"/>
      <c r="I32738" s="676"/>
      <c r="J32738" s="770"/>
    </row>
    <row r="32739" spans="8:10" x14ac:dyDescent="0.35">
      <c r="H32739" s="676"/>
      <c r="I32739" s="676"/>
      <c r="J32739" s="770"/>
    </row>
    <row r="32740" spans="8:10" x14ac:dyDescent="0.35">
      <c r="H32740" s="676"/>
      <c r="I32740" s="676"/>
      <c r="J32740" s="770"/>
    </row>
    <row r="32741" spans="8:10" x14ac:dyDescent="0.35">
      <c r="H32741" s="676"/>
      <c r="I32741" s="676"/>
      <c r="J32741" s="770"/>
    </row>
    <row r="32742" spans="8:10" x14ac:dyDescent="0.35">
      <c r="H32742" s="676"/>
      <c r="I32742" s="676"/>
      <c r="J32742" s="770"/>
    </row>
    <row r="32743" spans="8:10" x14ac:dyDescent="0.35">
      <c r="H32743" s="676"/>
      <c r="I32743" s="676"/>
      <c r="J32743" s="770"/>
    </row>
    <row r="32744" spans="8:10" x14ac:dyDescent="0.35">
      <c r="H32744" s="676"/>
      <c r="I32744" s="676"/>
      <c r="J32744" s="770"/>
    </row>
    <row r="32745" spans="8:10" x14ac:dyDescent="0.35">
      <c r="H32745" s="676"/>
      <c r="I32745" s="676"/>
      <c r="J32745" s="770"/>
    </row>
    <row r="32746" spans="8:10" x14ac:dyDescent="0.35">
      <c r="H32746" s="676"/>
      <c r="I32746" s="676"/>
      <c r="J32746" s="770"/>
    </row>
    <row r="32747" spans="8:10" x14ac:dyDescent="0.35">
      <c r="H32747" s="676"/>
      <c r="I32747" s="676"/>
      <c r="J32747" s="770"/>
    </row>
    <row r="32748" spans="8:10" x14ac:dyDescent="0.35">
      <c r="H32748" s="676"/>
      <c r="I32748" s="676"/>
      <c r="J32748" s="770"/>
    </row>
    <row r="32749" spans="8:10" x14ac:dyDescent="0.35">
      <c r="H32749" s="676"/>
      <c r="I32749" s="676"/>
      <c r="J32749" s="770"/>
    </row>
    <row r="32750" spans="8:10" x14ac:dyDescent="0.35">
      <c r="H32750" s="676"/>
      <c r="I32750" s="676"/>
      <c r="J32750" s="770"/>
    </row>
    <row r="32751" spans="8:10" x14ac:dyDescent="0.35">
      <c r="H32751" s="676"/>
      <c r="I32751" s="676"/>
      <c r="J32751" s="770"/>
    </row>
    <row r="32752" spans="8:10" x14ac:dyDescent="0.35">
      <c r="H32752" s="676"/>
      <c r="I32752" s="676"/>
      <c r="J32752" s="770"/>
    </row>
    <row r="32753" spans="8:10" x14ac:dyDescent="0.35">
      <c r="H32753" s="676"/>
      <c r="I32753" s="676"/>
      <c r="J32753" s="770"/>
    </row>
    <row r="32754" spans="8:10" x14ac:dyDescent="0.35">
      <c r="H32754" s="676"/>
      <c r="I32754" s="676"/>
      <c r="J32754" s="770"/>
    </row>
    <row r="32755" spans="8:10" x14ac:dyDescent="0.35">
      <c r="H32755" s="676"/>
      <c r="I32755" s="676"/>
      <c r="J32755" s="770"/>
    </row>
    <row r="32756" spans="8:10" x14ac:dyDescent="0.35">
      <c r="H32756" s="676"/>
      <c r="I32756" s="676"/>
      <c r="J32756" s="770"/>
    </row>
    <row r="32757" spans="8:10" x14ac:dyDescent="0.35">
      <c r="H32757" s="676"/>
      <c r="I32757" s="676"/>
      <c r="J32757" s="770"/>
    </row>
    <row r="32758" spans="8:10" x14ac:dyDescent="0.35">
      <c r="H32758" s="676"/>
      <c r="I32758" s="676"/>
      <c r="J32758" s="770"/>
    </row>
    <row r="32759" spans="8:10" x14ac:dyDescent="0.35">
      <c r="H32759" s="676"/>
      <c r="I32759" s="676"/>
      <c r="J32759" s="770"/>
    </row>
    <row r="32760" spans="8:10" x14ac:dyDescent="0.35">
      <c r="H32760" s="676"/>
      <c r="I32760" s="676"/>
      <c r="J32760" s="770"/>
    </row>
    <row r="32761" spans="8:10" x14ac:dyDescent="0.35">
      <c r="H32761" s="676"/>
      <c r="I32761" s="676"/>
      <c r="J32761" s="770"/>
    </row>
    <row r="32762" spans="8:10" x14ac:dyDescent="0.35">
      <c r="H32762" s="676"/>
      <c r="I32762" s="676"/>
      <c r="J32762" s="770"/>
    </row>
    <row r="32763" spans="8:10" x14ac:dyDescent="0.35">
      <c r="H32763" s="676"/>
      <c r="I32763" s="676"/>
      <c r="J32763" s="770"/>
    </row>
    <row r="32764" spans="8:10" x14ac:dyDescent="0.35">
      <c r="H32764" s="676"/>
      <c r="I32764" s="676"/>
      <c r="J32764" s="770"/>
    </row>
    <row r="32765" spans="8:10" x14ac:dyDescent="0.35">
      <c r="H32765" s="676"/>
      <c r="I32765" s="676"/>
      <c r="J32765" s="770"/>
    </row>
    <row r="32766" spans="8:10" x14ac:dyDescent="0.35">
      <c r="H32766" s="676"/>
      <c r="I32766" s="676"/>
      <c r="J32766" s="770"/>
    </row>
    <row r="32767" spans="8:10" x14ac:dyDescent="0.35">
      <c r="H32767" s="676"/>
      <c r="I32767" s="676"/>
      <c r="J32767" s="770"/>
    </row>
    <row r="32768" spans="8:10" x14ac:dyDescent="0.35">
      <c r="H32768" s="676"/>
      <c r="I32768" s="676"/>
      <c r="J32768" s="770"/>
    </row>
    <row r="32769" spans="8:10" x14ac:dyDescent="0.35">
      <c r="H32769" s="676"/>
      <c r="I32769" s="676"/>
      <c r="J32769" s="770"/>
    </row>
    <row r="32770" spans="8:10" x14ac:dyDescent="0.35">
      <c r="H32770" s="676"/>
      <c r="I32770" s="676"/>
      <c r="J32770" s="770"/>
    </row>
    <row r="32771" spans="8:10" x14ac:dyDescent="0.35">
      <c r="H32771" s="676"/>
      <c r="I32771" s="676"/>
      <c r="J32771" s="770"/>
    </row>
    <row r="32772" spans="8:10" x14ac:dyDescent="0.35">
      <c r="H32772" s="676"/>
      <c r="I32772" s="676"/>
      <c r="J32772" s="770"/>
    </row>
    <row r="32773" spans="8:10" x14ac:dyDescent="0.35">
      <c r="H32773" s="676"/>
      <c r="I32773" s="676"/>
      <c r="J32773" s="770"/>
    </row>
    <row r="32774" spans="8:10" x14ac:dyDescent="0.35">
      <c r="H32774" s="676"/>
      <c r="I32774" s="676"/>
      <c r="J32774" s="770"/>
    </row>
    <row r="32775" spans="8:10" x14ac:dyDescent="0.35">
      <c r="H32775" s="676"/>
      <c r="I32775" s="676"/>
      <c r="J32775" s="770"/>
    </row>
    <row r="32776" spans="8:10" x14ac:dyDescent="0.35">
      <c r="H32776" s="676"/>
      <c r="I32776" s="676"/>
      <c r="J32776" s="770"/>
    </row>
    <row r="32777" spans="8:10" x14ac:dyDescent="0.35">
      <c r="H32777" s="676"/>
      <c r="I32777" s="676"/>
      <c r="J32777" s="770"/>
    </row>
    <row r="32778" spans="8:10" x14ac:dyDescent="0.35">
      <c r="H32778" s="676"/>
      <c r="I32778" s="676"/>
      <c r="J32778" s="770"/>
    </row>
    <row r="32779" spans="8:10" x14ac:dyDescent="0.35">
      <c r="H32779" s="676"/>
      <c r="I32779" s="676"/>
      <c r="J32779" s="770"/>
    </row>
    <row r="32780" spans="8:10" x14ac:dyDescent="0.35">
      <c r="H32780" s="676"/>
      <c r="I32780" s="676"/>
      <c r="J32780" s="770"/>
    </row>
    <row r="32781" spans="8:10" x14ac:dyDescent="0.35">
      <c r="H32781" s="676"/>
      <c r="I32781" s="676"/>
      <c r="J32781" s="770"/>
    </row>
    <row r="32782" spans="8:10" x14ac:dyDescent="0.35">
      <c r="H32782" s="676"/>
      <c r="I32782" s="676"/>
      <c r="J32782" s="770"/>
    </row>
    <row r="32783" spans="8:10" x14ac:dyDescent="0.35">
      <c r="H32783" s="676"/>
      <c r="I32783" s="676"/>
      <c r="J32783" s="770"/>
    </row>
    <row r="32784" spans="8:10" x14ac:dyDescent="0.35">
      <c r="H32784" s="676"/>
      <c r="I32784" s="676"/>
      <c r="J32784" s="770"/>
    </row>
    <row r="32785" spans="8:10" x14ac:dyDescent="0.35">
      <c r="H32785" s="676"/>
      <c r="I32785" s="676"/>
      <c r="J32785" s="770"/>
    </row>
    <row r="32786" spans="8:10" x14ac:dyDescent="0.35">
      <c r="H32786" s="676"/>
      <c r="I32786" s="676"/>
      <c r="J32786" s="770"/>
    </row>
    <row r="32787" spans="8:10" x14ac:dyDescent="0.35">
      <c r="H32787" s="676"/>
      <c r="I32787" s="676"/>
      <c r="J32787" s="770"/>
    </row>
    <row r="32788" spans="8:10" x14ac:dyDescent="0.35">
      <c r="H32788" s="676"/>
      <c r="I32788" s="676"/>
      <c r="J32788" s="770"/>
    </row>
    <row r="32789" spans="8:10" x14ac:dyDescent="0.35">
      <c r="H32789" s="676"/>
      <c r="I32789" s="676"/>
      <c r="J32789" s="770"/>
    </row>
    <row r="32790" spans="8:10" x14ac:dyDescent="0.35">
      <c r="H32790" s="676"/>
      <c r="I32790" s="676"/>
      <c r="J32790" s="770"/>
    </row>
    <row r="32791" spans="8:10" x14ac:dyDescent="0.35">
      <c r="H32791" s="676"/>
      <c r="I32791" s="676"/>
      <c r="J32791" s="770"/>
    </row>
    <row r="32792" spans="8:10" x14ac:dyDescent="0.35">
      <c r="H32792" s="676"/>
      <c r="I32792" s="676"/>
      <c r="J32792" s="770"/>
    </row>
    <row r="32793" spans="8:10" x14ac:dyDescent="0.35">
      <c r="H32793" s="676"/>
      <c r="I32793" s="676"/>
      <c r="J32793" s="770"/>
    </row>
    <row r="32794" spans="8:10" x14ac:dyDescent="0.35">
      <c r="H32794" s="676"/>
      <c r="I32794" s="676"/>
      <c r="J32794" s="770"/>
    </row>
    <row r="32795" spans="8:10" x14ac:dyDescent="0.35">
      <c r="H32795" s="676"/>
      <c r="I32795" s="676"/>
      <c r="J32795" s="770"/>
    </row>
    <row r="32796" spans="8:10" x14ac:dyDescent="0.35">
      <c r="H32796" s="676"/>
      <c r="I32796" s="676"/>
      <c r="J32796" s="770"/>
    </row>
    <row r="32797" spans="8:10" x14ac:dyDescent="0.35">
      <c r="H32797" s="676"/>
      <c r="I32797" s="676"/>
      <c r="J32797" s="770"/>
    </row>
    <row r="32798" spans="8:10" x14ac:dyDescent="0.35">
      <c r="H32798" s="676"/>
      <c r="I32798" s="676"/>
      <c r="J32798" s="770"/>
    </row>
    <row r="32799" spans="8:10" x14ac:dyDescent="0.35">
      <c r="H32799" s="676"/>
      <c r="I32799" s="676"/>
      <c r="J32799" s="770"/>
    </row>
    <row r="32800" spans="8:10" x14ac:dyDescent="0.35">
      <c r="H32800" s="676"/>
      <c r="I32800" s="676"/>
      <c r="J32800" s="770"/>
    </row>
    <row r="32801" spans="8:10" x14ac:dyDescent="0.35">
      <c r="H32801" s="676"/>
      <c r="I32801" s="676"/>
      <c r="J32801" s="770"/>
    </row>
    <row r="32802" spans="8:10" x14ac:dyDescent="0.35">
      <c r="H32802" s="676"/>
      <c r="I32802" s="676"/>
      <c r="J32802" s="770"/>
    </row>
    <row r="32803" spans="8:10" x14ac:dyDescent="0.35">
      <c r="H32803" s="676"/>
      <c r="I32803" s="676"/>
      <c r="J32803" s="770"/>
    </row>
    <row r="32804" spans="8:10" x14ac:dyDescent="0.35">
      <c r="H32804" s="676"/>
      <c r="I32804" s="676"/>
      <c r="J32804" s="770"/>
    </row>
    <row r="32805" spans="8:10" x14ac:dyDescent="0.35">
      <c r="H32805" s="676"/>
      <c r="I32805" s="676"/>
      <c r="J32805" s="770"/>
    </row>
    <row r="32806" spans="8:10" x14ac:dyDescent="0.35">
      <c r="H32806" s="676"/>
      <c r="I32806" s="676"/>
      <c r="J32806" s="770"/>
    </row>
    <row r="32807" spans="8:10" x14ac:dyDescent="0.35">
      <c r="H32807" s="676"/>
      <c r="I32807" s="676"/>
      <c r="J32807" s="770"/>
    </row>
    <row r="32808" spans="8:10" x14ac:dyDescent="0.35">
      <c r="H32808" s="676"/>
      <c r="I32808" s="676"/>
      <c r="J32808" s="770"/>
    </row>
    <row r="32809" spans="8:10" x14ac:dyDescent="0.35">
      <c r="H32809" s="676"/>
      <c r="I32809" s="676"/>
      <c r="J32809" s="770"/>
    </row>
    <row r="32810" spans="8:10" x14ac:dyDescent="0.35">
      <c r="H32810" s="676"/>
      <c r="I32810" s="676"/>
      <c r="J32810" s="770"/>
    </row>
    <row r="32811" spans="8:10" x14ac:dyDescent="0.35">
      <c r="H32811" s="676"/>
      <c r="I32811" s="676"/>
      <c r="J32811" s="770"/>
    </row>
    <row r="32812" spans="8:10" x14ac:dyDescent="0.35">
      <c r="H32812" s="676"/>
      <c r="I32812" s="676"/>
      <c r="J32812" s="770"/>
    </row>
    <row r="32813" spans="8:10" x14ac:dyDescent="0.35">
      <c r="H32813" s="676"/>
      <c r="I32813" s="676"/>
      <c r="J32813" s="770"/>
    </row>
    <row r="32814" spans="8:10" x14ac:dyDescent="0.35">
      <c r="H32814" s="676"/>
      <c r="I32814" s="676"/>
      <c r="J32814" s="770"/>
    </row>
    <row r="32815" spans="8:10" x14ac:dyDescent="0.35">
      <c r="H32815" s="676"/>
      <c r="I32815" s="676"/>
      <c r="J32815" s="770"/>
    </row>
    <row r="32816" spans="8:10" x14ac:dyDescent="0.35">
      <c r="H32816" s="676"/>
      <c r="I32816" s="676"/>
      <c r="J32816" s="770"/>
    </row>
    <row r="32817" spans="8:10" x14ac:dyDescent="0.35">
      <c r="H32817" s="676"/>
      <c r="I32817" s="676"/>
      <c r="J32817" s="770"/>
    </row>
    <row r="32818" spans="8:10" x14ac:dyDescent="0.35">
      <c r="H32818" s="676"/>
      <c r="I32818" s="676"/>
      <c r="J32818" s="770"/>
    </row>
    <row r="32819" spans="8:10" x14ac:dyDescent="0.35">
      <c r="H32819" s="676"/>
      <c r="I32819" s="676"/>
      <c r="J32819" s="770"/>
    </row>
    <row r="32820" spans="8:10" x14ac:dyDescent="0.35">
      <c r="H32820" s="676"/>
      <c r="I32820" s="676"/>
      <c r="J32820" s="770"/>
    </row>
    <row r="32821" spans="8:10" x14ac:dyDescent="0.35">
      <c r="H32821" s="676"/>
      <c r="I32821" s="676"/>
      <c r="J32821" s="770"/>
    </row>
    <row r="32822" spans="8:10" x14ac:dyDescent="0.35">
      <c r="H32822" s="676"/>
      <c r="I32822" s="676"/>
      <c r="J32822" s="770"/>
    </row>
    <row r="32823" spans="8:10" x14ac:dyDescent="0.35">
      <c r="H32823" s="676"/>
      <c r="I32823" s="676"/>
      <c r="J32823" s="770"/>
    </row>
    <row r="32824" spans="8:10" x14ac:dyDescent="0.35">
      <c r="H32824" s="676"/>
      <c r="I32824" s="676"/>
      <c r="J32824" s="770"/>
    </row>
    <row r="32825" spans="8:10" x14ac:dyDescent="0.35">
      <c r="H32825" s="676"/>
      <c r="I32825" s="676"/>
      <c r="J32825" s="770"/>
    </row>
    <row r="32826" spans="8:10" x14ac:dyDescent="0.35">
      <c r="H32826" s="676"/>
      <c r="I32826" s="676"/>
      <c r="J32826" s="770"/>
    </row>
    <row r="32827" spans="8:10" x14ac:dyDescent="0.35">
      <c r="H32827" s="676"/>
      <c r="I32827" s="676"/>
      <c r="J32827" s="770"/>
    </row>
    <row r="32828" spans="8:10" x14ac:dyDescent="0.35">
      <c r="H32828" s="676"/>
      <c r="I32828" s="676"/>
      <c r="J32828" s="770"/>
    </row>
    <row r="32829" spans="8:10" x14ac:dyDescent="0.35">
      <c r="H32829" s="676"/>
      <c r="I32829" s="676"/>
      <c r="J32829" s="770"/>
    </row>
    <row r="32830" spans="8:10" x14ac:dyDescent="0.35">
      <c r="H32830" s="676"/>
      <c r="I32830" s="676"/>
      <c r="J32830" s="770"/>
    </row>
    <row r="32831" spans="8:10" x14ac:dyDescent="0.35">
      <c r="H32831" s="676"/>
      <c r="I32831" s="676"/>
      <c r="J32831" s="770"/>
    </row>
    <row r="32832" spans="8:10" x14ac:dyDescent="0.35">
      <c r="H32832" s="676"/>
      <c r="I32832" s="676"/>
      <c r="J32832" s="770"/>
    </row>
    <row r="32833" spans="8:10" x14ac:dyDescent="0.35">
      <c r="H32833" s="676"/>
      <c r="I32833" s="676"/>
      <c r="J32833" s="770"/>
    </row>
    <row r="32834" spans="8:10" x14ac:dyDescent="0.35">
      <c r="H32834" s="676"/>
      <c r="I32834" s="676"/>
      <c r="J32834" s="770"/>
    </row>
    <row r="32835" spans="8:10" x14ac:dyDescent="0.35">
      <c r="H32835" s="676"/>
      <c r="I32835" s="676"/>
      <c r="J32835" s="770"/>
    </row>
    <row r="32836" spans="8:10" x14ac:dyDescent="0.35">
      <c r="H32836" s="676"/>
      <c r="I32836" s="676"/>
      <c r="J32836" s="770"/>
    </row>
    <row r="32837" spans="8:10" x14ac:dyDescent="0.35">
      <c r="H32837" s="676"/>
      <c r="I32837" s="676"/>
      <c r="J32837" s="770"/>
    </row>
    <row r="32838" spans="8:10" x14ac:dyDescent="0.35">
      <c r="H32838" s="676"/>
      <c r="I32838" s="676"/>
      <c r="J32838" s="770"/>
    </row>
    <row r="32839" spans="8:10" x14ac:dyDescent="0.35">
      <c r="H32839" s="676"/>
      <c r="I32839" s="676"/>
      <c r="J32839" s="770"/>
    </row>
    <row r="32840" spans="8:10" x14ac:dyDescent="0.35">
      <c r="H32840" s="676"/>
      <c r="I32840" s="676"/>
      <c r="J32840" s="770"/>
    </row>
    <row r="32841" spans="8:10" x14ac:dyDescent="0.35">
      <c r="H32841" s="676"/>
      <c r="I32841" s="676"/>
      <c r="J32841" s="770"/>
    </row>
    <row r="32842" spans="8:10" x14ac:dyDescent="0.35">
      <c r="H32842" s="676"/>
      <c r="I32842" s="676"/>
      <c r="J32842" s="770"/>
    </row>
    <row r="32843" spans="8:10" x14ac:dyDescent="0.35">
      <c r="H32843" s="676"/>
      <c r="I32843" s="676"/>
      <c r="J32843" s="770"/>
    </row>
    <row r="32844" spans="8:10" x14ac:dyDescent="0.35">
      <c r="H32844" s="676"/>
      <c r="I32844" s="676"/>
      <c r="J32844" s="770"/>
    </row>
    <row r="32845" spans="8:10" x14ac:dyDescent="0.35">
      <c r="H32845" s="676"/>
      <c r="I32845" s="676"/>
      <c r="J32845" s="770"/>
    </row>
    <row r="32846" spans="8:10" x14ac:dyDescent="0.35">
      <c r="H32846" s="676"/>
      <c r="I32846" s="676"/>
      <c r="J32846" s="770"/>
    </row>
    <row r="32847" spans="8:10" x14ac:dyDescent="0.35">
      <c r="H32847" s="676"/>
      <c r="I32847" s="676"/>
      <c r="J32847" s="770"/>
    </row>
    <row r="32848" spans="8:10" x14ac:dyDescent="0.35">
      <c r="H32848" s="676"/>
      <c r="I32848" s="676"/>
      <c r="J32848" s="770"/>
    </row>
    <row r="32849" spans="8:10" x14ac:dyDescent="0.35">
      <c r="H32849" s="676"/>
      <c r="I32849" s="676"/>
      <c r="J32849" s="770"/>
    </row>
    <row r="32850" spans="8:10" x14ac:dyDescent="0.35">
      <c r="H32850" s="676"/>
      <c r="I32850" s="676"/>
      <c r="J32850" s="770"/>
    </row>
    <row r="32851" spans="8:10" x14ac:dyDescent="0.35">
      <c r="H32851" s="676"/>
      <c r="I32851" s="676"/>
      <c r="J32851" s="770"/>
    </row>
    <row r="32852" spans="8:10" x14ac:dyDescent="0.35">
      <c r="H32852" s="676"/>
      <c r="I32852" s="676"/>
      <c r="J32852" s="770"/>
    </row>
    <row r="32853" spans="8:10" x14ac:dyDescent="0.35">
      <c r="H32853" s="676"/>
      <c r="I32853" s="676"/>
      <c r="J32853" s="770"/>
    </row>
    <row r="32854" spans="8:10" x14ac:dyDescent="0.35">
      <c r="H32854" s="676"/>
      <c r="I32854" s="676"/>
      <c r="J32854" s="770"/>
    </row>
    <row r="32855" spans="8:10" x14ac:dyDescent="0.35">
      <c r="H32855" s="676"/>
      <c r="I32855" s="676"/>
      <c r="J32855" s="770"/>
    </row>
    <row r="32856" spans="8:10" x14ac:dyDescent="0.35">
      <c r="H32856" s="676"/>
      <c r="I32856" s="676"/>
      <c r="J32856" s="770"/>
    </row>
    <row r="32857" spans="8:10" x14ac:dyDescent="0.35">
      <c r="H32857" s="676"/>
      <c r="I32857" s="676"/>
      <c r="J32857" s="770"/>
    </row>
    <row r="32858" spans="8:10" x14ac:dyDescent="0.35">
      <c r="H32858" s="676"/>
      <c r="I32858" s="676"/>
      <c r="J32858" s="770"/>
    </row>
    <row r="32859" spans="8:10" x14ac:dyDescent="0.35">
      <c r="H32859" s="676"/>
      <c r="I32859" s="676"/>
      <c r="J32859" s="770"/>
    </row>
    <row r="32860" spans="8:10" x14ac:dyDescent="0.35">
      <c r="H32860" s="676"/>
      <c r="I32860" s="676"/>
      <c r="J32860" s="770"/>
    </row>
    <row r="32861" spans="8:10" x14ac:dyDescent="0.35">
      <c r="H32861" s="676"/>
      <c r="I32861" s="676"/>
      <c r="J32861" s="770"/>
    </row>
    <row r="32862" spans="8:10" x14ac:dyDescent="0.35">
      <c r="H32862" s="676"/>
      <c r="I32862" s="676"/>
      <c r="J32862" s="770"/>
    </row>
    <row r="32863" spans="8:10" x14ac:dyDescent="0.35">
      <c r="H32863" s="676"/>
      <c r="I32863" s="676"/>
      <c r="J32863" s="770"/>
    </row>
    <row r="32864" spans="8:10" x14ac:dyDescent="0.35">
      <c r="H32864" s="676"/>
      <c r="I32864" s="676"/>
      <c r="J32864" s="770"/>
    </row>
    <row r="32865" spans="8:10" x14ac:dyDescent="0.35">
      <c r="H32865" s="676"/>
      <c r="I32865" s="676"/>
      <c r="J32865" s="770"/>
    </row>
    <row r="32866" spans="8:10" x14ac:dyDescent="0.35">
      <c r="H32866" s="676"/>
      <c r="I32866" s="676"/>
      <c r="J32866" s="770"/>
    </row>
    <row r="32867" spans="8:10" x14ac:dyDescent="0.35">
      <c r="H32867" s="676"/>
      <c r="I32867" s="676"/>
      <c r="J32867" s="770"/>
    </row>
    <row r="32868" spans="8:10" x14ac:dyDescent="0.35">
      <c r="H32868" s="676"/>
      <c r="I32868" s="676"/>
      <c r="J32868" s="770"/>
    </row>
    <row r="32869" spans="8:10" x14ac:dyDescent="0.35">
      <c r="H32869" s="676"/>
      <c r="I32869" s="676"/>
      <c r="J32869" s="770"/>
    </row>
    <row r="32870" spans="8:10" x14ac:dyDescent="0.35">
      <c r="H32870" s="676"/>
      <c r="I32870" s="676"/>
      <c r="J32870" s="770"/>
    </row>
    <row r="32871" spans="8:10" x14ac:dyDescent="0.35">
      <c r="H32871" s="676"/>
      <c r="I32871" s="676"/>
      <c r="J32871" s="770"/>
    </row>
    <row r="32872" spans="8:10" x14ac:dyDescent="0.35">
      <c r="H32872" s="676"/>
      <c r="I32872" s="676"/>
      <c r="J32872" s="770"/>
    </row>
    <row r="32873" spans="8:10" x14ac:dyDescent="0.35">
      <c r="H32873" s="676"/>
      <c r="I32873" s="676"/>
      <c r="J32873" s="770"/>
    </row>
    <row r="32874" spans="8:10" x14ac:dyDescent="0.35">
      <c r="H32874" s="676"/>
      <c r="I32874" s="676"/>
      <c r="J32874" s="770"/>
    </row>
    <row r="32875" spans="8:10" x14ac:dyDescent="0.35">
      <c r="H32875" s="676"/>
      <c r="I32875" s="676"/>
      <c r="J32875" s="770"/>
    </row>
    <row r="32876" spans="8:10" x14ac:dyDescent="0.35">
      <c r="H32876" s="676"/>
      <c r="I32876" s="676"/>
      <c r="J32876" s="770"/>
    </row>
    <row r="32877" spans="8:10" x14ac:dyDescent="0.35">
      <c r="H32877" s="676"/>
      <c r="I32877" s="676"/>
      <c r="J32877" s="770"/>
    </row>
    <row r="32878" spans="8:10" x14ac:dyDescent="0.35">
      <c r="H32878" s="676"/>
      <c r="I32878" s="676"/>
      <c r="J32878" s="770"/>
    </row>
    <row r="32879" spans="8:10" x14ac:dyDescent="0.35">
      <c r="H32879" s="676"/>
      <c r="I32879" s="676"/>
      <c r="J32879" s="770"/>
    </row>
    <row r="32880" spans="8:10" x14ac:dyDescent="0.35">
      <c r="H32880" s="676"/>
      <c r="I32880" s="676"/>
      <c r="J32880" s="770"/>
    </row>
    <row r="32881" spans="8:10" x14ac:dyDescent="0.35">
      <c r="H32881" s="676"/>
      <c r="I32881" s="676"/>
      <c r="J32881" s="770"/>
    </row>
    <row r="32882" spans="8:10" x14ac:dyDescent="0.35">
      <c r="H32882" s="676"/>
      <c r="I32882" s="676"/>
      <c r="J32882" s="770"/>
    </row>
    <row r="32883" spans="8:10" x14ac:dyDescent="0.35">
      <c r="H32883" s="676"/>
      <c r="I32883" s="676"/>
      <c r="J32883" s="770"/>
    </row>
    <row r="32884" spans="8:10" x14ac:dyDescent="0.35">
      <c r="H32884" s="676"/>
      <c r="I32884" s="676"/>
      <c r="J32884" s="770"/>
    </row>
    <row r="32885" spans="8:10" x14ac:dyDescent="0.35">
      <c r="H32885" s="676"/>
      <c r="I32885" s="676"/>
      <c r="J32885" s="770"/>
    </row>
    <row r="32886" spans="8:10" x14ac:dyDescent="0.35">
      <c r="H32886" s="676"/>
      <c r="I32886" s="676"/>
      <c r="J32886" s="770"/>
    </row>
    <row r="32887" spans="8:10" x14ac:dyDescent="0.35">
      <c r="H32887" s="676"/>
      <c r="I32887" s="676"/>
      <c r="J32887" s="770"/>
    </row>
    <row r="32888" spans="8:10" x14ac:dyDescent="0.35">
      <c r="H32888" s="676"/>
      <c r="I32888" s="676"/>
      <c r="J32888" s="770"/>
    </row>
    <row r="32889" spans="8:10" x14ac:dyDescent="0.35">
      <c r="H32889" s="676"/>
      <c r="I32889" s="676"/>
      <c r="J32889" s="770"/>
    </row>
    <row r="32890" spans="8:10" x14ac:dyDescent="0.35">
      <c r="H32890" s="676"/>
      <c r="I32890" s="676"/>
      <c r="J32890" s="770"/>
    </row>
    <row r="32891" spans="8:10" x14ac:dyDescent="0.35">
      <c r="H32891" s="676"/>
      <c r="I32891" s="676"/>
      <c r="J32891" s="770"/>
    </row>
    <row r="32892" spans="8:10" x14ac:dyDescent="0.35">
      <c r="H32892" s="676"/>
      <c r="I32892" s="676"/>
      <c r="J32892" s="770"/>
    </row>
    <row r="32893" spans="8:10" x14ac:dyDescent="0.35">
      <c r="H32893" s="676"/>
      <c r="I32893" s="676"/>
      <c r="J32893" s="770"/>
    </row>
    <row r="32894" spans="8:10" x14ac:dyDescent="0.35">
      <c r="H32894" s="676"/>
      <c r="I32894" s="676"/>
      <c r="J32894" s="770"/>
    </row>
    <row r="32895" spans="8:10" x14ac:dyDescent="0.35">
      <c r="H32895" s="676"/>
      <c r="I32895" s="676"/>
      <c r="J32895" s="770"/>
    </row>
    <row r="32896" spans="8:10" x14ac:dyDescent="0.35">
      <c r="H32896" s="676"/>
      <c r="I32896" s="676"/>
      <c r="J32896" s="770"/>
    </row>
    <row r="32897" spans="8:10" x14ac:dyDescent="0.35">
      <c r="H32897" s="676"/>
      <c r="I32897" s="676"/>
      <c r="J32897" s="770"/>
    </row>
    <row r="32898" spans="8:10" x14ac:dyDescent="0.35">
      <c r="H32898" s="676"/>
      <c r="I32898" s="676"/>
      <c r="J32898" s="770"/>
    </row>
    <row r="32899" spans="8:10" x14ac:dyDescent="0.35">
      <c r="H32899" s="676"/>
      <c r="I32899" s="676"/>
      <c r="J32899" s="770"/>
    </row>
    <row r="32900" spans="8:10" x14ac:dyDescent="0.35">
      <c r="H32900" s="676"/>
      <c r="I32900" s="676"/>
      <c r="J32900" s="770"/>
    </row>
    <row r="32901" spans="8:10" x14ac:dyDescent="0.35">
      <c r="H32901" s="676"/>
      <c r="I32901" s="676"/>
      <c r="J32901" s="770"/>
    </row>
    <row r="32902" spans="8:10" x14ac:dyDescent="0.35">
      <c r="H32902" s="676"/>
      <c r="I32902" s="676"/>
      <c r="J32902" s="770"/>
    </row>
    <row r="32903" spans="8:10" x14ac:dyDescent="0.35">
      <c r="H32903" s="676"/>
      <c r="I32903" s="676"/>
      <c r="J32903" s="770"/>
    </row>
    <row r="32904" spans="8:10" x14ac:dyDescent="0.35">
      <c r="H32904" s="676"/>
      <c r="I32904" s="676"/>
      <c r="J32904" s="770"/>
    </row>
    <row r="32905" spans="8:10" x14ac:dyDescent="0.35">
      <c r="H32905" s="676"/>
      <c r="I32905" s="676"/>
      <c r="J32905" s="770"/>
    </row>
    <row r="32906" spans="8:10" x14ac:dyDescent="0.35">
      <c r="H32906" s="676"/>
      <c r="I32906" s="676"/>
      <c r="J32906" s="770"/>
    </row>
    <row r="32907" spans="8:10" x14ac:dyDescent="0.35">
      <c r="H32907" s="676"/>
      <c r="I32907" s="676"/>
      <c r="J32907" s="770"/>
    </row>
    <row r="32908" spans="8:10" x14ac:dyDescent="0.35">
      <c r="H32908" s="676"/>
      <c r="I32908" s="676"/>
      <c r="J32908" s="770"/>
    </row>
    <row r="32909" spans="8:10" x14ac:dyDescent="0.35">
      <c r="H32909" s="676"/>
      <c r="I32909" s="676"/>
      <c r="J32909" s="770"/>
    </row>
    <row r="32910" spans="8:10" x14ac:dyDescent="0.35">
      <c r="H32910" s="676"/>
      <c r="I32910" s="676"/>
      <c r="J32910" s="770"/>
    </row>
    <row r="32911" spans="8:10" x14ac:dyDescent="0.35">
      <c r="H32911" s="676"/>
      <c r="I32911" s="676"/>
      <c r="J32911" s="770"/>
    </row>
    <row r="32912" spans="8:10" x14ac:dyDescent="0.35">
      <c r="H32912" s="676"/>
      <c r="I32912" s="676"/>
      <c r="J32912" s="770"/>
    </row>
    <row r="32913" spans="8:10" x14ac:dyDescent="0.35">
      <c r="H32913" s="676"/>
      <c r="I32913" s="676"/>
      <c r="J32913" s="770"/>
    </row>
    <row r="32914" spans="8:10" x14ac:dyDescent="0.35">
      <c r="H32914" s="676"/>
      <c r="I32914" s="676"/>
      <c r="J32914" s="770"/>
    </row>
    <row r="32915" spans="8:10" x14ac:dyDescent="0.35">
      <c r="H32915" s="676"/>
      <c r="I32915" s="676"/>
      <c r="J32915" s="770"/>
    </row>
    <row r="32916" spans="8:10" x14ac:dyDescent="0.35">
      <c r="H32916" s="676"/>
      <c r="I32916" s="676"/>
      <c r="J32916" s="770"/>
    </row>
    <row r="32917" spans="8:10" x14ac:dyDescent="0.35">
      <c r="H32917" s="676"/>
      <c r="I32917" s="676"/>
      <c r="J32917" s="770"/>
    </row>
    <row r="32918" spans="8:10" x14ac:dyDescent="0.35">
      <c r="H32918" s="676"/>
      <c r="I32918" s="676"/>
      <c r="J32918" s="770"/>
    </row>
    <row r="32919" spans="8:10" x14ac:dyDescent="0.35">
      <c r="H32919" s="676"/>
      <c r="I32919" s="676"/>
      <c r="J32919" s="770"/>
    </row>
    <row r="32920" spans="8:10" x14ac:dyDescent="0.35">
      <c r="H32920" s="676"/>
      <c r="I32920" s="676"/>
      <c r="J32920" s="770"/>
    </row>
    <row r="32921" spans="8:10" x14ac:dyDescent="0.35">
      <c r="H32921" s="676"/>
      <c r="I32921" s="676"/>
      <c r="J32921" s="770"/>
    </row>
    <row r="32922" spans="8:10" x14ac:dyDescent="0.35">
      <c r="H32922" s="676"/>
      <c r="I32922" s="676"/>
      <c r="J32922" s="770"/>
    </row>
    <row r="32923" spans="8:10" x14ac:dyDescent="0.35">
      <c r="H32923" s="676"/>
      <c r="I32923" s="676"/>
      <c r="J32923" s="770"/>
    </row>
    <row r="32924" spans="8:10" x14ac:dyDescent="0.35">
      <c r="H32924" s="676"/>
      <c r="I32924" s="676"/>
      <c r="J32924" s="770"/>
    </row>
    <row r="32925" spans="8:10" x14ac:dyDescent="0.35">
      <c r="H32925" s="676"/>
      <c r="I32925" s="676"/>
      <c r="J32925" s="770"/>
    </row>
    <row r="32926" spans="8:10" x14ac:dyDescent="0.35">
      <c r="H32926" s="676"/>
      <c r="I32926" s="676"/>
      <c r="J32926" s="770"/>
    </row>
    <row r="32927" spans="8:10" x14ac:dyDescent="0.35">
      <c r="H32927" s="676"/>
      <c r="I32927" s="676"/>
      <c r="J32927" s="770"/>
    </row>
    <row r="32928" spans="8:10" x14ac:dyDescent="0.35">
      <c r="H32928" s="676"/>
      <c r="I32928" s="676"/>
      <c r="J32928" s="770"/>
    </row>
    <row r="32929" spans="8:10" x14ac:dyDescent="0.35">
      <c r="H32929" s="676"/>
      <c r="I32929" s="676"/>
      <c r="J32929" s="770"/>
    </row>
    <row r="32930" spans="8:10" x14ac:dyDescent="0.35">
      <c r="H32930" s="676"/>
      <c r="I32930" s="676"/>
      <c r="J32930" s="770"/>
    </row>
    <row r="32931" spans="8:10" x14ac:dyDescent="0.35">
      <c r="H32931" s="676"/>
      <c r="I32931" s="676"/>
      <c r="J32931" s="770"/>
    </row>
    <row r="32932" spans="8:10" x14ac:dyDescent="0.35">
      <c r="H32932" s="676"/>
      <c r="I32932" s="676"/>
      <c r="J32932" s="770"/>
    </row>
    <row r="32933" spans="8:10" x14ac:dyDescent="0.35">
      <c r="H32933" s="676"/>
      <c r="I32933" s="676"/>
      <c r="J32933" s="770"/>
    </row>
    <row r="32934" spans="8:10" x14ac:dyDescent="0.35">
      <c r="H32934" s="676"/>
      <c r="I32934" s="676"/>
      <c r="J32934" s="770"/>
    </row>
    <row r="32935" spans="8:10" x14ac:dyDescent="0.35">
      <c r="H32935" s="676"/>
      <c r="I32935" s="676"/>
      <c r="J32935" s="770"/>
    </row>
    <row r="32936" spans="8:10" x14ac:dyDescent="0.35">
      <c r="H32936" s="676"/>
      <c r="I32936" s="676"/>
      <c r="J32936" s="770"/>
    </row>
    <row r="32937" spans="8:10" x14ac:dyDescent="0.35">
      <c r="H32937" s="676"/>
      <c r="I32937" s="676"/>
      <c r="J32937" s="770"/>
    </row>
    <row r="32938" spans="8:10" x14ac:dyDescent="0.35">
      <c r="H32938" s="676"/>
      <c r="I32938" s="676"/>
      <c r="J32938" s="770"/>
    </row>
    <row r="32939" spans="8:10" x14ac:dyDescent="0.35">
      <c r="H32939" s="676"/>
      <c r="I32939" s="676"/>
      <c r="J32939" s="770"/>
    </row>
    <row r="32940" spans="8:10" x14ac:dyDescent="0.35">
      <c r="H32940" s="676"/>
      <c r="I32940" s="676"/>
      <c r="J32940" s="770"/>
    </row>
    <row r="32941" spans="8:10" x14ac:dyDescent="0.35">
      <c r="H32941" s="676"/>
      <c r="I32941" s="676"/>
      <c r="J32941" s="770"/>
    </row>
    <row r="32942" spans="8:10" x14ac:dyDescent="0.35">
      <c r="H32942" s="676"/>
      <c r="I32942" s="676"/>
      <c r="J32942" s="770"/>
    </row>
    <row r="32943" spans="8:10" x14ac:dyDescent="0.35">
      <c r="H32943" s="676"/>
      <c r="I32943" s="676"/>
      <c r="J32943" s="770"/>
    </row>
    <row r="32944" spans="8:10" x14ac:dyDescent="0.35">
      <c r="H32944" s="676"/>
      <c r="I32944" s="676"/>
      <c r="J32944" s="770"/>
    </row>
    <row r="32945" spans="8:10" x14ac:dyDescent="0.35">
      <c r="H32945" s="676"/>
      <c r="I32945" s="676"/>
      <c r="J32945" s="770"/>
    </row>
    <row r="32946" spans="8:10" x14ac:dyDescent="0.35">
      <c r="H32946" s="676"/>
      <c r="I32946" s="676"/>
      <c r="J32946" s="770"/>
    </row>
    <row r="32947" spans="8:10" x14ac:dyDescent="0.35">
      <c r="H32947" s="676"/>
      <c r="I32947" s="676"/>
      <c r="J32947" s="770"/>
    </row>
    <row r="32948" spans="8:10" x14ac:dyDescent="0.35">
      <c r="H32948" s="676"/>
      <c r="I32948" s="676"/>
      <c r="J32948" s="770"/>
    </row>
    <row r="32949" spans="8:10" x14ac:dyDescent="0.35">
      <c r="H32949" s="676"/>
      <c r="I32949" s="676"/>
      <c r="J32949" s="770"/>
    </row>
    <row r="32950" spans="8:10" x14ac:dyDescent="0.35">
      <c r="H32950" s="676"/>
      <c r="I32950" s="676"/>
      <c r="J32950" s="770"/>
    </row>
    <row r="32951" spans="8:10" x14ac:dyDescent="0.35">
      <c r="H32951" s="676"/>
      <c r="I32951" s="676"/>
      <c r="J32951" s="770"/>
    </row>
    <row r="32952" spans="8:10" x14ac:dyDescent="0.35">
      <c r="H32952" s="676"/>
      <c r="I32952" s="676"/>
      <c r="J32952" s="770"/>
    </row>
    <row r="32953" spans="8:10" x14ac:dyDescent="0.35">
      <c r="H32953" s="676"/>
      <c r="I32953" s="676"/>
      <c r="J32953" s="770"/>
    </row>
    <row r="32954" spans="8:10" x14ac:dyDescent="0.35">
      <c r="H32954" s="676"/>
      <c r="I32954" s="676"/>
      <c r="J32954" s="770"/>
    </row>
    <row r="32955" spans="8:10" x14ac:dyDescent="0.35">
      <c r="H32955" s="676"/>
      <c r="I32955" s="676"/>
      <c r="J32955" s="770"/>
    </row>
    <row r="32956" spans="8:10" x14ac:dyDescent="0.35">
      <c r="H32956" s="676"/>
      <c r="I32956" s="676"/>
      <c r="J32956" s="770"/>
    </row>
    <row r="32957" spans="8:10" x14ac:dyDescent="0.35">
      <c r="H32957" s="676"/>
      <c r="I32957" s="676"/>
      <c r="J32957" s="770"/>
    </row>
    <row r="32958" spans="8:10" x14ac:dyDescent="0.35">
      <c r="H32958" s="676"/>
      <c r="I32958" s="676"/>
      <c r="J32958" s="770"/>
    </row>
    <row r="32959" spans="8:10" x14ac:dyDescent="0.35">
      <c r="H32959" s="676"/>
      <c r="I32959" s="676"/>
      <c r="J32959" s="770"/>
    </row>
    <row r="32960" spans="8:10" x14ac:dyDescent="0.35">
      <c r="H32960" s="676"/>
      <c r="I32960" s="676"/>
      <c r="J32960" s="770"/>
    </row>
    <row r="32961" spans="8:10" x14ac:dyDescent="0.35">
      <c r="H32961" s="676"/>
      <c r="I32961" s="676"/>
      <c r="J32961" s="770"/>
    </row>
    <row r="32962" spans="8:10" x14ac:dyDescent="0.35">
      <c r="H32962" s="676"/>
      <c r="I32962" s="676"/>
      <c r="J32962" s="770"/>
    </row>
    <row r="32963" spans="8:10" x14ac:dyDescent="0.35">
      <c r="H32963" s="676"/>
      <c r="I32963" s="676"/>
      <c r="J32963" s="770"/>
    </row>
    <row r="32964" spans="8:10" x14ac:dyDescent="0.35">
      <c r="H32964" s="676"/>
      <c r="I32964" s="676"/>
      <c r="J32964" s="770"/>
    </row>
    <row r="32965" spans="8:10" x14ac:dyDescent="0.35">
      <c r="H32965" s="676"/>
      <c r="I32965" s="676"/>
      <c r="J32965" s="770"/>
    </row>
    <row r="32966" spans="8:10" x14ac:dyDescent="0.35">
      <c r="H32966" s="676"/>
      <c r="I32966" s="676"/>
      <c r="J32966" s="770"/>
    </row>
    <row r="32967" spans="8:10" x14ac:dyDescent="0.35">
      <c r="H32967" s="676"/>
      <c r="I32967" s="676"/>
      <c r="J32967" s="770"/>
    </row>
    <row r="32968" spans="8:10" x14ac:dyDescent="0.35">
      <c r="H32968" s="676"/>
      <c r="I32968" s="676"/>
      <c r="J32968" s="770"/>
    </row>
    <row r="32969" spans="8:10" x14ac:dyDescent="0.35">
      <c r="H32969" s="676"/>
      <c r="I32969" s="676"/>
      <c r="J32969" s="770"/>
    </row>
    <row r="32970" spans="8:10" x14ac:dyDescent="0.35">
      <c r="H32970" s="676"/>
      <c r="I32970" s="676"/>
      <c r="J32970" s="770"/>
    </row>
    <row r="32971" spans="8:10" x14ac:dyDescent="0.35">
      <c r="H32971" s="676"/>
      <c r="I32971" s="676"/>
      <c r="J32971" s="770"/>
    </row>
    <row r="32972" spans="8:10" x14ac:dyDescent="0.35">
      <c r="H32972" s="676"/>
      <c r="I32972" s="676"/>
      <c r="J32972" s="770"/>
    </row>
    <row r="32973" spans="8:10" x14ac:dyDescent="0.35">
      <c r="H32973" s="676"/>
      <c r="I32973" s="676"/>
      <c r="J32973" s="770"/>
    </row>
    <row r="32974" spans="8:10" x14ac:dyDescent="0.35">
      <c r="H32974" s="676"/>
      <c r="I32974" s="676"/>
      <c r="J32974" s="770"/>
    </row>
    <row r="32975" spans="8:10" x14ac:dyDescent="0.35">
      <c r="H32975" s="676"/>
      <c r="I32975" s="676"/>
      <c r="J32975" s="770"/>
    </row>
    <row r="32976" spans="8:10" x14ac:dyDescent="0.35">
      <c r="H32976" s="676"/>
      <c r="I32976" s="676"/>
      <c r="J32976" s="770"/>
    </row>
    <row r="32977" spans="8:10" x14ac:dyDescent="0.35">
      <c r="H32977" s="676"/>
      <c r="I32977" s="676"/>
      <c r="J32977" s="770"/>
    </row>
    <row r="32978" spans="8:10" x14ac:dyDescent="0.35">
      <c r="H32978" s="676"/>
      <c r="I32978" s="676"/>
      <c r="J32978" s="770"/>
    </row>
    <row r="32979" spans="8:10" x14ac:dyDescent="0.35">
      <c r="H32979" s="676"/>
      <c r="I32979" s="676"/>
      <c r="J32979" s="770"/>
    </row>
    <row r="32980" spans="8:10" x14ac:dyDescent="0.35">
      <c r="H32980" s="676"/>
      <c r="I32980" s="676"/>
      <c r="J32980" s="770"/>
    </row>
    <row r="32981" spans="8:10" x14ac:dyDescent="0.35">
      <c r="H32981" s="676"/>
      <c r="I32981" s="676"/>
      <c r="J32981" s="770"/>
    </row>
    <row r="32982" spans="8:10" x14ac:dyDescent="0.35">
      <c r="H32982" s="676"/>
      <c r="I32982" s="676"/>
      <c r="J32982" s="770"/>
    </row>
    <row r="32983" spans="8:10" x14ac:dyDescent="0.35">
      <c r="H32983" s="676"/>
      <c r="I32983" s="676"/>
      <c r="J32983" s="770"/>
    </row>
    <row r="32984" spans="8:10" x14ac:dyDescent="0.35">
      <c r="H32984" s="676"/>
      <c r="I32984" s="676"/>
      <c r="J32984" s="770"/>
    </row>
    <row r="32985" spans="8:10" x14ac:dyDescent="0.35">
      <c r="H32985" s="676"/>
      <c r="I32985" s="676"/>
      <c r="J32985" s="770"/>
    </row>
    <row r="32986" spans="8:10" x14ac:dyDescent="0.35">
      <c r="H32986" s="676"/>
      <c r="I32986" s="676"/>
      <c r="J32986" s="770"/>
    </row>
    <row r="32987" spans="8:10" x14ac:dyDescent="0.35">
      <c r="H32987" s="676"/>
      <c r="I32987" s="676"/>
      <c r="J32987" s="770"/>
    </row>
    <row r="32988" spans="8:10" x14ac:dyDescent="0.35">
      <c r="H32988" s="676"/>
      <c r="I32988" s="676"/>
      <c r="J32988" s="770"/>
    </row>
    <row r="32989" spans="8:10" x14ac:dyDescent="0.35">
      <c r="H32989" s="676"/>
      <c r="I32989" s="676"/>
      <c r="J32989" s="770"/>
    </row>
    <row r="32990" spans="8:10" x14ac:dyDescent="0.35">
      <c r="H32990" s="676"/>
      <c r="I32990" s="676"/>
      <c r="J32990" s="770"/>
    </row>
    <row r="32991" spans="8:10" x14ac:dyDescent="0.35">
      <c r="H32991" s="676"/>
      <c r="I32991" s="676"/>
      <c r="J32991" s="770"/>
    </row>
    <row r="32992" spans="8:10" x14ac:dyDescent="0.35">
      <c r="H32992" s="676"/>
      <c r="I32992" s="676"/>
      <c r="J32992" s="770"/>
    </row>
    <row r="32993" spans="8:10" x14ac:dyDescent="0.35">
      <c r="H32993" s="676"/>
      <c r="I32993" s="676"/>
      <c r="J32993" s="770"/>
    </row>
    <row r="32994" spans="8:10" x14ac:dyDescent="0.35">
      <c r="H32994" s="676"/>
      <c r="I32994" s="676"/>
      <c r="J32994" s="770"/>
    </row>
    <row r="32995" spans="8:10" x14ac:dyDescent="0.35">
      <c r="H32995" s="676"/>
      <c r="I32995" s="676"/>
      <c r="J32995" s="770"/>
    </row>
    <row r="32996" spans="8:10" x14ac:dyDescent="0.35">
      <c r="H32996" s="676"/>
      <c r="I32996" s="676"/>
      <c r="J32996" s="770"/>
    </row>
    <row r="32997" spans="8:10" x14ac:dyDescent="0.35">
      <c r="H32997" s="676"/>
      <c r="I32997" s="676"/>
      <c r="J32997" s="770"/>
    </row>
    <row r="32998" spans="8:10" x14ac:dyDescent="0.35">
      <c r="H32998" s="676"/>
      <c r="I32998" s="676"/>
      <c r="J32998" s="770"/>
    </row>
    <row r="32999" spans="8:10" x14ac:dyDescent="0.35">
      <c r="H32999" s="676"/>
      <c r="I32999" s="676"/>
      <c r="J32999" s="770"/>
    </row>
    <row r="33000" spans="8:10" x14ac:dyDescent="0.35">
      <c r="H33000" s="676"/>
      <c r="I33000" s="676"/>
      <c r="J33000" s="770"/>
    </row>
    <row r="33001" spans="8:10" x14ac:dyDescent="0.35">
      <c r="H33001" s="676"/>
      <c r="I33001" s="676"/>
      <c r="J33001" s="770"/>
    </row>
    <row r="33002" spans="8:10" x14ac:dyDescent="0.35">
      <c r="H33002" s="676"/>
      <c r="I33002" s="676"/>
      <c r="J33002" s="770"/>
    </row>
    <row r="33003" spans="8:10" x14ac:dyDescent="0.35">
      <c r="H33003" s="676"/>
      <c r="I33003" s="676"/>
      <c r="J33003" s="770"/>
    </row>
    <row r="33004" spans="8:10" x14ac:dyDescent="0.35">
      <c r="H33004" s="676"/>
      <c r="I33004" s="676"/>
      <c r="J33004" s="770"/>
    </row>
    <row r="33005" spans="8:10" x14ac:dyDescent="0.35">
      <c r="H33005" s="676"/>
      <c r="I33005" s="676"/>
      <c r="J33005" s="770"/>
    </row>
    <row r="33006" spans="8:10" x14ac:dyDescent="0.35">
      <c r="H33006" s="676"/>
      <c r="I33006" s="676"/>
      <c r="J33006" s="770"/>
    </row>
    <row r="33007" spans="8:10" x14ac:dyDescent="0.35">
      <c r="H33007" s="676"/>
      <c r="I33007" s="676"/>
      <c r="J33007" s="770"/>
    </row>
    <row r="33008" spans="8:10" x14ac:dyDescent="0.35">
      <c r="H33008" s="676"/>
      <c r="I33008" s="676"/>
      <c r="J33008" s="770"/>
    </row>
    <row r="33009" spans="8:10" x14ac:dyDescent="0.35">
      <c r="H33009" s="676"/>
      <c r="I33009" s="676"/>
      <c r="J33009" s="770"/>
    </row>
    <row r="33010" spans="8:10" x14ac:dyDescent="0.35">
      <c r="H33010" s="676"/>
      <c r="I33010" s="676"/>
      <c r="J33010" s="770"/>
    </row>
    <row r="33011" spans="8:10" x14ac:dyDescent="0.35">
      <c r="H33011" s="676"/>
      <c r="I33011" s="676"/>
      <c r="J33011" s="770"/>
    </row>
    <row r="33012" spans="8:10" x14ac:dyDescent="0.35">
      <c r="H33012" s="676"/>
      <c r="I33012" s="676"/>
      <c r="J33012" s="770"/>
    </row>
    <row r="33013" spans="8:10" x14ac:dyDescent="0.35">
      <c r="H33013" s="676"/>
      <c r="I33013" s="676"/>
      <c r="J33013" s="770"/>
    </row>
    <row r="33014" spans="8:10" x14ac:dyDescent="0.35">
      <c r="H33014" s="676"/>
      <c r="I33014" s="676"/>
      <c r="J33014" s="770"/>
    </row>
    <row r="33015" spans="8:10" x14ac:dyDescent="0.35">
      <c r="H33015" s="676"/>
      <c r="I33015" s="676"/>
      <c r="J33015" s="770"/>
    </row>
    <row r="33016" spans="8:10" x14ac:dyDescent="0.35">
      <c r="H33016" s="676"/>
      <c r="I33016" s="676"/>
      <c r="J33016" s="770"/>
    </row>
    <row r="33017" spans="8:10" x14ac:dyDescent="0.35">
      <c r="H33017" s="676"/>
      <c r="I33017" s="676"/>
      <c r="J33017" s="770"/>
    </row>
    <row r="33018" spans="8:10" x14ac:dyDescent="0.35">
      <c r="H33018" s="676"/>
      <c r="I33018" s="676"/>
      <c r="J33018" s="770"/>
    </row>
    <row r="33019" spans="8:10" x14ac:dyDescent="0.35">
      <c r="H33019" s="676"/>
      <c r="I33019" s="676"/>
      <c r="J33019" s="770"/>
    </row>
    <row r="33020" spans="8:10" x14ac:dyDescent="0.35">
      <c r="H33020" s="676"/>
      <c r="I33020" s="676"/>
      <c r="J33020" s="770"/>
    </row>
    <row r="33021" spans="8:10" x14ac:dyDescent="0.35">
      <c r="H33021" s="676"/>
      <c r="I33021" s="676"/>
      <c r="J33021" s="770"/>
    </row>
    <row r="33022" spans="8:10" x14ac:dyDescent="0.35">
      <c r="H33022" s="676"/>
      <c r="I33022" s="676"/>
      <c r="J33022" s="770"/>
    </row>
    <row r="33023" spans="8:10" x14ac:dyDescent="0.35">
      <c r="H33023" s="676"/>
      <c r="I33023" s="676"/>
      <c r="J33023" s="770"/>
    </row>
    <row r="33024" spans="8:10" x14ac:dyDescent="0.35">
      <c r="H33024" s="676"/>
      <c r="I33024" s="676"/>
      <c r="J33024" s="770"/>
    </row>
    <row r="33025" spans="8:10" x14ac:dyDescent="0.35">
      <c r="H33025" s="676"/>
      <c r="I33025" s="676"/>
      <c r="J33025" s="770"/>
    </row>
    <row r="33026" spans="8:10" x14ac:dyDescent="0.35">
      <c r="H33026" s="676"/>
      <c r="I33026" s="676"/>
      <c r="J33026" s="770"/>
    </row>
    <row r="33027" spans="8:10" x14ac:dyDescent="0.35">
      <c r="H33027" s="676"/>
      <c r="I33027" s="676"/>
      <c r="J33027" s="770"/>
    </row>
    <row r="33028" spans="8:10" x14ac:dyDescent="0.35">
      <c r="H33028" s="676"/>
      <c r="I33028" s="676"/>
      <c r="J33028" s="770"/>
    </row>
    <row r="33029" spans="8:10" x14ac:dyDescent="0.35">
      <c r="H33029" s="676"/>
      <c r="I33029" s="676"/>
      <c r="J33029" s="770"/>
    </row>
    <row r="33030" spans="8:10" x14ac:dyDescent="0.35">
      <c r="H33030" s="676"/>
      <c r="I33030" s="676"/>
      <c r="J33030" s="770"/>
    </row>
    <row r="33031" spans="8:10" x14ac:dyDescent="0.35">
      <c r="H33031" s="676"/>
      <c r="I33031" s="676"/>
      <c r="J33031" s="770"/>
    </row>
    <row r="33032" spans="8:10" x14ac:dyDescent="0.35">
      <c r="H33032" s="676"/>
      <c r="I33032" s="676"/>
      <c r="J33032" s="770"/>
    </row>
    <row r="33033" spans="8:10" x14ac:dyDescent="0.35">
      <c r="H33033" s="676"/>
      <c r="I33033" s="676"/>
      <c r="J33033" s="770"/>
    </row>
    <row r="33034" spans="8:10" x14ac:dyDescent="0.35">
      <c r="H33034" s="676"/>
      <c r="I33034" s="676"/>
      <c r="J33034" s="770"/>
    </row>
    <row r="33035" spans="8:10" x14ac:dyDescent="0.35">
      <c r="H33035" s="676"/>
      <c r="I33035" s="676"/>
      <c r="J33035" s="770"/>
    </row>
    <row r="33036" spans="8:10" x14ac:dyDescent="0.35">
      <c r="H33036" s="676"/>
      <c r="I33036" s="676"/>
      <c r="J33036" s="770"/>
    </row>
    <row r="33037" spans="8:10" x14ac:dyDescent="0.35">
      <c r="H33037" s="676"/>
      <c r="I33037" s="676"/>
      <c r="J33037" s="770"/>
    </row>
    <row r="33038" spans="8:10" x14ac:dyDescent="0.35">
      <c r="H33038" s="676"/>
      <c r="I33038" s="676"/>
      <c r="J33038" s="770"/>
    </row>
    <row r="33039" spans="8:10" x14ac:dyDescent="0.35">
      <c r="H33039" s="676"/>
      <c r="I33039" s="676"/>
      <c r="J33039" s="770"/>
    </row>
    <row r="33040" spans="8:10" x14ac:dyDescent="0.35">
      <c r="H33040" s="676"/>
      <c r="I33040" s="676"/>
      <c r="J33040" s="770"/>
    </row>
    <row r="33041" spans="8:10" x14ac:dyDescent="0.35">
      <c r="H33041" s="676"/>
      <c r="I33041" s="676"/>
      <c r="J33041" s="770"/>
    </row>
    <row r="33042" spans="8:10" x14ac:dyDescent="0.35">
      <c r="H33042" s="676"/>
      <c r="I33042" s="676"/>
      <c r="J33042" s="770"/>
    </row>
    <row r="33043" spans="8:10" x14ac:dyDescent="0.35">
      <c r="H33043" s="676"/>
      <c r="I33043" s="676"/>
      <c r="J33043" s="770"/>
    </row>
    <row r="33044" spans="8:10" x14ac:dyDescent="0.35">
      <c r="H33044" s="676"/>
      <c r="I33044" s="676"/>
      <c r="J33044" s="770"/>
    </row>
    <row r="33045" spans="8:10" x14ac:dyDescent="0.35">
      <c r="H33045" s="676"/>
      <c r="I33045" s="676"/>
      <c r="J33045" s="770"/>
    </row>
    <row r="33046" spans="8:10" x14ac:dyDescent="0.35">
      <c r="H33046" s="676"/>
      <c r="I33046" s="676"/>
      <c r="J33046" s="770"/>
    </row>
    <row r="33047" spans="8:10" x14ac:dyDescent="0.35">
      <c r="H33047" s="676"/>
      <c r="I33047" s="676"/>
      <c r="J33047" s="770"/>
    </row>
    <row r="33048" spans="8:10" x14ac:dyDescent="0.35">
      <c r="H33048" s="676"/>
      <c r="I33048" s="676"/>
      <c r="J33048" s="770"/>
    </row>
    <row r="33049" spans="8:10" x14ac:dyDescent="0.35">
      <c r="H33049" s="676"/>
      <c r="I33049" s="676"/>
      <c r="J33049" s="770"/>
    </row>
    <row r="33050" spans="8:10" x14ac:dyDescent="0.35">
      <c r="H33050" s="676"/>
      <c r="I33050" s="676"/>
      <c r="J33050" s="770"/>
    </row>
    <row r="33051" spans="8:10" x14ac:dyDescent="0.35">
      <c r="H33051" s="676"/>
      <c r="I33051" s="676"/>
      <c r="J33051" s="770"/>
    </row>
    <row r="33052" spans="8:10" x14ac:dyDescent="0.35">
      <c r="H33052" s="676"/>
      <c r="I33052" s="676"/>
      <c r="J33052" s="770"/>
    </row>
    <row r="33053" spans="8:10" x14ac:dyDescent="0.35">
      <c r="H33053" s="676"/>
      <c r="I33053" s="676"/>
      <c r="J33053" s="770"/>
    </row>
    <row r="33054" spans="8:10" x14ac:dyDescent="0.35">
      <c r="H33054" s="676"/>
      <c r="I33054" s="676"/>
      <c r="J33054" s="770"/>
    </row>
    <row r="33055" spans="8:10" x14ac:dyDescent="0.35">
      <c r="H33055" s="676"/>
      <c r="I33055" s="676"/>
      <c r="J33055" s="770"/>
    </row>
    <row r="33056" spans="8:10" x14ac:dyDescent="0.35">
      <c r="H33056" s="676"/>
      <c r="I33056" s="676"/>
      <c r="J33056" s="770"/>
    </row>
    <row r="33057" spans="8:10" x14ac:dyDescent="0.35">
      <c r="H33057" s="676"/>
      <c r="I33057" s="676"/>
      <c r="J33057" s="770"/>
    </row>
    <row r="33058" spans="8:10" x14ac:dyDescent="0.35">
      <c r="H33058" s="676"/>
      <c r="I33058" s="676"/>
      <c r="J33058" s="770"/>
    </row>
    <row r="33059" spans="8:10" x14ac:dyDescent="0.35">
      <c r="H33059" s="676"/>
      <c r="I33059" s="676"/>
      <c r="J33059" s="770"/>
    </row>
    <row r="33060" spans="8:10" x14ac:dyDescent="0.35">
      <c r="H33060" s="676"/>
      <c r="I33060" s="676"/>
      <c r="J33060" s="770"/>
    </row>
    <row r="33061" spans="8:10" x14ac:dyDescent="0.35">
      <c r="H33061" s="676"/>
      <c r="I33061" s="676"/>
      <c r="J33061" s="770"/>
    </row>
    <row r="33062" spans="8:10" x14ac:dyDescent="0.35">
      <c r="H33062" s="676"/>
      <c r="I33062" s="676"/>
      <c r="J33062" s="770"/>
    </row>
    <row r="33063" spans="8:10" x14ac:dyDescent="0.35">
      <c r="H33063" s="676"/>
      <c r="I33063" s="676"/>
      <c r="J33063" s="770"/>
    </row>
    <row r="33064" spans="8:10" x14ac:dyDescent="0.35">
      <c r="H33064" s="676"/>
      <c r="I33064" s="676"/>
      <c r="J33064" s="770"/>
    </row>
    <row r="33065" spans="8:10" x14ac:dyDescent="0.35">
      <c r="H33065" s="676"/>
      <c r="I33065" s="676"/>
      <c r="J33065" s="770"/>
    </row>
    <row r="33066" spans="8:10" x14ac:dyDescent="0.35">
      <c r="H33066" s="676"/>
      <c r="I33066" s="676"/>
      <c r="J33066" s="770"/>
    </row>
    <row r="33067" spans="8:10" x14ac:dyDescent="0.35">
      <c r="H33067" s="676"/>
      <c r="I33067" s="676"/>
      <c r="J33067" s="770"/>
    </row>
    <row r="33068" spans="8:10" x14ac:dyDescent="0.35">
      <c r="H33068" s="676"/>
      <c r="I33068" s="676"/>
      <c r="J33068" s="770"/>
    </row>
    <row r="33069" spans="8:10" x14ac:dyDescent="0.35">
      <c r="H33069" s="676"/>
      <c r="I33069" s="676"/>
      <c r="J33069" s="770"/>
    </row>
    <row r="33070" spans="8:10" x14ac:dyDescent="0.35">
      <c r="H33070" s="676"/>
      <c r="I33070" s="676"/>
      <c r="J33070" s="770"/>
    </row>
    <row r="33071" spans="8:10" x14ac:dyDescent="0.35">
      <c r="H33071" s="676"/>
      <c r="I33071" s="676"/>
      <c r="J33071" s="770"/>
    </row>
    <row r="33072" spans="8:10" x14ac:dyDescent="0.35">
      <c r="H33072" s="676"/>
      <c r="I33072" s="676"/>
      <c r="J33072" s="770"/>
    </row>
    <row r="33073" spans="8:10" x14ac:dyDescent="0.35">
      <c r="H33073" s="676"/>
      <c r="I33073" s="676"/>
      <c r="J33073" s="770"/>
    </row>
    <row r="33074" spans="8:10" x14ac:dyDescent="0.35">
      <c r="H33074" s="676"/>
      <c r="I33074" s="676"/>
      <c r="J33074" s="770"/>
    </row>
    <row r="33075" spans="8:10" x14ac:dyDescent="0.35">
      <c r="H33075" s="676"/>
      <c r="I33075" s="676"/>
      <c r="J33075" s="770"/>
    </row>
    <row r="33076" spans="8:10" x14ac:dyDescent="0.35">
      <c r="H33076" s="676"/>
      <c r="I33076" s="676"/>
      <c r="J33076" s="770"/>
    </row>
    <row r="33077" spans="8:10" x14ac:dyDescent="0.35">
      <c r="H33077" s="676"/>
      <c r="I33077" s="676"/>
      <c r="J33077" s="770"/>
    </row>
    <row r="33078" spans="8:10" x14ac:dyDescent="0.35">
      <c r="H33078" s="676"/>
      <c r="I33078" s="676"/>
      <c r="J33078" s="770"/>
    </row>
    <row r="33079" spans="8:10" x14ac:dyDescent="0.35">
      <c r="H33079" s="676"/>
      <c r="I33079" s="676"/>
      <c r="J33079" s="770"/>
    </row>
    <row r="33080" spans="8:10" x14ac:dyDescent="0.35">
      <c r="H33080" s="676"/>
      <c r="I33080" s="676"/>
      <c r="J33080" s="770"/>
    </row>
    <row r="33081" spans="8:10" x14ac:dyDescent="0.35">
      <c r="H33081" s="676"/>
      <c r="I33081" s="676"/>
      <c r="J33081" s="770"/>
    </row>
    <row r="33082" spans="8:10" x14ac:dyDescent="0.35">
      <c r="H33082" s="676"/>
      <c r="I33082" s="676"/>
      <c r="J33082" s="770"/>
    </row>
    <row r="33083" spans="8:10" x14ac:dyDescent="0.35">
      <c r="H33083" s="676"/>
      <c r="I33083" s="676"/>
      <c r="J33083" s="770"/>
    </row>
    <row r="33084" spans="8:10" x14ac:dyDescent="0.35">
      <c r="H33084" s="676"/>
      <c r="I33084" s="676"/>
      <c r="J33084" s="770"/>
    </row>
    <row r="33085" spans="8:10" x14ac:dyDescent="0.35">
      <c r="H33085" s="676"/>
      <c r="I33085" s="676"/>
      <c r="J33085" s="770"/>
    </row>
    <row r="33086" spans="8:10" x14ac:dyDescent="0.35">
      <c r="H33086" s="676"/>
      <c r="I33086" s="676"/>
      <c r="J33086" s="770"/>
    </row>
    <row r="33087" spans="8:10" x14ac:dyDescent="0.35">
      <c r="H33087" s="676"/>
      <c r="I33087" s="676"/>
      <c r="J33087" s="770"/>
    </row>
    <row r="33088" spans="8:10" x14ac:dyDescent="0.35">
      <c r="H33088" s="676"/>
      <c r="I33088" s="676"/>
      <c r="J33088" s="770"/>
    </row>
    <row r="33089" spans="8:10" x14ac:dyDescent="0.35">
      <c r="H33089" s="676"/>
      <c r="I33089" s="676"/>
      <c r="J33089" s="770"/>
    </row>
    <row r="33090" spans="8:10" x14ac:dyDescent="0.35">
      <c r="H33090" s="676"/>
      <c r="I33090" s="676"/>
      <c r="J33090" s="770"/>
    </row>
    <row r="33091" spans="8:10" x14ac:dyDescent="0.35">
      <c r="H33091" s="676"/>
      <c r="I33091" s="676"/>
      <c r="J33091" s="770"/>
    </row>
    <row r="33092" spans="8:10" x14ac:dyDescent="0.35">
      <c r="H33092" s="676"/>
      <c r="I33092" s="676"/>
      <c r="J33092" s="770"/>
    </row>
    <row r="33093" spans="8:10" x14ac:dyDescent="0.35">
      <c r="H33093" s="676"/>
      <c r="I33093" s="676"/>
      <c r="J33093" s="770"/>
    </row>
    <row r="33094" spans="8:10" x14ac:dyDescent="0.35">
      <c r="H33094" s="676"/>
      <c r="I33094" s="676"/>
      <c r="J33094" s="770"/>
    </row>
    <row r="33095" spans="8:10" x14ac:dyDescent="0.35">
      <c r="H33095" s="676"/>
      <c r="I33095" s="676"/>
      <c r="J33095" s="770"/>
    </row>
    <row r="33096" spans="8:10" x14ac:dyDescent="0.35">
      <c r="H33096" s="676"/>
      <c r="I33096" s="676"/>
      <c r="J33096" s="770"/>
    </row>
    <row r="33097" spans="8:10" x14ac:dyDescent="0.35">
      <c r="H33097" s="676"/>
      <c r="I33097" s="676"/>
      <c r="J33097" s="770"/>
    </row>
    <row r="33098" spans="8:10" x14ac:dyDescent="0.35">
      <c r="H33098" s="676"/>
      <c r="I33098" s="676"/>
      <c r="J33098" s="770"/>
    </row>
    <row r="33099" spans="8:10" x14ac:dyDescent="0.35">
      <c r="H33099" s="676"/>
      <c r="I33099" s="676"/>
      <c r="J33099" s="770"/>
    </row>
    <row r="33100" spans="8:10" x14ac:dyDescent="0.35">
      <c r="H33100" s="676"/>
      <c r="I33100" s="676"/>
      <c r="J33100" s="770"/>
    </row>
    <row r="33101" spans="8:10" x14ac:dyDescent="0.35">
      <c r="H33101" s="676"/>
      <c r="I33101" s="676"/>
      <c r="J33101" s="770"/>
    </row>
    <row r="33102" spans="8:10" x14ac:dyDescent="0.35">
      <c r="H33102" s="676"/>
      <c r="I33102" s="676"/>
      <c r="J33102" s="770"/>
    </row>
    <row r="33103" spans="8:10" x14ac:dyDescent="0.35">
      <c r="H33103" s="676"/>
      <c r="I33103" s="676"/>
      <c r="J33103" s="770"/>
    </row>
    <row r="33104" spans="8:10" x14ac:dyDescent="0.35">
      <c r="H33104" s="676"/>
      <c r="I33104" s="676"/>
      <c r="J33104" s="770"/>
    </row>
    <row r="33105" spans="8:10" x14ac:dyDescent="0.35">
      <c r="H33105" s="676"/>
      <c r="I33105" s="676"/>
      <c r="J33105" s="770"/>
    </row>
    <row r="33106" spans="8:10" x14ac:dyDescent="0.35">
      <c r="H33106" s="676"/>
      <c r="I33106" s="676"/>
      <c r="J33106" s="770"/>
    </row>
    <row r="33107" spans="8:10" x14ac:dyDescent="0.35">
      <c r="H33107" s="676"/>
      <c r="I33107" s="676"/>
      <c r="J33107" s="770"/>
    </row>
    <row r="33108" spans="8:10" x14ac:dyDescent="0.35">
      <c r="H33108" s="676"/>
      <c r="I33108" s="676"/>
      <c r="J33108" s="770"/>
    </row>
    <row r="33109" spans="8:10" x14ac:dyDescent="0.35">
      <c r="H33109" s="676"/>
      <c r="I33109" s="676"/>
      <c r="J33109" s="770"/>
    </row>
    <row r="33110" spans="8:10" x14ac:dyDescent="0.35">
      <c r="H33110" s="676"/>
      <c r="I33110" s="676"/>
      <c r="J33110" s="770"/>
    </row>
    <row r="33111" spans="8:10" x14ac:dyDescent="0.35">
      <c r="H33111" s="676"/>
      <c r="I33111" s="676"/>
      <c r="J33111" s="770"/>
    </row>
    <row r="33112" spans="8:10" x14ac:dyDescent="0.35">
      <c r="H33112" s="676"/>
      <c r="I33112" s="676"/>
      <c r="J33112" s="770"/>
    </row>
    <row r="33113" spans="8:10" x14ac:dyDescent="0.35">
      <c r="H33113" s="676"/>
      <c r="I33113" s="676"/>
      <c r="J33113" s="770"/>
    </row>
    <row r="33114" spans="8:10" x14ac:dyDescent="0.35">
      <c r="H33114" s="676"/>
      <c r="I33114" s="676"/>
      <c r="J33114" s="770"/>
    </row>
    <row r="33115" spans="8:10" x14ac:dyDescent="0.35">
      <c r="H33115" s="676"/>
      <c r="I33115" s="676"/>
      <c r="J33115" s="770"/>
    </row>
    <row r="33116" spans="8:10" x14ac:dyDescent="0.35">
      <c r="H33116" s="676"/>
      <c r="I33116" s="676"/>
      <c r="J33116" s="770"/>
    </row>
    <row r="33117" spans="8:10" x14ac:dyDescent="0.35">
      <c r="H33117" s="676"/>
      <c r="I33117" s="676"/>
      <c r="J33117" s="770"/>
    </row>
    <row r="33118" spans="8:10" x14ac:dyDescent="0.35">
      <c r="H33118" s="676"/>
      <c r="I33118" s="676"/>
      <c r="J33118" s="770"/>
    </row>
    <row r="33119" spans="8:10" x14ac:dyDescent="0.35">
      <c r="H33119" s="676"/>
      <c r="I33119" s="676"/>
      <c r="J33119" s="770"/>
    </row>
    <row r="33120" spans="8:10" x14ac:dyDescent="0.35">
      <c r="H33120" s="676"/>
      <c r="I33120" s="676"/>
      <c r="J33120" s="770"/>
    </row>
    <row r="33121" spans="8:10" x14ac:dyDescent="0.35">
      <c r="H33121" s="676"/>
      <c r="I33121" s="676"/>
      <c r="J33121" s="770"/>
    </row>
    <row r="33122" spans="8:10" x14ac:dyDescent="0.35">
      <c r="H33122" s="676"/>
      <c r="I33122" s="676"/>
      <c r="J33122" s="770"/>
    </row>
    <row r="33123" spans="8:10" x14ac:dyDescent="0.35">
      <c r="H33123" s="676"/>
      <c r="I33123" s="676"/>
      <c r="J33123" s="770"/>
    </row>
    <row r="33124" spans="8:10" x14ac:dyDescent="0.35">
      <c r="H33124" s="676"/>
      <c r="I33124" s="676"/>
      <c r="J33124" s="770"/>
    </row>
    <row r="33125" spans="8:10" x14ac:dyDescent="0.35">
      <c r="H33125" s="676"/>
      <c r="I33125" s="676"/>
      <c r="J33125" s="770"/>
    </row>
    <row r="33126" spans="8:10" x14ac:dyDescent="0.35">
      <c r="H33126" s="676"/>
      <c r="I33126" s="676"/>
      <c r="J33126" s="770"/>
    </row>
    <row r="33127" spans="8:10" x14ac:dyDescent="0.35">
      <c r="H33127" s="676"/>
      <c r="I33127" s="676"/>
      <c r="J33127" s="770"/>
    </row>
    <row r="33128" spans="8:10" x14ac:dyDescent="0.35">
      <c r="H33128" s="676"/>
      <c r="I33128" s="676"/>
      <c r="J33128" s="770"/>
    </row>
    <row r="33129" spans="8:10" x14ac:dyDescent="0.35">
      <c r="H33129" s="676"/>
      <c r="I33129" s="676"/>
      <c r="J33129" s="770"/>
    </row>
    <row r="33130" spans="8:10" x14ac:dyDescent="0.35">
      <c r="H33130" s="676"/>
      <c r="I33130" s="676"/>
      <c r="J33130" s="770"/>
    </row>
    <row r="33131" spans="8:10" x14ac:dyDescent="0.35">
      <c r="H33131" s="676"/>
      <c r="I33131" s="676"/>
      <c r="J33131" s="770"/>
    </row>
    <row r="33132" spans="8:10" x14ac:dyDescent="0.35">
      <c r="H33132" s="676"/>
      <c r="I33132" s="676"/>
      <c r="J33132" s="770"/>
    </row>
    <row r="33133" spans="8:10" x14ac:dyDescent="0.35">
      <c r="H33133" s="676"/>
      <c r="I33133" s="676"/>
      <c r="J33133" s="770"/>
    </row>
    <row r="33134" spans="8:10" x14ac:dyDescent="0.35">
      <c r="H33134" s="676"/>
      <c r="I33134" s="676"/>
      <c r="J33134" s="770"/>
    </row>
    <row r="33135" spans="8:10" x14ac:dyDescent="0.35">
      <c r="H33135" s="676"/>
      <c r="I33135" s="676"/>
      <c r="J33135" s="770"/>
    </row>
    <row r="33136" spans="8:10" x14ac:dyDescent="0.35">
      <c r="H33136" s="676"/>
      <c r="I33136" s="676"/>
      <c r="J33136" s="770"/>
    </row>
    <row r="33137" spans="8:10" x14ac:dyDescent="0.35">
      <c r="H33137" s="676"/>
      <c r="I33137" s="676"/>
      <c r="J33137" s="770"/>
    </row>
    <row r="33138" spans="8:10" x14ac:dyDescent="0.35">
      <c r="H33138" s="676"/>
      <c r="I33138" s="676"/>
      <c r="J33138" s="770"/>
    </row>
    <row r="33139" spans="8:10" x14ac:dyDescent="0.35">
      <c r="H33139" s="676"/>
      <c r="I33139" s="676"/>
      <c r="J33139" s="770"/>
    </row>
    <row r="33140" spans="8:10" x14ac:dyDescent="0.35">
      <c r="H33140" s="676"/>
      <c r="I33140" s="676"/>
      <c r="J33140" s="770"/>
    </row>
    <row r="33141" spans="8:10" x14ac:dyDescent="0.35">
      <c r="H33141" s="676"/>
      <c r="I33141" s="676"/>
      <c r="J33141" s="770"/>
    </row>
    <row r="33142" spans="8:10" x14ac:dyDescent="0.35">
      <c r="H33142" s="676"/>
      <c r="I33142" s="676"/>
      <c r="J33142" s="770"/>
    </row>
    <row r="33143" spans="8:10" x14ac:dyDescent="0.35">
      <c r="H33143" s="676"/>
      <c r="I33143" s="676"/>
      <c r="J33143" s="770"/>
    </row>
    <row r="33144" spans="8:10" x14ac:dyDescent="0.35">
      <c r="H33144" s="676"/>
      <c r="I33144" s="676"/>
      <c r="J33144" s="770"/>
    </row>
    <row r="33145" spans="8:10" x14ac:dyDescent="0.35">
      <c r="H33145" s="676"/>
      <c r="I33145" s="676"/>
      <c r="J33145" s="770"/>
    </row>
    <row r="33146" spans="8:10" x14ac:dyDescent="0.35">
      <c r="H33146" s="676"/>
      <c r="I33146" s="676"/>
      <c r="J33146" s="770"/>
    </row>
    <row r="33147" spans="8:10" x14ac:dyDescent="0.35">
      <c r="H33147" s="676"/>
      <c r="I33147" s="676"/>
      <c r="J33147" s="770"/>
    </row>
    <row r="33148" spans="8:10" x14ac:dyDescent="0.35">
      <c r="H33148" s="676"/>
      <c r="I33148" s="676"/>
      <c r="J33148" s="770"/>
    </row>
    <row r="33149" spans="8:10" x14ac:dyDescent="0.35">
      <c r="H33149" s="676"/>
      <c r="I33149" s="676"/>
      <c r="J33149" s="770"/>
    </row>
    <row r="33150" spans="8:10" x14ac:dyDescent="0.35">
      <c r="H33150" s="676"/>
      <c r="I33150" s="676"/>
      <c r="J33150" s="770"/>
    </row>
    <row r="33151" spans="8:10" x14ac:dyDescent="0.35">
      <c r="H33151" s="676"/>
      <c r="I33151" s="676"/>
      <c r="J33151" s="770"/>
    </row>
    <row r="33152" spans="8:10" x14ac:dyDescent="0.35">
      <c r="H33152" s="676"/>
      <c r="I33152" s="676"/>
      <c r="J33152" s="770"/>
    </row>
    <row r="33153" spans="8:10" x14ac:dyDescent="0.35">
      <c r="H33153" s="676"/>
      <c r="I33153" s="676"/>
      <c r="J33153" s="770"/>
    </row>
    <row r="33154" spans="8:10" x14ac:dyDescent="0.35">
      <c r="H33154" s="676"/>
      <c r="I33154" s="676"/>
      <c r="J33154" s="770"/>
    </row>
    <row r="33155" spans="8:10" x14ac:dyDescent="0.35">
      <c r="H33155" s="676"/>
      <c r="I33155" s="676"/>
      <c r="J33155" s="770"/>
    </row>
    <row r="33156" spans="8:10" x14ac:dyDescent="0.35">
      <c r="H33156" s="676"/>
      <c r="I33156" s="676"/>
      <c r="J33156" s="770"/>
    </row>
    <row r="33157" spans="8:10" x14ac:dyDescent="0.35">
      <c r="H33157" s="676"/>
      <c r="I33157" s="676"/>
      <c r="J33157" s="770"/>
    </row>
    <row r="33158" spans="8:10" x14ac:dyDescent="0.35">
      <c r="H33158" s="676"/>
      <c r="I33158" s="676"/>
      <c r="J33158" s="770"/>
    </row>
    <row r="33159" spans="8:10" x14ac:dyDescent="0.35">
      <c r="H33159" s="676"/>
      <c r="I33159" s="676"/>
      <c r="J33159" s="770"/>
    </row>
    <row r="33160" spans="8:10" x14ac:dyDescent="0.35">
      <c r="H33160" s="676"/>
      <c r="I33160" s="676"/>
      <c r="J33160" s="770"/>
    </row>
    <row r="33161" spans="8:10" x14ac:dyDescent="0.35">
      <c r="H33161" s="676"/>
      <c r="I33161" s="676"/>
      <c r="J33161" s="770"/>
    </row>
    <row r="33162" spans="8:10" x14ac:dyDescent="0.35">
      <c r="H33162" s="676"/>
      <c r="I33162" s="676"/>
      <c r="J33162" s="770"/>
    </row>
    <row r="33163" spans="8:10" x14ac:dyDescent="0.35">
      <c r="H33163" s="676"/>
      <c r="I33163" s="676"/>
      <c r="J33163" s="770"/>
    </row>
    <row r="33164" spans="8:10" x14ac:dyDescent="0.35">
      <c r="H33164" s="676"/>
      <c r="I33164" s="676"/>
      <c r="J33164" s="770"/>
    </row>
    <row r="33165" spans="8:10" x14ac:dyDescent="0.35">
      <c r="H33165" s="676"/>
      <c r="I33165" s="676"/>
      <c r="J33165" s="770"/>
    </row>
    <row r="33166" spans="8:10" x14ac:dyDescent="0.35">
      <c r="H33166" s="676"/>
      <c r="I33166" s="676"/>
      <c r="J33166" s="770"/>
    </row>
    <row r="33167" spans="8:10" x14ac:dyDescent="0.35">
      <c r="H33167" s="676"/>
      <c r="I33167" s="676"/>
      <c r="J33167" s="770"/>
    </row>
    <row r="33168" spans="8:10" x14ac:dyDescent="0.35">
      <c r="H33168" s="676"/>
      <c r="I33168" s="676"/>
      <c r="J33168" s="770"/>
    </row>
    <row r="33169" spans="8:10" x14ac:dyDescent="0.35">
      <c r="H33169" s="676"/>
      <c r="I33169" s="676"/>
      <c r="J33169" s="770"/>
    </row>
    <row r="33170" spans="8:10" x14ac:dyDescent="0.35">
      <c r="H33170" s="676"/>
      <c r="I33170" s="676"/>
      <c r="J33170" s="770"/>
    </row>
    <row r="33171" spans="8:10" x14ac:dyDescent="0.35">
      <c r="H33171" s="676"/>
      <c r="I33171" s="676"/>
      <c r="J33171" s="770"/>
    </row>
    <row r="33172" spans="8:10" x14ac:dyDescent="0.35">
      <c r="H33172" s="676"/>
      <c r="I33172" s="676"/>
      <c r="J33172" s="770"/>
    </row>
    <row r="33173" spans="8:10" x14ac:dyDescent="0.35">
      <c r="H33173" s="676"/>
      <c r="I33173" s="676"/>
      <c r="J33173" s="770"/>
    </row>
    <row r="33174" spans="8:10" x14ac:dyDescent="0.35">
      <c r="H33174" s="676"/>
      <c r="I33174" s="676"/>
      <c r="J33174" s="770"/>
    </row>
    <row r="33175" spans="8:10" x14ac:dyDescent="0.35">
      <c r="H33175" s="676"/>
      <c r="I33175" s="676"/>
      <c r="J33175" s="770"/>
    </row>
    <row r="33176" spans="8:10" x14ac:dyDescent="0.35">
      <c r="H33176" s="676"/>
      <c r="I33176" s="676"/>
      <c r="J33176" s="770"/>
    </row>
    <row r="33177" spans="8:10" x14ac:dyDescent="0.35">
      <c r="H33177" s="676"/>
      <c r="I33177" s="676"/>
      <c r="J33177" s="770"/>
    </row>
    <row r="33178" spans="8:10" x14ac:dyDescent="0.35">
      <c r="H33178" s="676"/>
      <c r="I33178" s="676"/>
      <c r="J33178" s="770"/>
    </row>
    <row r="33179" spans="8:10" x14ac:dyDescent="0.35">
      <c r="H33179" s="676"/>
      <c r="I33179" s="676"/>
      <c r="J33179" s="770"/>
    </row>
    <row r="33180" spans="8:10" x14ac:dyDescent="0.35">
      <c r="H33180" s="676"/>
      <c r="I33180" s="676"/>
      <c r="J33180" s="770"/>
    </row>
    <row r="33181" spans="8:10" x14ac:dyDescent="0.35">
      <c r="H33181" s="676"/>
      <c r="I33181" s="676"/>
      <c r="J33181" s="770"/>
    </row>
    <row r="33182" spans="8:10" x14ac:dyDescent="0.35">
      <c r="H33182" s="676"/>
      <c r="I33182" s="676"/>
      <c r="J33182" s="770"/>
    </row>
    <row r="33183" spans="8:10" x14ac:dyDescent="0.35">
      <c r="H33183" s="676"/>
      <c r="I33183" s="676"/>
      <c r="J33183" s="770"/>
    </row>
    <row r="33184" spans="8:10" x14ac:dyDescent="0.35">
      <c r="H33184" s="676"/>
      <c r="I33184" s="676"/>
      <c r="J33184" s="770"/>
    </row>
    <row r="33185" spans="8:10" x14ac:dyDescent="0.35">
      <c r="H33185" s="676"/>
      <c r="I33185" s="676"/>
      <c r="J33185" s="770"/>
    </row>
    <row r="33186" spans="8:10" x14ac:dyDescent="0.35">
      <c r="H33186" s="676"/>
      <c r="I33186" s="676"/>
      <c r="J33186" s="770"/>
    </row>
    <row r="33187" spans="8:10" x14ac:dyDescent="0.35">
      <c r="H33187" s="676"/>
      <c r="I33187" s="676"/>
      <c r="J33187" s="770"/>
    </row>
    <row r="33188" spans="8:10" x14ac:dyDescent="0.35">
      <c r="H33188" s="676"/>
      <c r="I33188" s="676"/>
      <c r="J33188" s="770"/>
    </row>
    <row r="33189" spans="8:10" x14ac:dyDescent="0.35">
      <c r="H33189" s="676"/>
      <c r="I33189" s="676"/>
      <c r="J33189" s="770"/>
    </row>
    <row r="33190" spans="8:10" x14ac:dyDescent="0.35">
      <c r="H33190" s="676"/>
      <c r="I33190" s="676"/>
      <c r="J33190" s="770"/>
    </row>
    <row r="33191" spans="8:10" x14ac:dyDescent="0.35">
      <c r="H33191" s="676"/>
      <c r="I33191" s="676"/>
      <c r="J33191" s="770"/>
    </row>
    <row r="33192" spans="8:10" x14ac:dyDescent="0.35">
      <c r="H33192" s="676"/>
      <c r="I33192" s="676"/>
      <c r="J33192" s="770"/>
    </row>
    <row r="33193" spans="8:10" x14ac:dyDescent="0.35">
      <c r="H33193" s="676"/>
      <c r="I33193" s="676"/>
      <c r="J33193" s="770"/>
    </row>
    <row r="33194" spans="8:10" x14ac:dyDescent="0.35">
      <c r="H33194" s="676"/>
      <c r="I33194" s="676"/>
      <c r="J33194" s="770"/>
    </row>
    <row r="33195" spans="8:10" x14ac:dyDescent="0.35">
      <c r="H33195" s="676"/>
      <c r="I33195" s="676"/>
      <c r="J33195" s="770"/>
    </row>
    <row r="33196" spans="8:10" x14ac:dyDescent="0.35">
      <c r="H33196" s="676"/>
      <c r="I33196" s="676"/>
      <c r="J33196" s="770"/>
    </row>
    <row r="33197" spans="8:10" x14ac:dyDescent="0.35">
      <c r="H33197" s="676"/>
      <c r="I33197" s="676"/>
      <c r="J33197" s="770"/>
    </row>
    <row r="33198" spans="8:10" x14ac:dyDescent="0.35">
      <c r="H33198" s="676"/>
      <c r="I33198" s="676"/>
      <c r="J33198" s="770"/>
    </row>
    <row r="33199" spans="8:10" x14ac:dyDescent="0.35">
      <c r="H33199" s="676"/>
      <c r="I33199" s="676"/>
      <c r="J33199" s="770"/>
    </row>
    <row r="33200" spans="8:10" x14ac:dyDescent="0.35">
      <c r="H33200" s="676"/>
      <c r="I33200" s="676"/>
      <c r="J33200" s="770"/>
    </row>
    <row r="33201" spans="8:10" x14ac:dyDescent="0.35">
      <c r="H33201" s="676"/>
      <c r="I33201" s="676"/>
      <c r="J33201" s="770"/>
    </row>
    <row r="33202" spans="8:10" x14ac:dyDescent="0.35">
      <c r="H33202" s="676"/>
      <c r="I33202" s="676"/>
      <c r="J33202" s="770"/>
    </row>
    <row r="33203" spans="8:10" x14ac:dyDescent="0.35">
      <c r="H33203" s="676"/>
      <c r="I33203" s="676"/>
      <c r="J33203" s="770"/>
    </row>
    <row r="33204" spans="8:10" x14ac:dyDescent="0.35">
      <c r="H33204" s="676"/>
      <c r="I33204" s="676"/>
      <c r="J33204" s="770"/>
    </row>
    <row r="33205" spans="8:10" x14ac:dyDescent="0.35">
      <c r="H33205" s="676"/>
      <c r="I33205" s="676"/>
      <c r="J33205" s="770"/>
    </row>
    <row r="33206" spans="8:10" x14ac:dyDescent="0.35">
      <c r="H33206" s="676"/>
      <c r="I33206" s="676"/>
      <c r="J33206" s="770"/>
    </row>
    <row r="33207" spans="8:10" x14ac:dyDescent="0.35">
      <c r="H33207" s="676"/>
      <c r="I33207" s="676"/>
      <c r="J33207" s="770"/>
    </row>
    <row r="33208" spans="8:10" x14ac:dyDescent="0.35">
      <c r="H33208" s="676"/>
      <c r="I33208" s="676"/>
      <c r="J33208" s="770"/>
    </row>
    <row r="33209" spans="8:10" x14ac:dyDescent="0.35">
      <c r="H33209" s="676"/>
      <c r="I33209" s="676"/>
      <c r="J33209" s="770"/>
    </row>
    <row r="33210" spans="8:10" x14ac:dyDescent="0.35">
      <c r="H33210" s="676"/>
      <c r="I33210" s="676"/>
      <c r="J33210" s="770"/>
    </row>
    <row r="33211" spans="8:10" x14ac:dyDescent="0.35">
      <c r="H33211" s="676"/>
      <c r="I33211" s="676"/>
      <c r="J33211" s="770"/>
    </row>
    <row r="33212" spans="8:10" x14ac:dyDescent="0.35">
      <c r="H33212" s="676"/>
      <c r="I33212" s="676"/>
      <c r="J33212" s="770"/>
    </row>
    <row r="33213" spans="8:10" x14ac:dyDescent="0.35">
      <c r="H33213" s="676"/>
      <c r="I33213" s="676"/>
      <c r="J33213" s="770"/>
    </row>
    <row r="33214" spans="8:10" x14ac:dyDescent="0.35">
      <c r="H33214" s="676"/>
      <c r="I33214" s="676"/>
      <c r="J33214" s="770"/>
    </row>
    <row r="33215" spans="8:10" x14ac:dyDescent="0.35">
      <c r="H33215" s="676"/>
      <c r="I33215" s="676"/>
      <c r="J33215" s="770"/>
    </row>
    <row r="33216" spans="8:10" x14ac:dyDescent="0.35">
      <c r="H33216" s="676"/>
      <c r="I33216" s="676"/>
      <c r="J33216" s="770"/>
    </row>
    <row r="33217" spans="8:10" x14ac:dyDescent="0.35">
      <c r="H33217" s="676"/>
      <c r="I33217" s="676"/>
      <c r="J33217" s="770"/>
    </row>
    <row r="33218" spans="8:10" x14ac:dyDescent="0.35">
      <c r="H33218" s="676"/>
      <c r="I33218" s="676"/>
      <c r="J33218" s="770"/>
    </row>
    <row r="33219" spans="8:10" x14ac:dyDescent="0.35">
      <c r="H33219" s="676"/>
      <c r="I33219" s="676"/>
      <c r="J33219" s="770"/>
    </row>
    <row r="33220" spans="8:10" x14ac:dyDescent="0.35">
      <c r="H33220" s="676"/>
      <c r="I33220" s="676"/>
      <c r="J33220" s="770"/>
    </row>
    <row r="33221" spans="8:10" x14ac:dyDescent="0.35">
      <c r="H33221" s="676"/>
      <c r="I33221" s="676"/>
      <c r="J33221" s="770"/>
    </row>
    <row r="33222" spans="8:10" x14ac:dyDescent="0.35">
      <c r="H33222" s="676"/>
      <c r="I33222" s="676"/>
      <c r="J33222" s="770"/>
    </row>
    <row r="33223" spans="8:10" x14ac:dyDescent="0.35">
      <c r="H33223" s="676"/>
      <c r="I33223" s="676"/>
      <c r="J33223" s="770"/>
    </row>
    <row r="33224" spans="8:10" x14ac:dyDescent="0.35">
      <c r="H33224" s="676"/>
      <c r="I33224" s="676"/>
      <c r="J33224" s="770"/>
    </row>
    <row r="33225" spans="8:10" x14ac:dyDescent="0.35">
      <c r="H33225" s="676"/>
      <c r="I33225" s="676"/>
      <c r="J33225" s="770"/>
    </row>
    <row r="33226" spans="8:10" x14ac:dyDescent="0.35">
      <c r="H33226" s="676"/>
      <c r="I33226" s="676"/>
      <c r="J33226" s="770"/>
    </row>
    <row r="33227" spans="8:10" x14ac:dyDescent="0.35">
      <c r="H33227" s="676"/>
      <c r="I33227" s="676"/>
      <c r="J33227" s="770"/>
    </row>
    <row r="33228" spans="8:10" x14ac:dyDescent="0.35">
      <c r="H33228" s="676"/>
      <c r="I33228" s="676"/>
      <c r="J33228" s="770"/>
    </row>
    <row r="33229" spans="8:10" x14ac:dyDescent="0.35">
      <c r="H33229" s="676"/>
      <c r="I33229" s="676"/>
      <c r="J33229" s="770"/>
    </row>
    <row r="33230" spans="8:10" x14ac:dyDescent="0.35">
      <c r="H33230" s="676"/>
      <c r="I33230" s="676"/>
      <c r="J33230" s="770"/>
    </row>
    <row r="33231" spans="8:10" x14ac:dyDescent="0.35">
      <c r="H33231" s="676"/>
      <c r="I33231" s="676"/>
      <c r="J33231" s="770"/>
    </row>
    <row r="33232" spans="8:10" x14ac:dyDescent="0.35">
      <c r="H33232" s="676"/>
      <c r="I33232" s="676"/>
      <c r="J33232" s="770"/>
    </row>
    <row r="33233" spans="8:10" x14ac:dyDescent="0.35">
      <c r="H33233" s="676"/>
      <c r="I33233" s="676"/>
      <c r="J33233" s="770"/>
    </row>
    <row r="33234" spans="8:10" x14ac:dyDescent="0.35">
      <c r="H33234" s="676"/>
      <c r="I33234" s="676"/>
      <c r="J33234" s="770"/>
    </row>
    <row r="33235" spans="8:10" x14ac:dyDescent="0.35">
      <c r="H33235" s="676"/>
      <c r="I33235" s="676"/>
      <c r="J33235" s="770"/>
    </row>
    <row r="33236" spans="8:10" x14ac:dyDescent="0.35">
      <c r="H33236" s="676"/>
      <c r="I33236" s="676"/>
      <c r="J33236" s="770"/>
    </row>
    <row r="33237" spans="8:10" x14ac:dyDescent="0.35">
      <c r="H33237" s="676"/>
      <c r="I33237" s="676"/>
      <c r="J33237" s="770"/>
    </row>
    <row r="33238" spans="8:10" x14ac:dyDescent="0.35">
      <c r="H33238" s="676"/>
      <c r="I33238" s="676"/>
      <c r="J33238" s="770"/>
    </row>
    <row r="33239" spans="8:10" x14ac:dyDescent="0.35">
      <c r="H33239" s="676"/>
      <c r="I33239" s="676"/>
      <c r="J33239" s="770"/>
    </row>
    <row r="33240" spans="8:10" x14ac:dyDescent="0.35">
      <c r="H33240" s="676"/>
      <c r="I33240" s="676"/>
      <c r="J33240" s="770"/>
    </row>
    <row r="33241" spans="8:10" x14ac:dyDescent="0.35">
      <c r="H33241" s="676"/>
      <c r="I33241" s="676"/>
      <c r="J33241" s="770"/>
    </row>
    <row r="33242" spans="8:10" x14ac:dyDescent="0.35">
      <c r="H33242" s="676"/>
      <c r="I33242" s="676"/>
      <c r="J33242" s="770"/>
    </row>
    <row r="33243" spans="8:10" x14ac:dyDescent="0.35">
      <c r="H33243" s="676"/>
      <c r="I33243" s="676"/>
      <c r="J33243" s="770"/>
    </row>
    <row r="33244" spans="8:10" x14ac:dyDescent="0.35">
      <c r="H33244" s="676"/>
      <c r="I33244" s="676"/>
      <c r="J33244" s="770"/>
    </row>
    <row r="33245" spans="8:10" x14ac:dyDescent="0.35">
      <c r="H33245" s="676"/>
      <c r="I33245" s="676"/>
      <c r="J33245" s="770"/>
    </row>
    <row r="33246" spans="8:10" x14ac:dyDescent="0.35">
      <c r="H33246" s="676"/>
      <c r="I33246" s="676"/>
      <c r="J33246" s="770"/>
    </row>
    <row r="33247" spans="8:10" x14ac:dyDescent="0.35">
      <c r="H33247" s="676"/>
      <c r="I33247" s="676"/>
      <c r="J33247" s="770"/>
    </row>
    <row r="33248" spans="8:10" x14ac:dyDescent="0.35">
      <c r="H33248" s="676"/>
      <c r="I33248" s="676"/>
      <c r="J33248" s="770"/>
    </row>
    <row r="33249" spans="8:10" x14ac:dyDescent="0.35">
      <c r="H33249" s="676"/>
      <c r="I33249" s="676"/>
      <c r="J33249" s="770"/>
    </row>
    <row r="33250" spans="8:10" x14ac:dyDescent="0.35">
      <c r="H33250" s="676"/>
      <c r="I33250" s="676"/>
      <c r="J33250" s="770"/>
    </row>
    <row r="33251" spans="8:10" x14ac:dyDescent="0.35">
      <c r="H33251" s="676"/>
      <c r="I33251" s="676"/>
      <c r="J33251" s="770"/>
    </row>
    <row r="33252" spans="8:10" x14ac:dyDescent="0.35">
      <c r="H33252" s="676"/>
      <c r="I33252" s="676"/>
      <c r="J33252" s="770"/>
    </row>
    <row r="33253" spans="8:10" x14ac:dyDescent="0.35">
      <c r="H33253" s="676"/>
      <c r="I33253" s="676"/>
      <c r="J33253" s="770"/>
    </row>
    <row r="33254" spans="8:10" x14ac:dyDescent="0.35">
      <c r="H33254" s="676"/>
      <c r="I33254" s="676"/>
      <c r="J33254" s="770"/>
    </row>
    <row r="33255" spans="8:10" x14ac:dyDescent="0.35">
      <c r="H33255" s="676"/>
      <c r="I33255" s="676"/>
      <c r="J33255" s="770"/>
    </row>
    <row r="33256" spans="8:10" x14ac:dyDescent="0.35">
      <c r="H33256" s="676"/>
      <c r="I33256" s="676"/>
      <c r="J33256" s="770"/>
    </row>
    <row r="33257" spans="8:10" x14ac:dyDescent="0.35">
      <c r="H33257" s="676"/>
      <c r="I33257" s="676"/>
      <c r="J33257" s="770"/>
    </row>
    <row r="33258" spans="8:10" x14ac:dyDescent="0.35">
      <c r="H33258" s="676"/>
      <c r="I33258" s="676"/>
      <c r="J33258" s="770"/>
    </row>
    <row r="33259" spans="8:10" x14ac:dyDescent="0.35">
      <c r="H33259" s="676"/>
      <c r="I33259" s="676"/>
      <c r="J33259" s="770"/>
    </row>
    <row r="33260" spans="8:10" x14ac:dyDescent="0.35">
      <c r="H33260" s="676"/>
      <c r="I33260" s="676"/>
      <c r="J33260" s="770"/>
    </row>
    <row r="33261" spans="8:10" x14ac:dyDescent="0.35">
      <c r="H33261" s="676"/>
      <c r="I33261" s="676"/>
      <c r="J33261" s="770"/>
    </row>
    <row r="33262" spans="8:10" x14ac:dyDescent="0.35">
      <c r="H33262" s="676"/>
      <c r="I33262" s="676"/>
      <c r="J33262" s="770"/>
    </row>
    <row r="33263" spans="8:10" x14ac:dyDescent="0.35">
      <c r="H33263" s="676"/>
      <c r="I33263" s="676"/>
      <c r="J33263" s="770"/>
    </row>
    <row r="33264" spans="8:10" x14ac:dyDescent="0.35">
      <c r="H33264" s="676"/>
      <c r="I33264" s="676"/>
      <c r="J33264" s="770"/>
    </row>
    <row r="33265" spans="8:10" x14ac:dyDescent="0.35">
      <c r="H33265" s="676"/>
      <c r="I33265" s="676"/>
      <c r="J33265" s="770"/>
    </row>
    <row r="33266" spans="8:10" x14ac:dyDescent="0.35">
      <c r="H33266" s="676"/>
      <c r="I33266" s="676"/>
      <c r="J33266" s="770"/>
    </row>
    <row r="33267" spans="8:10" x14ac:dyDescent="0.35">
      <c r="H33267" s="676"/>
      <c r="I33267" s="676"/>
      <c r="J33267" s="770"/>
    </row>
    <row r="33268" spans="8:10" x14ac:dyDescent="0.35">
      <c r="H33268" s="676"/>
      <c r="I33268" s="676"/>
      <c r="J33268" s="770"/>
    </row>
    <row r="33269" spans="8:10" x14ac:dyDescent="0.35">
      <c r="H33269" s="676"/>
      <c r="I33269" s="676"/>
      <c r="J33269" s="770"/>
    </row>
    <row r="33270" spans="8:10" x14ac:dyDescent="0.35">
      <c r="H33270" s="676"/>
      <c r="I33270" s="676"/>
      <c r="J33270" s="770"/>
    </row>
    <row r="33271" spans="8:10" x14ac:dyDescent="0.35">
      <c r="H33271" s="676"/>
      <c r="I33271" s="676"/>
      <c r="J33271" s="770"/>
    </row>
    <row r="33272" spans="8:10" x14ac:dyDescent="0.35">
      <c r="H33272" s="676"/>
      <c r="I33272" s="676"/>
      <c r="J33272" s="770"/>
    </row>
    <row r="33273" spans="8:10" x14ac:dyDescent="0.35">
      <c r="H33273" s="676"/>
      <c r="I33273" s="676"/>
      <c r="J33273" s="770"/>
    </row>
    <row r="33274" spans="8:10" x14ac:dyDescent="0.35">
      <c r="H33274" s="676"/>
      <c r="I33274" s="676"/>
      <c r="J33274" s="770"/>
    </row>
    <row r="33275" spans="8:10" x14ac:dyDescent="0.35">
      <c r="H33275" s="676"/>
      <c r="I33275" s="676"/>
      <c r="J33275" s="770"/>
    </row>
    <row r="33276" spans="8:10" x14ac:dyDescent="0.35">
      <c r="H33276" s="676"/>
      <c r="I33276" s="676"/>
      <c r="J33276" s="770"/>
    </row>
    <row r="33277" spans="8:10" x14ac:dyDescent="0.35">
      <c r="H33277" s="676"/>
      <c r="I33277" s="676"/>
      <c r="J33277" s="770"/>
    </row>
    <row r="33278" spans="8:10" x14ac:dyDescent="0.35">
      <c r="H33278" s="676"/>
      <c r="I33278" s="676"/>
      <c r="J33278" s="770"/>
    </row>
    <row r="33279" spans="8:10" x14ac:dyDescent="0.35">
      <c r="H33279" s="676"/>
      <c r="I33279" s="676"/>
      <c r="J33279" s="770"/>
    </row>
    <row r="33280" spans="8:10" x14ac:dyDescent="0.35">
      <c r="H33280" s="676"/>
      <c r="I33280" s="676"/>
      <c r="J33280" s="770"/>
    </row>
    <row r="33281" spans="8:10" x14ac:dyDescent="0.35">
      <c r="H33281" s="676"/>
      <c r="I33281" s="676"/>
      <c r="J33281" s="770"/>
    </row>
    <row r="33282" spans="8:10" x14ac:dyDescent="0.35">
      <c r="H33282" s="676"/>
      <c r="I33282" s="676"/>
      <c r="J33282" s="770"/>
    </row>
    <row r="33283" spans="8:10" x14ac:dyDescent="0.35">
      <c r="H33283" s="676"/>
      <c r="I33283" s="676"/>
      <c r="J33283" s="770"/>
    </row>
    <row r="33284" spans="8:10" x14ac:dyDescent="0.35">
      <c r="H33284" s="676"/>
      <c r="I33284" s="676"/>
      <c r="J33284" s="770"/>
    </row>
    <row r="33285" spans="8:10" x14ac:dyDescent="0.35">
      <c r="H33285" s="676"/>
      <c r="I33285" s="676"/>
      <c r="J33285" s="770"/>
    </row>
    <row r="33286" spans="8:10" x14ac:dyDescent="0.35">
      <c r="H33286" s="676"/>
      <c r="I33286" s="676"/>
      <c r="J33286" s="770"/>
    </row>
    <row r="33287" spans="8:10" x14ac:dyDescent="0.35">
      <c r="H33287" s="676"/>
      <c r="I33287" s="676"/>
      <c r="J33287" s="770"/>
    </row>
    <row r="33288" spans="8:10" x14ac:dyDescent="0.35">
      <c r="H33288" s="676"/>
      <c r="I33288" s="676"/>
      <c r="J33288" s="770"/>
    </row>
    <row r="33289" spans="8:10" x14ac:dyDescent="0.35">
      <c r="H33289" s="676"/>
      <c r="I33289" s="676"/>
      <c r="J33289" s="770"/>
    </row>
    <row r="33290" spans="8:10" x14ac:dyDescent="0.35">
      <c r="H33290" s="676"/>
      <c r="I33290" s="676"/>
      <c r="J33290" s="770"/>
    </row>
    <row r="33291" spans="8:10" x14ac:dyDescent="0.35">
      <c r="H33291" s="676"/>
      <c r="I33291" s="676"/>
      <c r="J33291" s="770"/>
    </row>
    <row r="33292" spans="8:10" x14ac:dyDescent="0.35">
      <c r="H33292" s="676"/>
      <c r="I33292" s="676"/>
      <c r="J33292" s="770"/>
    </row>
    <row r="33293" spans="8:10" x14ac:dyDescent="0.35">
      <c r="H33293" s="676"/>
      <c r="I33293" s="676"/>
      <c r="J33293" s="770"/>
    </row>
    <row r="33294" spans="8:10" x14ac:dyDescent="0.35">
      <c r="H33294" s="676"/>
      <c r="I33294" s="676"/>
      <c r="J33294" s="770"/>
    </row>
    <row r="33295" spans="8:10" x14ac:dyDescent="0.35">
      <c r="H33295" s="676"/>
      <c r="I33295" s="676"/>
      <c r="J33295" s="770"/>
    </row>
    <row r="33296" spans="8:10" x14ac:dyDescent="0.35">
      <c r="H33296" s="676"/>
      <c r="I33296" s="676"/>
      <c r="J33296" s="770"/>
    </row>
    <row r="33297" spans="8:10" x14ac:dyDescent="0.35">
      <c r="H33297" s="676"/>
      <c r="I33297" s="676"/>
      <c r="J33297" s="770"/>
    </row>
    <row r="33298" spans="8:10" x14ac:dyDescent="0.35">
      <c r="H33298" s="676"/>
      <c r="I33298" s="676"/>
      <c r="J33298" s="770"/>
    </row>
    <row r="33299" spans="8:10" x14ac:dyDescent="0.35">
      <c r="H33299" s="676"/>
      <c r="I33299" s="676"/>
      <c r="J33299" s="770"/>
    </row>
    <row r="33300" spans="8:10" x14ac:dyDescent="0.35">
      <c r="H33300" s="676"/>
      <c r="I33300" s="676"/>
      <c r="J33300" s="770"/>
    </row>
    <row r="33301" spans="8:10" x14ac:dyDescent="0.35">
      <c r="H33301" s="676"/>
      <c r="I33301" s="676"/>
      <c r="J33301" s="770"/>
    </row>
    <row r="33302" spans="8:10" x14ac:dyDescent="0.35">
      <c r="H33302" s="676"/>
      <c r="I33302" s="676"/>
      <c r="J33302" s="770"/>
    </row>
    <row r="33303" spans="8:10" x14ac:dyDescent="0.35">
      <c r="H33303" s="676"/>
      <c r="I33303" s="676"/>
      <c r="J33303" s="770"/>
    </row>
    <row r="33304" spans="8:10" x14ac:dyDescent="0.35">
      <c r="H33304" s="676"/>
      <c r="I33304" s="676"/>
      <c r="J33304" s="770"/>
    </row>
    <row r="33305" spans="8:10" x14ac:dyDescent="0.35">
      <c r="H33305" s="676"/>
      <c r="I33305" s="676"/>
      <c r="J33305" s="770"/>
    </row>
    <row r="33306" spans="8:10" x14ac:dyDescent="0.35">
      <c r="H33306" s="676"/>
      <c r="I33306" s="676"/>
      <c r="J33306" s="770"/>
    </row>
    <row r="33307" spans="8:10" x14ac:dyDescent="0.35">
      <c r="H33307" s="676"/>
      <c r="I33307" s="676"/>
      <c r="J33307" s="770"/>
    </row>
    <row r="33308" spans="8:10" x14ac:dyDescent="0.35">
      <c r="H33308" s="676"/>
      <c r="I33308" s="676"/>
      <c r="J33308" s="770"/>
    </row>
    <row r="33309" spans="8:10" x14ac:dyDescent="0.35">
      <c r="H33309" s="676"/>
      <c r="I33309" s="676"/>
      <c r="J33309" s="770"/>
    </row>
    <row r="33310" spans="8:10" x14ac:dyDescent="0.35">
      <c r="H33310" s="676"/>
      <c r="I33310" s="676"/>
      <c r="J33310" s="770"/>
    </row>
    <row r="33311" spans="8:10" x14ac:dyDescent="0.35">
      <c r="H33311" s="676"/>
      <c r="I33311" s="676"/>
      <c r="J33311" s="770"/>
    </row>
    <row r="33312" spans="8:10" x14ac:dyDescent="0.35">
      <c r="H33312" s="676"/>
      <c r="I33312" s="676"/>
      <c r="J33312" s="770"/>
    </row>
    <row r="33313" spans="8:10" x14ac:dyDescent="0.35">
      <c r="H33313" s="676"/>
      <c r="I33313" s="676"/>
      <c r="J33313" s="770"/>
    </row>
    <row r="33314" spans="8:10" x14ac:dyDescent="0.35">
      <c r="H33314" s="676"/>
      <c r="I33314" s="676"/>
      <c r="J33314" s="770"/>
    </row>
    <row r="33315" spans="8:10" x14ac:dyDescent="0.35">
      <c r="H33315" s="676"/>
      <c r="I33315" s="676"/>
      <c r="J33315" s="770"/>
    </row>
    <row r="33316" spans="8:10" x14ac:dyDescent="0.35">
      <c r="H33316" s="676"/>
      <c r="I33316" s="676"/>
      <c r="J33316" s="770"/>
    </row>
    <row r="33317" spans="8:10" x14ac:dyDescent="0.35">
      <c r="H33317" s="676"/>
      <c r="I33317" s="676"/>
      <c r="J33317" s="770"/>
    </row>
    <row r="33318" spans="8:10" x14ac:dyDescent="0.35">
      <c r="H33318" s="676"/>
      <c r="I33318" s="676"/>
      <c r="J33318" s="770"/>
    </row>
    <row r="33319" spans="8:10" x14ac:dyDescent="0.35">
      <c r="H33319" s="676"/>
      <c r="I33319" s="676"/>
      <c r="J33319" s="770"/>
    </row>
    <row r="33320" spans="8:10" x14ac:dyDescent="0.35">
      <c r="H33320" s="676"/>
      <c r="I33320" s="676"/>
      <c r="J33320" s="770"/>
    </row>
    <row r="33321" spans="8:10" x14ac:dyDescent="0.35">
      <c r="H33321" s="676"/>
      <c r="I33321" s="676"/>
      <c r="J33321" s="770"/>
    </row>
    <row r="33322" spans="8:10" x14ac:dyDescent="0.35">
      <c r="H33322" s="676"/>
      <c r="I33322" s="676"/>
      <c r="J33322" s="770"/>
    </row>
    <row r="33323" spans="8:10" x14ac:dyDescent="0.35">
      <c r="H33323" s="676"/>
      <c r="I33323" s="676"/>
      <c r="J33323" s="770"/>
    </row>
    <row r="33324" spans="8:10" x14ac:dyDescent="0.35">
      <c r="H33324" s="676"/>
      <c r="I33324" s="676"/>
      <c r="J33324" s="770"/>
    </row>
    <row r="33325" spans="8:10" x14ac:dyDescent="0.35">
      <c r="H33325" s="676"/>
      <c r="I33325" s="676"/>
      <c r="J33325" s="770"/>
    </row>
    <row r="33326" spans="8:10" x14ac:dyDescent="0.35">
      <c r="H33326" s="676"/>
      <c r="I33326" s="676"/>
      <c r="J33326" s="770"/>
    </row>
    <row r="33327" spans="8:10" x14ac:dyDescent="0.35">
      <c r="H33327" s="676"/>
      <c r="I33327" s="676"/>
      <c r="J33327" s="770"/>
    </row>
    <row r="33328" spans="8:10" x14ac:dyDescent="0.35">
      <c r="H33328" s="676"/>
      <c r="I33328" s="676"/>
      <c r="J33328" s="770"/>
    </row>
    <row r="33329" spans="8:10" x14ac:dyDescent="0.35">
      <c r="H33329" s="676"/>
      <c r="I33329" s="676"/>
      <c r="J33329" s="770"/>
    </row>
    <row r="33330" spans="8:10" x14ac:dyDescent="0.35">
      <c r="H33330" s="676"/>
      <c r="I33330" s="676"/>
      <c r="J33330" s="770"/>
    </row>
    <row r="33331" spans="8:10" x14ac:dyDescent="0.35">
      <c r="H33331" s="676"/>
      <c r="I33331" s="676"/>
      <c r="J33331" s="770"/>
    </row>
    <row r="33332" spans="8:10" x14ac:dyDescent="0.35">
      <c r="H33332" s="676"/>
      <c r="I33332" s="676"/>
      <c r="J33332" s="770"/>
    </row>
    <row r="33333" spans="8:10" x14ac:dyDescent="0.35">
      <c r="H33333" s="676"/>
      <c r="I33333" s="676"/>
      <c r="J33333" s="770"/>
    </row>
    <row r="33334" spans="8:10" x14ac:dyDescent="0.35">
      <c r="H33334" s="676"/>
      <c r="I33334" s="676"/>
      <c r="J33334" s="770"/>
    </row>
    <row r="33335" spans="8:10" x14ac:dyDescent="0.35">
      <c r="H33335" s="676"/>
      <c r="I33335" s="676"/>
      <c r="J33335" s="770"/>
    </row>
    <row r="33336" spans="8:10" x14ac:dyDescent="0.35">
      <c r="H33336" s="676"/>
      <c r="I33336" s="676"/>
      <c r="J33336" s="770"/>
    </row>
    <row r="33337" spans="8:10" x14ac:dyDescent="0.35">
      <c r="H33337" s="676"/>
      <c r="I33337" s="676"/>
      <c r="J33337" s="770"/>
    </row>
    <row r="33338" spans="8:10" x14ac:dyDescent="0.35">
      <c r="H33338" s="676"/>
      <c r="I33338" s="676"/>
      <c r="J33338" s="770"/>
    </row>
    <row r="33339" spans="8:10" x14ac:dyDescent="0.35">
      <c r="H33339" s="676"/>
      <c r="I33339" s="676"/>
      <c r="J33339" s="770"/>
    </row>
    <row r="33340" spans="8:10" x14ac:dyDescent="0.35">
      <c r="H33340" s="676"/>
      <c r="I33340" s="676"/>
      <c r="J33340" s="770"/>
    </row>
    <row r="33341" spans="8:10" x14ac:dyDescent="0.35">
      <c r="H33341" s="676"/>
      <c r="I33341" s="676"/>
      <c r="J33341" s="770"/>
    </row>
    <row r="33342" spans="8:10" x14ac:dyDescent="0.35">
      <c r="H33342" s="676"/>
      <c r="I33342" s="676"/>
      <c r="J33342" s="770"/>
    </row>
    <row r="33343" spans="8:10" x14ac:dyDescent="0.35">
      <c r="H33343" s="676"/>
      <c r="I33343" s="676"/>
      <c r="J33343" s="770"/>
    </row>
    <row r="33344" spans="8:10" x14ac:dyDescent="0.35">
      <c r="H33344" s="676"/>
      <c r="I33344" s="676"/>
      <c r="J33344" s="770"/>
    </row>
    <row r="33345" spans="8:10" x14ac:dyDescent="0.35">
      <c r="H33345" s="676"/>
      <c r="I33345" s="676"/>
      <c r="J33345" s="770"/>
    </row>
    <row r="33346" spans="8:10" x14ac:dyDescent="0.35">
      <c r="H33346" s="676"/>
      <c r="I33346" s="676"/>
      <c r="J33346" s="770"/>
    </row>
    <row r="33347" spans="8:10" x14ac:dyDescent="0.35">
      <c r="H33347" s="676"/>
      <c r="I33347" s="676"/>
      <c r="J33347" s="770"/>
    </row>
    <row r="33348" spans="8:10" x14ac:dyDescent="0.35">
      <c r="H33348" s="676"/>
      <c r="I33348" s="676"/>
      <c r="J33348" s="770"/>
    </row>
    <row r="33349" spans="8:10" x14ac:dyDescent="0.35">
      <c r="H33349" s="676"/>
      <c r="I33349" s="676"/>
      <c r="J33349" s="770"/>
    </row>
    <row r="33350" spans="8:10" x14ac:dyDescent="0.35">
      <c r="H33350" s="676"/>
      <c r="I33350" s="676"/>
      <c r="J33350" s="770"/>
    </row>
    <row r="33351" spans="8:10" x14ac:dyDescent="0.35">
      <c r="H33351" s="676"/>
      <c r="I33351" s="676"/>
      <c r="J33351" s="770"/>
    </row>
    <row r="33352" spans="8:10" x14ac:dyDescent="0.35">
      <c r="H33352" s="676"/>
      <c r="I33352" s="676"/>
      <c r="J33352" s="770"/>
    </row>
    <row r="33353" spans="8:10" x14ac:dyDescent="0.35">
      <c r="H33353" s="676"/>
      <c r="I33353" s="676"/>
      <c r="J33353" s="770"/>
    </row>
    <row r="33354" spans="8:10" x14ac:dyDescent="0.35">
      <c r="H33354" s="676"/>
      <c r="I33354" s="676"/>
      <c r="J33354" s="770"/>
    </row>
    <row r="33355" spans="8:10" x14ac:dyDescent="0.35">
      <c r="H33355" s="676"/>
      <c r="I33355" s="676"/>
      <c r="J33355" s="770"/>
    </row>
    <row r="33356" spans="8:10" x14ac:dyDescent="0.35">
      <c r="H33356" s="676"/>
      <c r="I33356" s="676"/>
      <c r="J33356" s="770"/>
    </row>
    <row r="33357" spans="8:10" x14ac:dyDescent="0.35">
      <c r="H33357" s="676"/>
      <c r="I33357" s="676"/>
      <c r="J33357" s="770"/>
    </row>
    <row r="33358" spans="8:10" x14ac:dyDescent="0.35">
      <c r="H33358" s="676"/>
      <c r="I33358" s="676"/>
      <c r="J33358" s="770"/>
    </row>
    <row r="33359" spans="8:10" x14ac:dyDescent="0.35">
      <c r="H33359" s="676"/>
      <c r="I33359" s="676"/>
      <c r="J33359" s="770"/>
    </row>
    <row r="33360" spans="8:10" x14ac:dyDescent="0.35">
      <c r="H33360" s="676"/>
      <c r="I33360" s="676"/>
      <c r="J33360" s="770"/>
    </row>
    <row r="33361" spans="8:10" x14ac:dyDescent="0.35">
      <c r="H33361" s="676"/>
      <c r="I33361" s="676"/>
      <c r="J33361" s="770"/>
    </row>
    <row r="33362" spans="8:10" x14ac:dyDescent="0.35">
      <c r="H33362" s="676"/>
      <c r="I33362" s="676"/>
      <c r="J33362" s="770"/>
    </row>
    <row r="33363" spans="8:10" x14ac:dyDescent="0.35">
      <c r="H33363" s="676"/>
      <c r="I33363" s="676"/>
      <c r="J33363" s="770"/>
    </row>
    <row r="33364" spans="8:10" x14ac:dyDescent="0.35">
      <c r="H33364" s="676"/>
      <c r="I33364" s="676"/>
      <c r="J33364" s="770"/>
    </row>
    <row r="33365" spans="8:10" x14ac:dyDescent="0.35">
      <c r="H33365" s="676"/>
      <c r="I33365" s="676"/>
      <c r="J33365" s="770"/>
    </row>
    <row r="33366" spans="8:10" x14ac:dyDescent="0.35">
      <c r="H33366" s="676"/>
      <c r="I33366" s="676"/>
      <c r="J33366" s="770"/>
    </row>
    <row r="33367" spans="8:10" x14ac:dyDescent="0.35">
      <c r="H33367" s="676"/>
      <c r="I33367" s="676"/>
      <c r="J33367" s="770"/>
    </row>
    <row r="33368" spans="8:10" x14ac:dyDescent="0.35">
      <c r="H33368" s="676"/>
      <c r="I33368" s="676"/>
      <c r="J33368" s="770"/>
    </row>
    <row r="33369" spans="8:10" x14ac:dyDescent="0.35">
      <c r="H33369" s="676"/>
      <c r="I33369" s="676"/>
      <c r="J33369" s="770"/>
    </row>
    <row r="33370" spans="8:10" x14ac:dyDescent="0.35">
      <c r="H33370" s="676"/>
      <c r="I33370" s="676"/>
      <c r="J33370" s="770"/>
    </row>
    <row r="33371" spans="8:10" x14ac:dyDescent="0.35">
      <c r="H33371" s="676"/>
      <c r="I33371" s="676"/>
      <c r="J33371" s="770"/>
    </row>
    <row r="33372" spans="8:10" x14ac:dyDescent="0.35">
      <c r="H33372" s="676"/>
      <c r="I33372" s="676"/>
      <c r="J33372" s="770"/>
    </row>
    <row r="33373" spans="8:10" x14ac:dyDescent="0.35">
      <c r="H33373" s="676"/>
      <c r="I33373" s="676"/>
      <c r="J33373" s="770"/>
    </row>
    <row r="33374" spans="8:10" x14ac:dyDescent="0.35">
      <c r="H33374" s="676"/>
      <c r="I33374" s="676"/>
      <c r="J33374" s="770"/>
    </row>
    <row r="33375" spans="8:10" x14ac:dyDescent="0.35">
      <c r="H33375" s="676"/>
      <c r="I33375" s="676"/>
      <c r="J33375" s="770"/>
    </row>
    <row r="33376" spans="8:10" x14ac:dyDescent="0.35">
      <c r="H33376" s="676"/>
      <c r="I33376" s="676"/>
      <c r="J33376" s="770"/>
    </row>
    <row r="33377" spans="8:10" x14ac:dyDescent="0.35">
      <c r="H33377" s="676"/>
      <c r="I33377" s="676"/>
      <c r="J33377" s="770"/>
    </row>
    <row r="33378" spans="8:10" x14ac:dyDescent="0.35">
      <c r="H33378" s="676"/>
      <c r="I33378" s="676"/>
      <c r="J33378" s="770"/>
    </row>
    <row r="33379" spans="8:10" x14ac:dyDescent="0.35">
      <c r="H33379" s="676"/>
      <c r="I33379" s="676"/>
      <c r="J33379" s="770"/>
    </row>
    <row r="33380" spans="8:10" x14ac:dyDescent="0.35">
      <c r="H33380" s="676"/>
      <c r="I33380" s="676"/>
      <c r="J33380" s="770"/>
    </row>
    <row r="33381" spans="8:10" x14ac:dyDescent="0.35">
      <c r="H33381" s="676"/>
      <c r="I33381" s="676"/>
      <c r="J33381" s="770"/>
    </row>
    <row r="33382" spans="8:10" x14ac:dyDescent="0.35">
      <c r="H33382" s="676"/>
      <c r="I33382" s="676"/>
      <c r="J33382" s="770"/>
    </row>
    <row r="33383" spans="8:10" x14ac:dyDescent="0.35">
      <c r="H33383" s="676"/>
      <c r="I33383" s="676"/>
      <c r="J33383" s="770"/>
    </row>
    <row r="33384" spans="8:10" x14ac:dyDescent="0.35">
      <c r="H33384" s="676"/>
      <c r="I33384" s="676"/>
      <c r="J33384" s="770"/>
    </row>
    <row r="33385" spans="8:10" x14ac:dyDescent="0.35">
      <c r="H33385" s="676"/>
      <c r="I33385" s="676"/>
      <c r="J33385" s="770"/>
    </row>
    <row r="33386" spans="8:10" x14ac:dyDescent="0.35">
      <c r="H33386" s="676"/>
      <c r="I33386" s="676"/>
      <c r="J33386" s="770"/>
    </row>
    <row r="33387" spans="8:10" x14ac:dyDescent="0.35">
      <c r="H33387" s="676"/>
      <c r="I33387" s="676"/>
      <c r="J33387" s="770"/>
    </row>
    <row r="33388" spans="8:10" x14ac:dyDescent="0.35">
      <c r="H33388" s="676"/>
      <c r="I33388" s="676"/>
      <c r="J33388" s="770"/>
    </row>
    <row r="33389" spans="8:10" x14ac:dyDescent="0.35">
      <c r="H33389" s="676"/>
      <c r="I33389" s="676"/>
      <c r="J33389" s="770"/>
    </row>
    <row r="33390" spans="8:10" x14ac:dyDescent="0.35">
      <c r="H33390" s="676"/>
      <c r="I33390" s="676"/>
      <c r="J33390" s="770"/>
    </row>
    <row r="33391" spans="8:10" x14ac:dyDescent="0.35">
      <c r="H33391" s="676"/>
      <c r="I33391" s="676"/>
      <c r="J33391" s="770"/>
    </row>
    <row r="33392" spans="8:10" x14ac:dyDescent="0.35">
      <c r="H33392" s="676"/>
      <c r="I33392" s="676"/>
      <c r="J33392" s="770"/>
    </row>
    <row r="33393" spans="8:10" x14ac:dyDescent="0.35">
      <c r="H33393" s="676"/>
      <c r="I33393" s="676"/>
      <c r="J33393" s="770"/>
    </row>
    <row r="33394" spans="8:10" x14ac:dyDescent="0.35">
      <c r="H33394" s="676"/>
      <c r="I33394" s="676"/>
      <c r="J33394" s="770"/>
    </row>
    <row r="33395" spans="8:10" x14ac:dyDescent="0.35">
      <c r="H33395" s="676"/>
      <c r="I33395" s="676"/>
      <c r="J33395" s="770"/>
    </row>
    <row r="33396" spans="8:10" x14ac:dyDescent="0.35">
      <c r="H33396" s="676"/>
      <c r="I33396" s="676"/>
      <c r="J33396" s="770"/>
    </row>
    <row r="33397" spans="8:10" x14ac:dyDescent="0.35">
      <c r="H33397" s="676"/>
      <c r="I33397" s="676"/>
      <c r="J33397" s="770"/>
    </row>
    <row r="33398" spans="8:10" x14ac:dyDescent="0.35">
      <c r="H33398" s="676"/>
      <c r="I33398" s="676"/>
      <c r="J33398" s="770"/>
    </row>
    <row r="33399" spans="8:10" x14ac:dyDescent="0.35">
      <c r="H33399" s="676"/>
      <c r="I33399" s="676"/>
      <c r="J33399" s="770"/>
    </row>
    <row r="33400" spans="8:10" x14ac:dyDescent="0.35">
      <c r="H33400" s="676"/>
      <c r="I33400" s="676"/>
      <c r="J33400" s="770"/>
    </row>
    <row r="33401" spans="8:10" x14ac:dyDescent="0.35">
      <c r="H33401" s="676"/>
      <c r="I33401" s="676"/>
      <c r="J33401" s="770"/>
    </row>
    <row r="33402" spans="8:10" x14ac:dyDescent="0.35">
      <c r="H33402" s="676"/>
      <c r="I33402" s="676"/>
      <c r="J33402" s="770"/>
    </row>
    <row r="33403" spans="8:10" x14ac:dyDescent="0.35">
      <c r="H33403" s="676"/>
      <c r="I33403" s="676"/>
      <c r="J33403" s="770"/>
    </row>
    <row r="33404" spans="8:10" x14ac:dyDescent="0.35">
      <c r="H33404" s="676"/>
      <c r="I33404" s="676"/>
      <c r="J33404" s="770"/>
    </row>
    <row r="33405" spans="8:10" x14ac:dyDescent="0.35">
      <c r="H33405" s="676"/>
      <c r="I33405" s="676"/>
      <c r="J33405" s="770"/>
    </row>
    <row r="33406" spans="8:10" x14ac:dyDescent="0.35">
      <c r="H33406" s="676"/>
      <c r="I33406" s="676"/>
      <c r="J33406" s="770"/>
    </row>
    <row r="33407" spans="8:10" x14ac:dyDescent="0.35">
      <c r="H33407" s="676"/>
      <c r="I33407" s="676"/>
      <c r="J33407" s="770"/>
    </row>
    <row r="33408" spans="8:10" x14ac:dyDescent="0.35">
      <c r="H33408" s="676"/>
      <c r="I33408" s="676"/>
      <c r="J33408" s="770"/>
    </row>
    <row r="33409" spans="8:10" x14ac:dyDescent="0.35">
      <c r="H33409" s="676"/>
      <c r="I33409" s="676"/>
      <c r="J33409" s="770"/>
    </row>
    <row r="33410" spans="8:10" x14ac:dyDescent="0.35">
      <c r="H33410" s="676"/>
      <c r="I33410" s="676"/>
      <c r="J33410" s="770"/>
    </row>
    <row r="33411" spans="8:10" x14ac:dyDescent="0.35">
      <c r="H33411" s="676"/>
      <c r="I33411" s="676"/>
      <c r="J33411" s="770"/>
    </row>
    <row r="33412" spans="8:10" x14ac:dyDescent="0.35">
      <c r="H33412" s="676"/>
      <c r="I33412" s="676"/>
      <c r="J33412" s="770"/>
    </row>
    <row r="33413" spans="8:10" x14ac:dyDescent="0.35">
      <c r="H33413" s="676"/>
      <c r="I33413" s="676"/>
      <c r="J33413" s="770"/>
    </row>
    <row r="33414" spans="8:10" x14ac:dyDescent="0.35">
      <c r="H33414" s="676"/>
      <c r="I33414" s="676"/>
      <c r="J33414" s="770"/>
    </row>
    <row r="33415" spans="8:10" x14ac:dyDescent="0.35">
      <c r="H33415" s="676"/>
      <c r="I33415" s="676"/>
      <c r="J33415" s="770"/>
    </row>
    <row r="33416" spans="8:10" x14ac:dyDescent="0.35">
      <c r="H33416" s="676"/>
      <c r="I33416" s="676"/>
      <c r="J33416" s="770"/>
    </row>
    <row r="33417" spans="8:10" x14ac:dyDescent="0.35">
      <c r="H33417" s="676"/>
      <c r="I33417" s="676"/>
      <c r="J33417" s="770"/>
    </row>
    <row r="33418" spans="8:10" x14ac:dyDescent="0.35">
      <c r="H33418" s="676"/>
      <c r="I33418" s="676"/>
      <c r="J33418" s="770"/>
    </row>
    <row r="33419" spans="8:10" x14ac:dyDescent="0.35">
      <c r="H33419" s="676"/>
      <c r="I33419" s="676"/>
      <c r="J33419" s="770"/>
    </row>
    <row r="33420" spans="8:10" x14ac:dyDescent="0.35">
      <c r="H33420" s="676"/>
      <c r="I33420" s="676"/>
      <c r="J33420" s="770"/>
    </row>
    <row r="33421" spans="8:10" x14ac:dyDescent="0.35">
      <c r="H33421" s="676"/>
      <c r="I33421" s="676"/>
      <c r="J33421" s="770"/>
    </row>
    <row r="33422" spans="8:10" x14ac:dyDescent="0.35">
      <c r="H33422" s="676"/>
      <c r="I33422" s="676"/>
      <c r="J33422" s="770"/>
    </row>
    <row r="33423" spans="8:10" x14ac:dyDescent="0.35">
      <c r="H33423" s="676"/>
      <c r="I33423" s="676"/>
      <c r="J33423" s="770"/>
    </row>
    <row r="33424" spans="8:10" x14ac:dyDescent="0.35">
      <c r="H33424" s="676"/>
      <c r="I33424" s="676"/>
      <c r="J33424" s="770"/>
    </row>
    <row r="33425" spans="8:10" x14ac:dyDescent="0.35">
      <c r="H33425" s="676"/>
      <c r="I33425" s="676"/>
      <c r="J33425" s="770"/>
    </row>
    <row r="33426" spans="8:10" x14ac:dyDescent="0.35">
      <c r="H33426" s="676"/>
      <c r="I33426" s="676"/>
      <c r="J33426" s="770"/>
    </row>
    <row r="33427" spans="8:10" x14ac:dyDescent="0.35">
      <c r="H33427" s="676"/>
      <c r="I33427" s="676"/>
      <c r="J33427" s="770"/>
    </row>
    <row r="33428" spans="8:10" x14ac:dyDescent="0.35">
      <c r="H33428" s="676"/>
      <c r="I33428" s="676"/>
      <c r="J33428" s="770"/>
    </row>
    <row r="33429" spans="8:10" x14ac:dyDescent="0.35">
      <c r="H33429" s="676"/>
      <c r="I33429" s="676"/>
      <c r="J33429" s="770"/>
    </row>
    <row r="33430" spans="8:10" x14ac:dyDescent="0.35">
      <c r="H33430" s="676"/>
      <c r="I33430" s="676"/>
      <c r="J33430" s="770"/>
    </row>
    <row r="33431" spans="8:10" x14ac:dyDescent="0.35">
      <c r="H33431" s="676"/>
      <c r="I33431" s="676"/>
      <c r="J33431" s="770"/>
    </row>
    <row r="33432" spans="8:10" x14ac:dyDescent="0.35">
      <c r="H33432" s="676"/>
      <c r="I33432" s="676"/>
      <c r="J33432" s="770"/>
    </row>
    <row r="33433" spans="8:10" x14ac:dyDescent="0.35">
      <c r="H33433" s="676"/>
      <c r="I33433" s="676"/>
      <c r="J33433" s="770"/>
    </row>
    <row r="33434" spans="8:10" x14ac:dyDescent="0.35">
      <c r="H33434" s="676"/>
      <c r="I33434" s="676"/>
      <c r="J33434" s="770"/>
    </row>
    <row r="33435" spans="8:10" x14ac:dyDescent="0.35">
      <c r="H33435" s="676"/>
      <c r="I33435" s="676"/>
      <c r="J33435" s="770"/>
    </row>
    <row r="33436" spans="8:10" x14ac:dyDescent="0.35">
      <c r="H33436" s="676"/>
      <c r="I33436" s="676"/>
      <c r="J33436" s="770"/>
    </row>
    <row r="33437" spans="8:10" x14ac:dyDescent="0.35">
      <c r="H33437" s="676"/>
      <c r="I33437" s="676"/>
      <c r="J33437" s="770"/>
    </row>
    <row r="33438" spans="8:10" x14ac:dyDescent="0.35">
      <c r="H33438" s="676"/>
      <c r="I33438" s="676"/>
      <c r="J33438" s="770"/>
    </row>
    <row r="33439" spans="8:10" x14ac:dyDescent="0.35">
      <c r="H33439" s="676"/>
      <c r="I33439" s="676"/>
      <c r="J33439" s="770"/>
    </row>
    <row r="33440" spans="8:10" x14ac:dyDescent="0.35">
      <c r="H33440" s="676"/>
      <c r="I33440" s="676"/>
      <c r="J33440" s="770"/>
    </row>
    <row r="33441" spans="8:10" x14ac:dyDescent="0.35">
      <c r="H33441" s="676"/>
      <c r="I33441" s="676"/>
      <c r="J33441" s="770"/>
    </row>
    <row r="33442" spans="8:10" x14ac:dyDescent="0.35">
      <c r="H33442" s="676"/>
      <c r="I33442" s="676"/>
      <c r="J33442" s="770"/>
    </row>
    <row r="33443" spans="8:10" x14ac:dyDescent="0.35">
      <c r="H33443" s="676"/>
      <c r="I33443" s="676"/>
      <c r="J33443" s="770"/>
    </row>
    <row r="33444" spans="8:10" x14ac:dyDescent="0.35">
      <c r="H33444" s="676"/>
      <c r="I33444" s="676"/>
      <c r="J33444" s="770"/>
    </row>
    <row r="33445" spans="8:10" x14ac:dyDescent="0.35">
      <c r="H33445" s="676"/>
      <c r="I33445" s="676"/>
      <c r="J33445" s="770"/>
    </row>
    <row r="33446" spans="8:10" x14ac:dyDescent="0.35">
      <c r="H33446" s="676"/>
      <c r="I33446" s="676"/>
      <c r="J33446" s="770"/>
    </row>
    <row r="33447" spans="8:10" x14ac:dyDescent="0.35">
      <c r="H33447" s="676"/>
      <c r="I33447" s="676"/>
      <c r="J33447" s="770"/>
    </row>
    <row r="33448" spans="8:10" x14ac:dyDescent="0.35">
      <c r="H33448" s="676"/>
      <c r="I33448" s="676"/>
      <c r="J33448" s="770"/>
    </row>
    <row r="33449" spans="8:10" x14ac:dyDescent="0.35">
      <c r="H33449" s="676"/>
      <c r="I33449" s="676"/>
      <c r="J33449" s="770"/>
    </row>
    <row r="33450" spans="8:10" x14ac:dyDescent="0.35">
      <c r="H33450" s="676"/>
      <c r="I33450" s="676"/>
      <c r="J33450" s="770"/>
    </row>
    <row r="33451" spans="8:10" x14ac:dyDescent="0.35">
      <c r="H33451" s="676"/>
      <c r="I33451" s="676"/>
      <c r="J33451" s="770"/>
    </row>
    <row r="33452" spans="8:10" x14ac:dyDescent="0.35">
      <c r="H33452" s="676"/>
      <c r="I33452" s="676"/>
      <c r="J33452" s="770"/>
    </row>
    <row r="33453" spans="8:10" x14ac:dyDescent="0.35">
      <c r="H33453" s="676"/>
      <c r="I33453" s="676"/>
      <c r="J33453" s="770"/>
    </row>
    <row r="33454" spans="8:10" x14ac:dyDescent="0.35">
      <c r="H33454" s="676"/>
      <c r="I33454" s="676"/>
      <c r="J33454" s="770"/>
    </row>
    <row r="33455" spans="8:10" x14ac:dyDescent="0.35">
      <c r="H33455" s="676"/>
      <c r="I33455" s="676"/>
      <c r="J33455" s="770"/>
    </row>
    <row r="33456" spans="8:10" x14ac:dyDescent="0.35">
      <c r="H33456" s="676"/>
      <c r="I33456" s="676"/>
      <c r="J33456" s="770"/>
    </row>
    <row r="33457" spans="8:10" x14ac:dyDescent="0.35">
      <c r="H33457" s="676"/>
      <c r="I33457" s="676"/>
      <c r="J33457" s="770"/>
    </row>
    <row r="33458" spans="8:10" x14ac:dyDescent="0.35">
      <c r="H33458" s="676"/>
      <c r="I33458" s="676"/>
      <c r="J33458" s="770"/>
    </row>
    <row r="33459" spans="8:10" x14ac:dyDescent="0.35">
      <c r="H33459" s="676"/>
      <c r="I33459" s="676"/>
      <c r="J33459" s="770"/>
    </row>
    <row r="33460" spans="8:10" x14ac:dyDescent="0.35">
      <c r="H33460" s="676"/>
      <c r="I33460" s="676"/>
      <c r="J33460" s="770"/>
    </row>
    <row r="33461" spans="8:10" x14ac:dyDescent="0.35">
      <c r="H33461" s="676"/>
      <c r="I33461" s="676"/>
      <c r="J33461" s="770"/>
    </row>
    <row r="33462" spans="8:10" x14ac:dyDescent="0.35">
      <c r="H33462" s="676"/>
      <c r="I33462" s="676"/>
      <c r="J33462" s="770"/>
    </row>
    <row r="33463" spans="8:10" x14ac:dyDescent="0.35">
      <c r="H33463" s="676"/>
      <c r="I33463" s="676"/>
      <c r="J33463" s="770"/>
    </row>
    <row r="33464" spans="8:10" x14ac:dyDescent="0.35">
      <c r="H33464" s="676"/>
      <c r="I33464" s="676"/>
      <c r="J33464" s="770"/>
    </row>
    <row r="33465" spans="8:10" x14ac:dyDescent="0.35">
      <c r="H33465" s="676"/>
      <c r="I33465" s="676"/>
      <c r="J33465" s="770"/>
    </row>
    <row r="33466" spans="8:10" x14ac:dyDescent="0.35">
      <c r="H33466" s="676"/>
      <c r="I33466" s="676"/>
      <c r="J33466" s="770"/>
    </row>
    <row r="33467" spans="8:10" x14ac:dyDescent="0.35">
      <c r="H33467" s="676"/>
      <c r="I33467" s="676"/>
      <c r="J33467" s="770"/>
    </row>
    <row r="33468" spans="8:10" x14ac:dyDescent="0.35">
      <c r="H33468" s="676"/>
      <c r="I33468" s="676"/>
      <c r="J33468" s="770"/>
    </row>
    <row r="33469" spans="8:10" x14ac:dyDescent="0.35">
      <c r="H33469" s="676"/>
      <c r="I33469" s="676"/>
      <c r="J33469" s="770"/>
    </row>
    <row r="33470" spans="8:10" x14ac:dyDescent="0.35">
      <c r="H33470" s="676"/>
      <c r="I33470" s="676"/>
      <c r="J33470" s="770"/>
    </row>
    <row r="33471" spans="8:10" x14ac:dyDescent="0.35">
      <c r="H33471" s="676"/>
      <c r="I33471" s="676"/>
      <c r="J33471" s="770"/>
    </row>
    <row r="33472" spans="8:10" x14ac:dyDescent="0.35">
      <c r="H33472" s="676"/>
      <c r="I33472" s="676"/>
      <c r="J33472" s="770"/>
    </row>
    <row r="33473" spans="8:10" x14ac:dyDescent="0.35">
      <c r="H33473" s="676"/>
      <c r="I33473" s="676"/>
      <c r="J33473" s="770"/>
    </row>
    <row r="33474" spans="8:10" x14ac:dyDescent="0.35">
      <c r="H33474" s="676"/>
      <c r="I33474" s="676"/>
      <c r="J33474" s="770"/>
    </row>
    <row r="33475" spans="8:10" x14ac:dyDescent="0.35">
      <c r="H33475" s="676"/>
      <c r="I33475" s="676"/>
      <c r="J33475" s="770"/>
    </row>
    <row r="33476" spans="8:10" x14ac:dyDescent="0.35">
      <c r="H33476" s="676"/>
      <c r="I33476" s="676"/>
      <c r="J33476" s="770"/>
    </row>
    <row r="33477" spans="8:10" x14ac:dyDescent="0.35">
      <c r="H33477" s="676"/>
      <c r="I33477" s="676"/>
      <c r="J33477" s="770"/>
    </row>
    <row r="33478" spans="8:10" x14ac:dyDescent="0.35">
      <c r="H33478" s="676"/>
      <c r="I33478" s="676"/>
      <c r="J33478" s="770"/>
    </row>
    <row r="33479" spans="8:10" x14ac:dyDescent="0.35">
      <c r="H33479" s="676"/>
      <c r="I33479" s="676"/>
      <c r="J33479" s="770"/>
    </row>
    <row r="33480" spans="8:10" x14ac:dyDescent="0.35">
      <c r="H33480" s="676"/>
      <c r="I33480" s="676"/>
      <c r="J33480" s="770"/>
    </row>
    <row r="33481" spans="8:10" x14ac:dyDescent="0.35">
      <c r="H33481" s="676"/>
      <c r="I33481" s="676"/>
      <c r="J33481" s="770"/>
    </row>
    <row r="33482" spans="8:10" x14ac:dyDescent="0.35">
      <c r="H33482" s="676"/>
      <c r="I33482" s="676"/>
      <c r="J33482" s="770"/>
    </row>
    <row r="33483" spans="8:10" x14ac:dyDescent="0.35">
      <c r="H33483" s="676"/>
      <c r="I33483" s="676"/>
      <c r="J33483" s="770"/>
    </row>
    <row r="33484" spans="8:10" x14ac:dyDescent="0.35">
      <c r="H33484" s="676"/>
      <c r="I33484" s="676"/>
      <c r="J33484" s="770"/>
    </row>
    <row r="33485" spans="8:10" x14ac:dyDescent="0.35">
      <c r="H33485" s="676"/>
      <c r="I33485" s="676"/>
      <c r="J33485" s="770"/>
    </row>
    <row r="33486" spans="8:10" x14ac:dyDescent="0.35">
      <c r="H33486" s="676"/>
      <c r="I33486" s="676"/>
      <c r="J33486" s="770"/>
    </row>
    <row r="33487" spans="8:10" x14ac:dyDescent="0.35">
      <c r="H33487" s="676"/>
      <c r="I33487" s="676"/>
      <c r="J33487" s="770"/>
    </row>
    <row r="33488" spans="8:10" x14ac:dyDescent="0.35">
      <c r="H33488" s="676"/>
      <c r="I33488" s="676"/>
      <c r="J33488" s="770"/>
    </row>
    <row r="33489" spans="8:10" x14ac:dyDescent="0.35">
      <c r="H33489" s="676"/>
      <c r="I33489" s="676"/>
      <c r="J33489" s="770"/>
    </row>
    <row r="33490" spans="8:10" x14ac:dyDescent="0.35">
      <c r="H33490" s="676"/>
      <c r="I33490" s="676"/>
      <c r="J33490" s="770"/>
    </row>
    <row r="33491" spans="8:10" x14ac:dyDescent="0.35">
      <c r="H33491" s="676"/>
      <c r="I33491" s="676"/>
      <c r="J33491" s="770"/>
    </row>
    <row r="33492" spans="8:10" x14ac:dyDescent="0.35">
      <c r="H33492" s="676"/>
      <c r="I33492" s="676"/>
      <c r="J33492" s="770"/>
    </row>
    <row r="33493" spans="8:10" x14ac:dyDescent="0.35">
      <c r="H33493" s="676"/>
      <c r="I33493" s="676"/>
      <c r="J33493" s="770"/>
    </row>
    <row r="33494" spans="8:10" x14ac:dyDescent="0.35">
      <c r="H33494" s="676"/>
      <c r="I33494" s="676"/>
      <c r="J33494" s="770"/>
    </row>
    <row r="33495" spans="8:10" x14ac:dyDescent="0.35">
      <c r="H33495" s="676"/>
      <c r="I33495" s="676"/>
      <c r="J33495" s="770"/>
    </row>
    <row r="33496" spans="8:10" x14ac:dyDescent="0.35">
      <c r="H33496" s="676"/>
      <c r="I33496" s="676"/>
      <c r="J33496" s="770"/>
    </row>
    <row r="33497" spans="8:10" x14ac:dyDescent="0.35">
      <c r="H33497" s="676"/>
      <c r="I33497" s="676"/>
      <c r="J33497" s="770"/>
    </row>
    <row r="33498" spans="8:10" x14ac:dyDescent="0.35">
      <c r="H33498" s="676"/>
      <c r="I33498" s="676"/>
      <c r="J33498" s="770"/>
    </row>
    <row r="33499" spans="8:10" x14ac:dyDescent="0.35">
      <c r="H33499" s="676"/>
      <c r="I33499" s="676"/>
      <c r="J33499" s="770"/>
    </row>
    <row r="33500" spans="8:10" x14ac:dyDescent="0.35">
      <c r="H33500" s="676"/>
      <c r="I33500" s="676"/>
      <c r="J33500" s="770"/>
    </row>
    <row r="33501" spans="8:10" x14ac:dyDescent="0.35">
      <c r="H33501" s="676"/>
      <c r="I33501" s="676"/>
      <c r="J33501" s="770"/>
    </row>
    <row r="33502" spans="8:10" x14ac:dyDescent="0.35">
      <c r="H33502" s="676"/>
      <c r="I33502" s="676"/>
      <c r="J33502" s="770"/>
    </row>
    <row r="33503" spans="8:10" x14ac:dyDescent="0.35">
      <c r="H33503" s="676"/>
      <c r="I33503" s="676"/>
      <c r="J33503" s="770"/>
    </row>
    <row r="33504" spans="8:10" x14ac:dyDescent="0.35">
      <c r="H33504" s="676"/>
      <c r="I33504" s="676"/>
      <c r="J33504" s="770"/>
    </row>
    <row r="33505" spans="8:10" x14ac:dyDescent="0.35">
      <c r="H33505" s="676"/>
      <c r="I33505" s="676"/>
      <c r="J33505" s="770"/>
    </row>
    <row r="33506" spans="8:10" x14ac:dyDescent="0.35">
      <c r="H33506" s="676"/>
      <c r="I33506" s="676"/>
      <c r="J33506" s="770"/>
    </row>
    <row r="33507" spans="8:10" x14ac:dyDescent="0.35">
      <c r="H33507" s="676"/>
      <c r="I33507" s="676"/>
      <c r="J33507" s="770"/>
    </row>
    <row r="33508" spans="8:10" x14ac:dyDescent="0.35">
      <c r="H33508" s="676"/>
      <c r="I33508" s="676"/>
      <c r="J33508" s="770"/>
    </row>
    <row r="33509" spans="8:10" x14ac:dyDescent="0.35">
      <c r="H33509" s="676"/>
      <c r="I33509" s="676"/>
      <c r="J33509" s="770"/>
    </row>
    <row r="33510" spans="8:10" x14ac:dyDescent="0.35">
      <c r="H33510" s="676"/>
      <c r="I33510" s="676"/>
      <c r="J33510" s="770"/>
    </row>
    <row r="33511" spans="8:10" x14ac:dyDescent="0.35">
      <c r="H33511" s="676"/>
      <c r="I33511" s="676"/>
      <c r="J33511" s="770"/>
    </row>
    <row r="33512" spans="8:10" x14ac:dyDescent="0.35">
      <c r="H33512" s="676"/>
      <c r="I33512" s="676"/>
      <c r="J33512" s="770"/>
    </row>
    <row r="33513" spans="8:10" x14ac:dyDescent="0.35">
      <c r="H33513" s="676"/>
      <c r="I33513" s="676"/>
      <c r="J33513" s="770"/>
    </row>
    <row r="33514" spans="8:10" x14ac:dyDescent="0.35">
      <c r="H33514" s="676"/>
      <c r="I33514" s="676"/>
      <c r="J33514" s="770"/>
    </row>
    <row r="33515" spans="8:10" x14ac:dyDescent="0.35">
      <c r="H33515" s="676"/>
      <c r="I33515" s="676"/>
      <c r="J33515" s="770"/>
    </row>
    <row r="33516" spans="8:10" x14ac:dyDescent="0.35">
      <c r="H33516" s="676"/>
      <c r="I33516" s="676"/>
      <c r="J33516" s="770"/>
    </row>
    <row r="33517" spans="8:10" x14ac:dyDescent="0.35">
      <c r="H33517" s="676"/>
      <c r="I33517" s="676"/>
      <c r="J33517" s="770"/>
    </row>
    <row r="33518" spans="8:10" x14ac:dyDescent="0.35">
      <c r="H33518" s="676"/>
      <c r="I33518" s="676"/>
      <c r="J33518" s="770"/>
    </row>
    <row r="33519" spans="8:10" x14ac:dyDescent="0.35">
      <c r="H33519" s="676"/>
      <c r="I33519" s="676"/>
      <c r="J33519" s="770"/>
    </row>
    <row r="33520" spans="8:10" x14ac:dyDescent="0.35">
      <c r="H33520" s="676"/>
      <c r="I33520" s="676"/>
      <c r="J33520" s="770"/>
    </row>
    <row r="33521" spans="8:10" x14ac:dyDescent="0.35">
      <c r="H33521" s="676"/>
      <c r="I33521" s="676"/>
      <c r="J33521" s="770"/>
    </row>
    <row r="33522" spans="8:10" x14ac:dyDescent="0.35">
      <c r="H33522" s="676"/>
      <c r="I33522" s="676"/>
      <c r="J33522" s="770"/>
    </row>
    <row r="33523" spans="8:10" x14ac:dyDescent="0.35">
      <c r="H33523" s="676"/>
      <c r="I33523" s="676"/>
      <c r="J33523" s="770"/>
    </row>
    <row r="33524" spans="8:10" x14ac:dyDescent="0.35">
      <c r="H33524" s="676"/>
      <c r="I33524" s="676"/>
      <c r="J33524" s="770"/>
    </row>
    <row r="33525" spans="8:10" x14ac:dyDescent="0.35">
      <c r="H33525" s="676"/>
      <c r="I33525" s="676"/>
      <c r="J33525" s="770"/>
    </row>
    <row r="33526" spans="8:10" x14ac:dyDescent="0.35">
      <c r="H33526" s="676"/>
      <c r="I33526" s="676"/>
      <c r="J33526" s="770"/>
    </row>
    <row r="33527" spans="8:10" x14ac:dyDescent="0.35">
      <c r="H33527" s="676"/>
      <c r="I33527" s="676"/>
      <c r="J33527" s="770"/>
    </row>
    <row r="33528" spans="8:10" x14ac:dyDescent="0.35">
      <c r="H33528" s="676"/>
      <c r="I33528" s="676"/>
      <c r="J33528" s="770"/>
    </row>
    <row r="33529" spans="8:10" x14ac:dyDescent="0.35">
      <c r="H33529" s="676"/>
      <c r="I33529" s="676"/>
      <c r="J33529" s="770"/>
    </row>
    <row r="33530" spans="8:10" x14ac:dyDescent="0.35">
      <c r="H33530" s="676"/>
      <c r="I33530" s="676"/>
      <c r="J33530" s="770"/>
    </row>
    <row r="33531" spans="8:10" x14ac:dyDescent="0.35">
      <c r="H33531" s="676"/>
      <c r="I33531" s="676"/>
      <c r="J33531" s="770"/>
    </row>
    <row r="33532" spans="8:10" x14ac:dyDescent="0.35">
      <c r="H33532" s="676"/>
      <c r="I33532" s="676"/>
      <c r="J33532" s="770"/>
    </row>
    <row r="33533" spans="8:10" x14ac:dyDescent="0.35">
      <c r="H33533" s="676"/>
      <c r="I33533" s="676"/>
      <c r="J33533" s="770"/>
    </row>
    <row r="33534" spans="8:10" x14ac:dyDescent="0.35">
      <c r="H33534" s="676"/>
      <c r="I33534" s="676"/>
      <c r="J33534" s="770"/>
    </row>
    <row r="33535" spans="8:10" x14ac:dyDescent="0.35">
      <c r="H33535" s="676"/>
      <c r="I33535" s="676"/>
      <c r="J33535" s="770"/>
    </row>
    <row r="33536" spans="8:10" x14ac:dyDescent="0.35">
      <c r="H33536" s="676"/>
      <c r="I33536" s="676"/>
      <c r="J33536" s="770"/>
    </row>
    <row r="33537" spans="8:10" x14ac:dyDescent="0.35">
      <c r="H33537" s="676"/>
      <c r="I33537" s="676"/>
      <c r="J33537" s="770"/>
    </row>
    <row r="33538" spans="8:10" x14ac:dyDescent="0.35">
      <c r="H33538" s="676"/>
      <c r="I33538" s="676"/>
      <c r="J33538" s="770"/>
    </row>
    <row r="33539" spans="8:10" x14ac:dyDescent="0.35">
      <c r="H33539" s="676"/>
      <c r="I33539" s="676"/>
      <c r="J33539" s="770"/>
    </row>
    <row r="33540" spans="8:10" x14ac:dyDescent="0.35">
      <c r="H33540" s="676"/>
      <c r="I33540" s="676"/>
      <c r="J33540" s="770"/>
    </row>
    <row r="33541" spans="8:10" x14ac:dyDescent="0.35">
      <c r="H33541" s="676"/>
      <c r="I33541" s="676"/>
      <c r="J33541" s="770"/>
    </row>
    <row r="33542" spans="8:10" x14ac:dyDescent="0.35">
      <c r="H33542" s="676"/>
      <c r="I33542" s="676"/>
      <c r="J33542" s="770"/>
    </row>
    <row r="33543" spans="8:10" x14ac:dyDescent="0.35">
      <c r="H33543" s="676"/>
      <c r="I33543" s="676"/>
      <c r="J33543" s="770"/>
    </row>
    <row r="33544" spans="8:10" x14ac:dyDescent="0.35">
      <c r="H33544" s="676"/>
      <c r="I33544" s="676"/>
      <c r="J33544" s="770"/>
    </row>
    <row r="33545" spans="8:10" x14ac:dyDescent="0.35">
      <c r="H33545" s="676"/>
      <c r="I33545" s="676"/>
      <c r="J33545" s="770"/>
    </row>
    <row r="33546" spans="8:10" x14ac:dyDescent="0.35">
      <c r="H33546" s="676"/>
      <c r="I33546" s="676"/>
      <c r="J33546" s="770"/>
    </row>
    <row r="33547" spans="8:10" x14ac:dyDescent="0.35">
      <c r="H33547" s="676"/>
      <c r="I33547" s="676"/>
      <c r="J33547" s="770"/>
    </row>
    <row r="33548" spans="8:10" x14ac:dyDescent="0.35">
      <c r="H33548" s="676"/>
      <c r="I33548" s="676"/>
      <c r="J33548" s="770"/>
    </row>
    <row r="33549" spans="8:10" x14ac:dyDescent="0.35">
      <c r="H33549" s="676"/>
      <c r="I33549" s="676"/>
      <c r="J33549" s="770"/>
    </row>
    <row r="33550" spans="8:10" x14ac:dyDescent="0.35">
      <c r="H33550" s="676"/>
      <c r="I33550" s="676"/>
      <c r="J33550" s="770"/>
    </row>
    <row r="33551" spans="8:10" x14ac:dyDescent="0.35">
      <c r="H33551" s="676"/>
      <c r="I33551" s="676"/>
      <c r="J33551" s="770"/>
    </row>
    <row r="33552" spans="8:10" x14ac:dyDescent="0.35">
      <c r="H33552" s="676"/>
      <c r="I33552" s="676"/>
      <c r="J33552" s="770"/>
    </row>
    <row r="33553" spans="8:10" x14ac:dyDescent="0.35">
      <c r="H33553" s="676"/>
      <c r="I33553" s="676"/>
      <c r="J33553" s="770"/>
    </row>
    <row r="33554" spans="8:10" x14ac:dyDescent="0.35">
      <c r="H33554" s="676"/>
      <c r="I33554" s="676"/>
      <c r="J33554" s="770"/>
    </row>
    <row r="33555" spans="8:10" x14ac:dyDescent="0.35">
      <c r="H33555" s="676"/>
      <c r="I33555" s="676"/>
      <c r="J33555" s="770"/>
    </row>
    <row r="33556" spans="8:10" x14ac:dyDescent="0.35">
      <c r="H33556" s="676"/>
      <c r="I33556" s="676"/>
      <c r="J33556" s="770"/>
    </row>
    <row r="33557" spans="8:10" x14ac:dyDescent="0.35">
      <c r="H33557" s="676"/>
      <c r="I33557" s="676"/>
      <c r="J33557" s="770"/>
    </row>
    <row r="33558" spans="8:10" x14ac:dyDescent="0.35">
      <c r="H33558" s="676"/>
      <c r="I33558" s="676"/>
      <c r="J33558" s="770"/>
    </row>
    <row r="33559" spans="8:10" x14ac:dyDescent="0.35">
      <c r="H33559" s="676"/>
      <c r="I33559" s="676"/>
      <c r="J33559" s="770"/>
    </row>
    <row r="33560" spans="8:10" x14ac:dyDescent="0.35">
      <c r="H33560" s="676"/>
      <c r="I33560" s="676"/>
      <c r="J33560" s="770"/>
    </row>
    <row r="33561" spans="8:10" x14ac:dyDescent="0.35">
      <c r="H33561" s="676"/>
      <c r="I33561" s="676"/>
      <c r="J33561" s="770"/>
    </row>
    <row r="33562" spans="8:10" x14ac:dyDescent="0.35">
      <c r="H33562" s="676"/>
      <c r="I33562" s="676"/>
      <c r="J33562" s="770"/>
    </row>
    <row r="33563" spans="8:10" x14ac:dyDescent="0.35">
      <c r="H33563" s="676"/>
      <c r="I33563" s="676"/>
      <c r="J33563" s="770"/>
    </row>
    <row r="33564" spans="8:10" x14ac:dyDescent="0.35">
      <c r="H33564" s="676"/>
      <c r="I33564" s="676"/>
      <c r="J33564" s="770"/>
    </row>
    <row r="33565" spans="8:10" x14ac:dyDescent="0.35">
      <c r="H33565" s="676"/>
      <c r="I33565" s="676"/>
      <c r="J33565" s="770"/>
    </row>
    <row r="33566" spans="8:10" x14ac:dyDescent="0.35">
      <c r="H33566" s="676"/>
      <c r="I33566" s="676"/>
      <c r="J33566" s="770"/>
    </row>
    <row r="33567" spans="8:10" x14ac:dyDescent="0.35">
      <c r="H33567" s="676"/>
      <c r="I33567" s="676"/>
      <c r="J33567" s="770"/>
    </row>
    <row r="33568" spans="8:10" x14ac:dyDescent="0.35">
      <c r="H33568" s="676"/>
      <c r="I33568" s="676"/>
      <c r="J33568" s="770"/>
    </row>
    <row r="33569" spans="8:10" x14ac:dyDescent="0.35">
      <c r="H33569" s="676"/>
      <c r="I33569" s="676"/>
      <c r="J33569" s="770"/>
    </row>
    <row r="33570" spans="8:10" x14ac:dyDescent="0.35">
      <c r="H33570" s="676"/>
      <c r="I33570" s="676"/>
      <c r="J33570" s="770"/>
    </row>
    <row r="33571" spans="8:10" x14ac:dyDescent="0.35">
      <c r="H33571" s="676"/>
      <c r="I33571" s="676"/>
      <c r="J33571" s="770"/>
    </row>
    <row r="33572" spans="8:10" x14ac:dyDescent="0.35">
      <c r="H33572" s="676"/>
      <c r="I33572" s="676"/>
      <c r="J33572" s="770"/>
    </row>
    <row r="33573" spans="8:10" x14ac:dyDescent="0.35">
      <c r="H33573" s="676"/>
      <c r="I33573" s="676"/>
      <c r="J33573" s="770"/>
    </row>
    <row r="33574" spans="8:10" x14ac:dyDescent="0.35">
      <c r="H33574" s="676"/>
      <c r="I33574" s="676"/>
      <c r="J33574" s="770"/>
    </row>
    <row r="33575" spans="8:10" x14ac:dyDescent="0.35">
      <c r="H33575" s="676"/>
      <c r="I33575" s="676"/>
      <c r="J33575" s="770"/>
    </row>
    <row r="33576" spans="8:10" x14ac:dyDescent="0.35">
      <c r="H33576" s="676"/>
      <c r="I33576" s="676"/>
      <c r="J33576" s="770"/>
    </row>
    <row r="33577" spans="8:10" x14ac:dyDescent="0.35">
      <c r="H33577" s="676"/>
      <c r="I33577" s="676"/>
      <c r="J33577" s="770"/>
    </row>
    <row r="33578" spans="8:10" x14ac:dyDescent="0.35">
      <c r="H33578" s="676"/>
      <c r="I33578" s="676"/>
      <c r="J33578" s="770"/>
    </row>
    <row r="33579" spans="8:10" x14ac:dyDescent="0.35">
      <c r="H33579" s="676"/>
      <c r="I33579" s="676"/>
      <c r="J33579" s="770"/>
    </row>
    <row r="33580" spans="8:10" x14ac:dyDescent="0.35">
      <c r="H33580" s="676"/>
      <c r="I33580" s="676"/>
      <c r="J33580" s="770"/>
    </row>
    <row r="33581" spans="8:10" x14ac:dyDescent="0.35">
      <c r="H33581" s="676"/>
      <c r="I33581" s="676"/>
      <c r="J33581" s="770"/>
    </row>
    <row r="33582" spans="8:10" x14ac:dyDescent="0.35">
      <c r="H33582" s="676"/>
      <c r="I33582" s="676"/>
      <c r="J33582" s="770"/>
    </row>
    <row r="33583" spans="8:10" x14ac:dyDescent="0.35">
      <c r="H33583" s="676"/>
      <c r="I33583" s="676"/>
      <c r="J33583" s="770"/>
    </row>
    <row r="33584" spans="8:10" x14ac:dyDescent="0.35">
      <c r="H33584" s="676"/>
      <c r="I33584" s="676"/>
      <c r="J33584" s="770"/>
    </row>
    <row r="33585" spans="8:10" x14ac:dyDescent="0.35">
      <c r="H33585" s="676"/>
      <c r="I33585" s="676"/>
      <c r="J33585" s="770"/>
    </row>
    <row r="33586" spans="8:10" x14ac:dyDescent="0.35">
      <c r="H33586" s="676"/>
      <c r="I33586" s="676"/>
      <c r="J33586" s="770"/>
    </row>
    <row r="33587" spans="8:10" x14ac:dyDescent="0.35">
      <c r="H33587" s="676"/>
      <c r="I33587" s="676"/>
      <c r="J33587" s="770"/>
    </row>
    <row r="33588" spans="8:10" x14ac:dyDescent="0.35">
      <c r="H33588" s="676"/>
      <c r="I33588" s="676"/>
      <c r="J33588" s="770"/>
    </row>
    <row r="33589" spans="8:10" x14ac:dyDescent="0.35">
      <c r="H33589" s="676"/>
      <c r="I33589" s="676"/>
      <c r="J33589" s="770"/>
    </row>
    <row r="33590" spans="8:10" x14ac:dyDescent="0.35">
      <c r="H33590" s="676"/>
      <c r="I33590" s="676"/>
      <c r="J33590" s="770"/>
    </row>
    <row r="33591" spans="8:10" x14ac:dyDescent="0.35">
      <c r="H33591" s="676"/>
      <c r="I33591" s="676"/>
      <c r="J33591" s="770"/>
    </row>
    <row r="33592" spans="8:10" x14ac:dyDescent="0.35">
      <c r="H33592" s="676"/>
      <c r="I33592" s="676"/>
      <c r="J33592" s="770"/>
    </row>
    <row r="33593" spans="8:10" x14ac:dyDescent="0.35">
      <c r="H33593" s="676"/>
      <c r="I33593" s="676"/>
      <c r="J33593" s="770"/>
    </row>
    <row r="33594" spans="8:10" x14ac:dyDescent="0.35">
      <c r="H33594" s="676"/>
      <c r="I33594" s="676"/>
      <c r="J33594" s="770"/>
    </row>
    <row r="33595" spans="8:10" x14ac:dyDescent="0.35">
      <c r="H33595" s="676"/>
      <c r="I33595" s="676"/>
      <c r="J33595" s="770"/>
    </row>
    <row r="33596" spans="8:10" x14ac:dyDescent="0.35">
      <c r="H33596" s="676"/>
      <c r="I33596" s="676"/>
      <c r="J33596" s="770"/>
    </row>
    <row r="33597" spans="8:10" x14ac:dyDescent="0.35">
      <c r="H33597" s="676"/>
      <c r="I33597" s="676"/>
      <c r="J33597" s="770"/>
    </row>
    <row r="33598" spans="8:10" x14ac:dyDescent="0.35">
      <c r="H33598" s="676"/>
      <c r="I33598" s="676"/>
      <c r="J33598" s="770"/>
    </row>
    <row r="33599" spans="8:10" x14ac:dyDescent="0.35">
      <c r="H33599" s="676"/>
      <c r="I33599" s="676"/>
      <c r="J33599" s="770"/>
    </row>
    <row r="33600" spans="8:10" x14ac:dyDescent="0.35">
      <c r="H33600" s="676"/>
      <c r="I33600" s="676"/>
      <c r="J33600" s="770"/>
    </row>
    <row r="33601" spans="8:10" x14ac:dyDescent="0.35">
      <c r="H33601" s="676"/>
      <c r="I33601" s="676"/>
      <c r="J33601" s="770"/>
    </row>
    <row r="33602" spans="8:10" x14ac:dyDescent="0.35">
      <c r="H33602" s="676"/>
      <c r="I33602" s="676"/>
      <c r="J33602" s="770"/>
    </row>
    <row r="33603" spans="8:10" x14ac:dyDescent="0.35">
      <c r="H33603" s="676"/>
      <c r="I33603" s="676"/>
      <c r="J33603" s="770"/>
    </row>
    <row r="33604" spans="8:10" x14ac:dyDescent="0.35">
      <c r="H33604" s="676"/>
      <c r="I33604" s="676"/>
      <c r="J33604" s="770"/>
    </row>
    <row r="33605" spans="8:10" x14ac:dyDescent="0.35">
      <c r="H33605" s="676"/>
      <c r="I33605" s="676"/>
      <c r="J33605" s="770"/>
    </row>
    <row r="33606" spans="8:10" x14ac:dyDescent="0.35">
      <c r="H33606" s="676"/>
      <c r="I33606" s="676"/>
      <c r="J33606" s="770"/>
    </row>
    <row r="33607" spans="8:10" x14ac:dyDescent="0.35">
      <c r="H33607" s="676"/>
      <c r="I33607" s="676"/>
      <c r="J33607" s="770"/>
    </row>
    <row r="33608" spans="8:10" x14ac:dyDescent="0.35">
      <c r="H33608" s="676"/>
      <c r="I33608" s="676"/>
      <c r="J33608" s="770"/>
    </row>
    <row r="33609" spans="8:10" x14ac:dyDescent="0.35">
      <c r="H33609" s="676"/>
      <c r="I33609" s="676"/>
      <c r="J33609" s="770"/>
    </row>
    <row r="33610" spans="8:10" x14ac:dyDescent="0.35">
      <c r="H33610" s="676"/>
      <c r="I33610" s="676"/>
      <c r="J33610" s="770"/>
    </row>
    <row r="33611" spans="8:10" x14ac:dyDescent="0.35">
      <c r="H33611" s="676"/>
      <c r="I33611" s="676"/>
      <c r="J33611" s="770"/>
    </row>
    <row r="33612" spans="8:10" x14ac:dyDescent="0.35">
      <c r="H33612" s="676"/>
      <c r="I33612" s="676"/>
      <c r="J33612" s="770"/>
    </row>
    <row r="33613" spans="8:10" x14ac:dyDescent="0.35">
      <c r="H33613" s="676"/>
      <c r="I33613" s="676"/>
      <c r="J33613" s="770"/>
    </row>
    <row r="33614" spans="8:10" x14ac:dyDescent="0.35">
      <c r="H33614" s="676"/>
      <c r="I33614" s="676"/>
      <c r="J33614" s="770"/>
    </row>
    <row r="33615" spans="8:10" x14ac:dyDescent="0.35">
      <c r="H33615" s="676"/>
      <c r="I33615" s="676"/>
      <c r="J33615" s="770"/>
    </row>
    <row r="33616" spans="8:10" x14ac:dyDescent="0.35">
      <c r="H33616" s="676"/>
      <c r="I33616" s="676"/>
      <c r="J33616" s="770"/>
    </row>
    <row r="33617" spans="8:10" x14ac:dyDescent="0.35">
      <c r="H33617" s="676"/>
      <c r="I33617" s="676"/>
      <c r="J33617" s="770"/>
    </row>
    <row r="33618" spans="8:10" x14ac:dyDescent="0.35">
      <c r="H33618" s="676"/>
      <c r="I33618" s="676"/>
      <c r="J33618" s="770"/>
    </row>
    <row r="33619" spans="8:10" x14ac:dyDescent="0.35">
      <c r="H33619" s="676"/>
      <c r="I33619" s="676"/>
      <c r="J33619" s="770"/>
    </row>
    <row r="33620" spans="8:10" x14ac:dyDescent="0.35">
      <c r="H33620" s="676"/>
      <c r="I33620" s="676"/>
      <c r="J33620" s="770"/>
    </row>
    <row r="33621" spans="8:10" x14ac:dyDescent="0.35">
      <c r="H33621" s="676"/>
      <c r="I33621" s="676"/>
      <c r="J33621" s="770"/>
    </row>
    <row r="33622" spans="8:10" x14ac:dyDescent="0.35">
      <c r="H33622" s="676"/>
      <c r="I33622" s="676"/>
      <c r="J33622" s="770"/>
    </row>
    <row r="33623" spans="8:10" x14ac:dyDescent="0.35">
      <c r="H33623" s="676"/>
      <c r="I33623" s="676"/>
      <c r="J33623" s="770"/>
    </row>
    <row r="33624" spans="8:10" x14ac:dyDescent="0.35">
      <c r="H33624" s="676"/>
      <c r="I33624" s="676"/>
      <c r="J33624" s="770"/>
    </row>
    <row r="33625" spans="8:10" x14ac:dyDescent="0.35">
      <c r="H33625" s="676"/>
      <c r="I33625" s="676"/>
      <c r="J33625" s="770"/>
    </row>
    <row r="33626" spans="8:10" x14ac:dyDescent="0.35">
      <c r="H33626" s="676"/>
      <c r="I33626" s="676"/>
      <c r="J33626" s="770"/>
    </row>
    <row r="33627" spans="8:10" x14ac:dyDescent="0.35">
      <c r="H33627" s="676"/>
      <c r="I33627" s="676"/>
      <c r="J33627" s="770"/>
    </row>
    <row r="33628" spans="8:10" x14ac:dyDescent="0.35">
      <c r="H33628" s="676"/>
      <c r="I33628" s="676"/>
      <c r="J33628" s="770"/>
    </row>
    <row r="33629" spans="8:10" x14ac:dyDescent="0.35">
      <c r="H33629" s="676"/>
      <c r="I33629" s="676"/>
      <c r="J33629" s="770"/>
    </row>
    <row r="33630" spans="8:10" x14ac:dyDescent="0.35">
      <c r="H33630" s="676"/>
      <c r="I33630" s="676"/>
      <c r="J33630" s="770"/>
    </row>
    <row r="33631" spans="8:10" x14ac:dyDescent="0.35">
      <c r="H33631" s="676"/>
      <c r="I33631" s="676"/>
      <c r="J33631" s="770"/>
    </row>
    <row r="33632" spans="8:10" x14ac:dyDescent="0.35">
      <c r="H33632" s="676"/>
      <c r="I33632" s="676"/>
      <c r="J33632" s="770"/>
    </row>
    <row r="33633" spans="8:10" x14ac:dyDescent="0.35">
      <c r="H33633" s="676"/>
      <c r="I33633" s="676"/>
      <c r="J33633" s="770"/>
    </row>
    <row r="33634" spans="8:10" x14ac:dyDescent="0.35">
      <c r="H33634" s="676"/>
      <c r="I33634" s="676"/>
      <c r="J33634" s="770"/>
    </row>
    <row r="33635" spans="8:10" x14ac:dyDescent="0.35">
      <c r="H33635" s="676"/>
      <c r="I33635" s="676"/>
      <c r="J33635" s="770"/>
    </row>
    <row r="33636" spans="8:10" x14ac:dyDescent="0.35">
      <c r="H33636" s="676"/>
      <c r="I33636" s="676"/>
      <c r="J33636" s="770"/>
    </row>
    <row r="33637" spans="8:10" x14ac:dyDescent="0.35">
      <c r="H33637" s="676"/>
      <c r="I33637" s="676"/>
      <c r="J33637" s="770"/>
    </row>
    <row r="33638" spans="8:10" x14ac:dyDescent="0.35">
      <c r="H33638" s="676"/>
      <c r="I33638" s="676"/>
      <c r="J33638" s="770"/>
    </row>
    <row r="33639" spans="8:10" x14ac:dyDescent="0.35">
      <c r="H33639" s="676"/>
      <c r="I33639" s="676"/>
      <c r="J33639" s="770"/>
    </row>
    <row r="33640" spans="8:10" x14ac:dyDescent="0.35">
      <c r="H33640" s="676"/>
      <c r="I33640" s="676"/>
      <c r="J33640" s="770"/>
    </row>
    <row r="33641" spans="8:10" x14ac:dyDescent="0.35">
      <c r="H33641" s="676"/>
      <c r="I33641" s="676"/>
      <c r="J33641" s="770"/>
    </row>
    <row r="33642" spans="8:10" x14ac:dyDescent="0.35">
      <c r="H33642" s="676"/>
      <c r="I33642" s="676"/>
      <c r="J33642" s="770"/>
    </row>
    <row r="33643" spans="8:10" x14ac:dyDescent="0.35">
      <c r="H33643" s="676"/>
      <c r="I33643" s="676"/>
      <c r="J33643" s="770"/>
    </row>
    <row r="33644" spans="8:10" x14ac:dyDescent="0.35">
      <c r="H33644" s="676"/>
      <c r="I33644" s="676"/>
      <c r="J33644" s="770"/>
    </row>
    <row r="33645" spans="8:10" x14ac:dyDescent="0.35">
      <c r="H33645" s="676"/>
      <c r="I33645" s="676"/>
      <c r="J33645" s="770"/>
    </row>
    <row r="33646" spans="8:10" x14ac:dyDescent="0.35">
      <c r="H33646" s="676"/>
      <c r="I33646" s="676"/>
      <c r="J33646" s="770"/>
    </row>
    <row r="33647" spans="8:10" x14ac:dyDescent="0.35">
      <c r="H33647" s="676"/>
      <c r="I33647" s="676"/>
      <c r="J33647" s="770"/>
    </row>
    <row r="33648" spans="8:10" x14ac:dyDescent="0.35">
      <c r="H33648" s="676"/>
      <c r="I33648" s="676"/>
      <c r="J33648" s="770"/>
    </row>
    <row r="33649" spans="8:10" x14ac:dyDescent="0.35">
      <c r="H33649" s="676"/>
      <c r="I33649" s="676"/>
      <c r="J33649" s="770"/>
    </row>
    <row r="33650" spans="8:10" x14ac:dyDescent="0.35">
      <c r="H33650" s="676"/>
      <c r="I33650" s="676"/>
      <c r="J33650" s="770"/>
    </row>
    <row r="33651" spans="8:10" x14ac:dyDescent="0.35">
      <c r="H33651" s="676"/>
      <c r="I33651" s="676"/>
      <c r="J33651" s="770"/>
    </row>
    <row r="33652" spans="8:10" x14ac:dyDescent="0.35">
      <c r="H33652" s="676"/>
      <c r="I33652" s="676"/>
      <c r="J33652" s="770"/>
    </row>
    <row r="33653" spans="8:10" x14ac:dyDescent="0.35">
      <c r="H33653" s="676"/>
      <c r="I33653" s="676"/>
      <c r="J33653" s="770"/>
    </row>
    <row r="33654" spans="8:10" x14ac:dyDescent="0.35">
      <c r="H33654" s="676"/>
      <c r="I33654" s="676"/>
      <c r="J33654" s="770"/>
    </row>
    <row r="33655" spans="8:10" x14ac:dyDescent="0.35">
      <c r="H33655" s="676"/>
      <c r="I33655" s="676"/>
      <c r="J33655" s="770"/>
    </row>
    <row r="33656" spans="8:10" x14ac:dyDescent="0.35">
      <c r="H33656" s="676"/>
      <c r="I33656" s="676"/>
      <c r="J33656" s="770"/>
    </row>
    <row r="33657" spans="8:10" x14ac:dyDescent="0.35">
      <c r="H33657" s="676"/>
      <c r="I33657" s="676"/>
      <c r="J33657" s="770"/>
    </row>
    <row r="33658" spans="8:10" x14ac:dyDescent="0.35">
      <c r="H33658" s="676"/>
      <c r="I33658" s="676"/>
      <c r="J33658" s="770"/>
    </row>
    <row r="33659" spans="8:10" x14ac:dyDescent="0.35">
      <c r="H33659" s="676"/>
      <c r="I33659" s="676"/>
      <c r="J33659" s="770"/>
    </row>
    <row r="33660" spans="8:10" x14ac:dyDescent="0.35">
      <c r="H33660" s="676"/>
      <c r="I33660" s="676"/>
      <c r="J33660" s="770"/>
    </row>
    <row r="33661" spans="8:10" x14ac:dyDescent="0.35">
      <c r="H33661" s="676"/>
      <c r="I33661" s="676"/>
      <c r="J33661" s="770"/>
    </row>
    <row r="33662" spans="8:10" x14ac:dyDescent="0.35">
      <c r="H33662" s="676"/>
      <c r="I33662" s="676"/>
      <c r="J33662" s="770"/>
    </row>
    <row r="33663" spans="8:10" x14ac:dyDescent="0.35">
      <c r="H33663" s="676"/>
      <c r="I33663" s="676"/>
      <c r="J33663" s="770"/>
    </row>
    <row r="33664" spans="8:10" x14ac:dyDescent="0.35">
      <c r="H33664" s="676"/>
      <c r="I33664" s="676"/>
      <c r="J33664" s="770"/>
    </row>
    <row r="33665" spans="8:10" x14ac:dyDescent="0.35">
      <c r="H33665" s="676"/>
      <c r="I33665" s="676"/>
      <c r="J33665" s="770"/>
    </row>
    <row r="33666" spans="8:10" x14ac:dyDescent="0.35">
      <c r="H33666" s="676"/>
      <c r="I33666" s="676"/>
      <c r="J33666" s="770"/>
    </row>
    <row r="33667" spans="8:10" x14ac:dyDescent="0.35">
      <c r="H33667" s="676"/>
      <c r="I33667" s="676"/>
      <c r="J33667" s="770"/>
    </row>
    <row r="33668" spans="8:10" x14ac:dyDescent="0.35">
      <c r="H33668" s="676"/>
      <c r="I33668" s="676"/>
      <c r="J33668" s="770"/>
    </row>
    <row r="33669" spans="8:10" x14ac:dyDescent="0.35">
      <c r="H33669" s="676"/>
      <c r="I33669" s="676"/>
      <c r="J33669" s="770"/>
    </row>
    <row r="33670" spans="8:10" x14ac:dyDescent="0.35">
      <c r="H33670" s="676"/>
      <c r="I33670" s="676"/>
      <c r="J33670" s="770"/>
    </row>
    <row r="33671" spans="8:10" x14ac:dyDescent="0.35">
      <c r="H33671" s="676"/>
      <c r="I33671" s="676"/>
      <c r="J33671" s="770"/>
    </row>
    <row r="33672" spans="8:10" x14ac:dyDescent="0.35">
      <c r="H33672" s="676"/>
      <c r="I33672" s="676"/>
      <c r="J33672" s="770"/>
    </row>
    <row r="33673" spans="8:10" x14ac:dyDescent="0.35">
      <c r="H33673" s="676"/>
      <c r="I33673" s="676"/>
      <c r="J33673" s="770"/>
    </row>
    <row r="33674" spans="8:10" x14ac:dyDescent="0.35">
      <c r="H33674" s="676"/>
      <c r="I33674" s="676"/>
      <c r="J33674" s="770"/>
    </row>
    <row r="33675" spans="8:10" x14ac:dyDescent="0.35">
      <c r="H33675" s="676"/>
      <c r="I33675" s="676"/>
      <c r="J33675" s="770"/>
    </row>
    <row r="33676" spans="8:10" x14ac:dyDescent="0.35">
      <c r="H33676" s="676"/>
      <c r="I33676" s="676"/>
      <c r="J33676" s="770"/>
    </row>
    <row r="33677" spans="8:10" x14ac:dyDescent="0.35">
      <c r="H33677" s="676"/>
      <c r="I33677" s="676"/>
      <c r="J33677" s="770"/>
    </row>
    <row r="33678" spans="8:10" x14ac:dyDescent="0.35">
      <c r="H33678" s="676"/>
      <c r="I33678" s="676"/>
      <c r="J33678" s="770"/>
    </row>
    <row r="33679" spans="8:10" x14ac:dyDescent="0.35">
      <c r="H33679" s="676"/>
      <c r="I33679" s="676"/>
      <c r="J33679" s="770"/>
    </row>
    <row r="33680" spans="8:10" x14ac:dyDescent="0.35">
      <c r="H33680" s="676"/>
      <c r="I33680" s="676"/>
      <c r="J33680" s="770"/>
    </row>
    <row r="33681" spans="8:10" x14ac:dyDescent="0.35">
      <c r="H33681" s="676"/>
      <c r="I33681" s="676"/>
      <c r="J33681" s="770"/>
    </row>
    <row r="33682" spans="8:10" x14ac:dyDescent="0.35">
      <c r="H33682" s="676"/>
      <c r="I33682" s="676"/>
      <c r="J33682" s="770"/>
    </row>
    <row r="33683" spans="8:10" x14ac:dyDescent="0.35">
      <c r="H33683" s="676"/>
      <c r="I33683" s="676"/>
      <c r="J33683" s="770"/>
    </row>
    <row r="33684" spans="8:10" x14ac:dyDescent="0.35">
      <c r="H33684" s="676"/>
      <c r="I33684" s="676"/>
      <c r="J33684" s="770"/>
    </row>
    <row r="33685" spans="8:10" x14ac:dyDescent="0.35">
      <c r="H33685" s="676"/>
      <c r="I33685" s="676"/>
      <c r="J33685" s="770"/>
    </row>
    <row r="33686" spans="8:10" x14ac:dyDescent="0.35">
      <c r="H33686" s="676"/>
      <c r="I33686" s="676"/>
      <c r="J33686" s="770"/>
    </row>
    <row r="33687" spans="8:10" x14ac:dyDescent="0.35">
      <c r="H33687" s="676"/>
      <c r="I33687" s="676"/>
      <c r="J33687" s="770"/>
    </row>
    <row r="33688" spans="8:10" x14ac:dyDescent="0.35">
      <c r="H33688" s="676"/>
      <c r="I33688" s="676"/>
      <c r="J33688" s="770"/>
    </row>
    <row r="33689" spans="8:10" x14ac:dyDescent="0.35">
      <c r="H33689" s="676"/>
      <c r="I33689" s="676"/>
      <c r="J33689" s="770"/>
    </row>
    <row r="33690" spans="8:10" x14ac:dyDescent="0.35">
      <c r="H33690" s="676"/>
      <c r="I33690" s="676"/>
      <c r="J33690" s="770"/>
    </row>
    <row r="33691" spans="8:10" x14ac:dyDescent="0.35">
      <c r="H33691" s="676"/>
      <c r="I33691" s="676"/>
      <c r="J33691" s="770"/>
    </row>
    <row r="33692" spans="8:10" x14ac:dyDescent="0.35">
      <c r="H33692" s="676"/>
      <c r="I33692" s="676"/>
      <c r="J33692" s="770"/>
    </row>
    <row r="33693" spans="8:10" x14ac:dyDescent="0.35">
      <c r="H33693" s="676"/>
      <c r="I33693" s="676"/>
      <c r="J33693" s="770"/>
    </row>
    <row r="33694" spans="8:10" x14ac:dyDescent="0.35">
      <c r="H33694" s="676"/>
      <c r="I33694" s="676"/>
      <c r="J33694" s="770"/>
    </row>
    <row r="33695" spans="8:10" x14ac:dyDescent="0.35">
      <c r="H33695" s="676"/>
      <c r="I33695" s="676"/>
      <c r="J33695" s="770"/>
    </row>
    <row r="33696" spans="8:10" x14ac:dyDescent="0.35">
      <c r="H33696" s="676"/>
      <c r="I33696" s="676"/>
      <c r="J33696" s="770"/>
    </row>
    <row r="33697" spans="8:10" x14ac:dyDescent="0.35">
      <c r="H33697" s="676"/>
      <c r="I33697" s="676"/>
      <c r="J33697" s="770"/>
    </row>
    <row r="33698" spans="8:10" x14ac:dyDescent="0.35">
      <c r="H33698" s="676"/>
      <c r="I33698" s="676"/>
      <c r="J33698" s="770"/>
    </row>
    <row r="33699" spans="8:10" x14ac:dyDescent="0.35">
      <c r="H33699" s="676"/>
      <c r="I33699" s="676"/>
      <c r="J33699" s="770"/>
    </row>
    <row r="33700" spans="8:10" x14ac:dyDescent="0.35">
      <c r="H33700" s="676"/>
      <c r="I33700" s="676"/>
      <c r="J33700" s="770"/>
    </row>
    <row r="33701" spans="8:10" x14ac:dyDescent="0.35">
      <c r="H33701" s="676"/>
      <c r="I33701" s="676"/>
      <c r="J33701" s="770"/>
    </row>
    <row r="33702" spans="8:10" x14ac:dyDescent="0.35">
      <c r="H33702" s="676"/>
      <c r="I33702" s="676"/>
      <c r="J33702" s="770"/>
    </row>
    <row r="33703" spans="8:10" x14ac:dyDescent="0.35">
      <c r="H33703" s="676"/>
      <c r="I33703" s="676"/>
      <c r="J33703" s="770"/>
    </row>
    <row r="33704" spans="8:10" x14ac:dyDescent="0.35">
      <c r="H33704" s="676"/>
      <c r="I33704" s="676"/>
      <c r="J33704" s="770"/>
    </row>
    <row r="33705" spans="8:10" x14ac:dyDescent="0.35">
      <c r="H33705" s="676"/>
      <c r="I33705" s="676"/>
      <c r="J33705" s="770"/>
    </row>
    <row r="33706" spans="8:10" x14ac:dyDescent="0.35">
      <c r="H33706" s="676"/>
      <c r="I33706" s="676"/>
      <c r="J33706" s="770"/>
    </row>
    <row r="33707" spans="8:10" x14ac:dyDescent="0.35">
      <c r="H33707" s="676"/>
      <c r="I33707" s="676"/>
      <c r="J33707" s="770"/>
    </row>
    <row r="33708" spans="8:10" x14ac:dyDescent="0.35">
      <c r="H33708" s="676"/>
      <c r="I33708" s="676"/>
      <c r="J33708" s="770"/>
    </row>
    <row r="33709" spans="8:10" x14ac:dyDescent="0.35">
      <c r="H33709" s="676"/>
      <c r="I33709" s="676"/>
      <c r="J33709" s="770"/>
    </row>
    <row r="33710" spans="8:10" x14ac:dyDescent="0.35">
      <c r="H33710" s="676"/>
      <c r="I33710" s="676"/>
      <c r="J33710" s="770"/>
    </row>
    <row r="33711" spans="8:10" x14ac:dyDescent="0.35">
      <c r="H33711" s="676"/>
      <c r="I33711" s="676"/>
      <c r="J33711" s="770"/>
    </row>
    <row r="33712" spans="8:10" x14ac:dyDescent="0.35">
      <c r="H33712" s="676"/>
      <c r="I33712" s="676"/>
      <c r="J33712" s="770"/>
    </row>
    <row r="33713" spans="8:10" x14ac:dyDescent="0.35">
      <c r="H33713" s="676"/>
      <c r="I33713" s="676"/>
      <c r="J33713" s="770"/>
    </row>
    <row r="33714" spans="8:10" x14ac:dyDescent="0.35">
      <c r="H33714" s="676"/>
      <c r="I33714" s="676"/>
      <c r="J33714" s="770"/>
    </row>
    <row r="33715" spans="8:10" x14ac:dyDescent="0.35">
      <c r="H33715" s="676"/>
      <c r="I33715" s="676"/>
      <c r="J33715" s="770"/>
    </row>
    <row r="33716" spans="8:10" x14ac:dyDescent="0.35">
      <c r="H33716" s="676"/>
      <c r="I33716" s="676"/>
      <c r="J33716" s="770"/>
    </row>
    <row r="33717" spans="8:10" x14ac:dyDescent="0.35">
      <c r="H33717" s="676"/>
      <c r="I33717" s="676"/>
      <c r="J33717" s="770"/>
    </row>
    <row r="33718" spans="8:10" x14ac:dyDescent="0.35">
      <c r="H33718" s="676"/>
      <c r="I33718" s="676"/>
      <c r="J33718" s="770"/>
    </row>
    <row r="33719" spans="8:10" x14ac:dyDescent="0.35">
      <c r="H33719" s="676"/>
      <c r="I33719" s="676"/>
      <c r="J33719" s="770"/>
    </row>
    <row r="33720" spans="8:10" x14ac:dyDescent="0.35">
      <c r="H33720" s="676"/>
      <c r="I33720" s="676"/>
      <c r="J33720" s="770"/>
    </row>
    <row r="33721" spans="8:10" x14ac:dyDescent="0.35">
      <c r="H33721" s="676"/>
      <c r="I33721" s="676"/>
      <c r="J33721" s="770"/>
    </row>
    <row r="33722" spans="8:10" x14ac:dyDescent="0.35">
      <c r="H33722" s="676"/>
      <c r="I33722" s="676"/>
      <c r="J33722" s="770"/>
    </row>
    <row r="33723" spans="8:10" x14ac:dyDescent="0.35">
      <c r="H33723" s="676"/>
      <c r="I33723" s="676"/>
      <c r="J33723" s="770"/>
    </row>
    <row r="33724" spans="8:10" x14ac:dyDescent="0.35">
      <c r="H33724" s="676"/>
      <c r="I33724" s="676"/>
      <c r="J33724" s="770"/>
    </row>
    <row r="33725" spans="8:10" x14ac:dyDescent="0.35">
      <c r="H33725" s="676"/>
      <c r="I33725" s="676"/>
      <c r="J33725" s="770"/>
    </row>
    <row r="33726" spans="8:10" x14ac:dyDescent="0.35">
      <c r="H33726" s="676"/>
      <c r="I33726" s="676"/>
      <c r="J33726" s="770"/>
    </row>
    <row r="33727" spans="8:10" x14ac:dyDescent="0.35">
      <c r="H33727" s="676"/>
      <c r="I33727" s="676"/>
      <c r="J33727" s="770"/>
    </row>
    <row r="33728" spans="8:10" x14ac:dyDescent="0.35">
      <c r="H33728" s="676"/>
      <c r="I33728" s="676"/>
      <c r="J33728" s="770"/>
    </row>
    <row r="33729" spans="8:10" x14ac:dyDescent="0.35">
      <c r="H33729" s="676"/>
      <c r="I33729" s="676"/>
      <c r="J33729" s="770"/>
    </row>
    <row r="33730" spans="8:10" x14ac:dyDescent="0.35">
      <c r="H33730" s="676"/>
      <c r="I33730" s="676"/>
      <c r="J33730" s="770"/>
    </row>
    <row r="33731" spans="8:10" x14ac:dyDescent="0.35">
      <c r="H33731" s="676"/>
      <c r="I33731" s="676"/>
      <c r="J33731" s="770"/>
    </row>
    <row r="33732" spans="8:10" x14ac:dyDescent="0.35">
      <c r="H33732" s="676"/>
      <c r="I33732" s="676"/>
      <c r="J33732" s="770"/>
    </row>
    <row r="33733" spans="8:10" x14ac:dyDescent="0.35">
      <c r="H33733" s="676"/>
      <c r="I33733" s="676"/>
      <c r="J33733" s="770"/>
    </row>
    <row r="33734" spans="8:10" x14ac:dyDescent="0.35">
      <c r="H33734" s="676"/>
      <c r="I33734" s="676"/>
      <c r="J33734" s="770"/>
    </row>
    <row r="33735" spans="8:10" x14ac:dyDescent="0.35">
      <c r="H33735" s="676"/>
      <c r="I33735" s="676"/>
      <c r="J33735" s="770"/>
    </row>
    <row r="33736" spans="8:10" x14ac:dyDescent="0.35">
      <c r="H33736" s="676"/>
      <c r="I33736" s="676"/>
      <c r="J33736" s="770"/>
    </row>
    <row r="33737" spans="8:10" x14ac:dyDescent="0.35">
      <c r="H33737" s="676"/>
      <c r="I33737" s="676"/>
      <c r="J33737" s="770"/>
    </row>
    <row r="33738" spans="8:10" x14ac:dyDescent="0.35">
      <c r="H33738" s="676"/>
      <c r="I33738" s="676"/>
      <c r="J33738" s="770"/>
    </row>
    <row r="33739" spans="8:10" x14ac:dyDescent="0.35">
      <c r="H33739" s="676"/>
      <c r="I33739" s="676"/>
      <c r="J33739" s="770"/>
    </row>
    <row r="33740" spans="8:10" x14ac:dyDescent="0.35">
      <c r="H33740" s="676"/>
      <c r="I33740" s="676"/>
      <c r="J33740" s="770"/>
    </row>
    <row r="33741" spans="8:10" x14ac:dyDescent="0.35">
      <c r="H33741" s="676"/>
      <c r="I33741" s="676"/>
      <c r="J33741" s="770"/>
    </row>
    <row r="33742" spans="8:10" x14ac:dyDescent="0.35">
      <c r="H33742" s="676"/>
      <c r="I33742" s="676"/>
      <c r="J33742" s="770"/>
    </row>
    <row r="33743" spans="8:10" x14ac:dyDescent="0.35">
      <c r="H33743" s="676"/>
      <c r="I33743" s="676"/>
      <c r="J33743" s="770"/>
    </row>
    <row r="33744" spans="8:10" x14ac:dyDescent="0.35">
      <c r="H33744" s="676"/>
      <c r="I33744" s="676"/>
      <c r="J33744" s="770"/>
    </row>
    <row r="33745" spans="8:10" x14ac:dyDescent="0.35">
      <c r="H33745" s="676"/>
      <c r="I33745" s="676"/>
      <c r="J33745" s="770"/>
    </row>
    <row r="33746" spans="8:10" x14ac:dyDescent="0.35">
      <c r="H33746" s="676"/>
      <c r="I33746" s="676"/>
      <c r="J33746" s="770"/>
    </row>
    <row r="33747" spans="8:10" x14ac:dyDescent="0.35">
      <c r="H33747" s="676"/>
      <c r="I33747" s="676"/>
      <c r="J33747" s="770"/>
    </row>
    <row r="33748" spans="8:10" x14ac:dyDescent="0.35">
      <c r="H33748" s="676"/>
      <c r="I33748" s="676"/>
      <c r="J33748" s="770"/>
    </row>
    <row r="33749" spans="8:10" x14ac:dyDescent="0.35">
      <c r="H33749" s="676"/>
      <c r="I33749" s="676"/>
      <c r="J33749" s="770"/>
    </row>
    <row r="33750" spans="8:10" x14ac:dyDescent="0.35">
      <c r="H33750" s="676"/>
      <c r="I33750" s="676"/>
      <c r="J33750" s="770"/>
    </row>
    <row r="33751" spans="8:10" x14ac:dyDescent="0.35">
      <c r="H33751" s="676"/>
      <c r="I33751" s="676"/>
      <c r="J33751" s="770"/>
    </row>
    <row r="33752" spans="8:10" x14ac:dyDescent="0.35">
      <c r="H33752" s="676"/>
      <c r="I33752" s="676"/>
      <c r="J33752" s="770"/>
    </row>
    <row r="33753" spans="8:10" x14ac:dyDescent="0.35">
      <c r="H33753" s="676"/>
      <c r="I33753" s="676"/>
      <c r="J33753" s="770"/>
    </row>
    <row r="33754" spans="8:10" x14ac:dyDescent="0.35">
      <c r="H33754" s="676"/>
      <c r="I33754" s="676"/>
      <c r="J33754" s="770"/>
    </row>
    <row r="33755" spans="8:10" x14ac:dyDescent="0.35">
      <c r="H33755" s="676"/>
      <c r="I33755" s="676"/>
      <c r="J33755" s="770"/>
    </row>
    <row r="33756" spans="8:10" x14ac:dyDescent="0.35">
      <c r="H33756" s="676"/>
      <c r="I33756" s="676"/>
      <c r="J33756" s="770"/>
    </row>
    <row r="33757" spans="8:10" x14ac:dyDescent="0.35">
      <c r="H33757" s="676"/>
      <c r="I33757" s="676"/>
      <c r="J33757" s="770"/>
    </row>
    <row r="33758" spans="8:10" x14ac:dyDescent="0.35">
      <c r="H33758" s="676"/>
      <c r="I33758" s="676"/>
      <c r="J33758" s="770"/>
    </row>
    <row r="33759" spans="8:10" x14ac:dyDescent="0.35">
      <c r="H33759" s="676"/>
      <c r="I33759" s="676"/>
      <c r="J33759" s="770"/>
    </row>
    <row r="33760" spans="8:10" x14ac:dyDescent="0.35">
      <c r="H33760" s="676"/>
      <c r="I33760" s="676"/>
      <c r="J33760" s="770"/>
    </row>
    <row r="33761" spans="8:10" x14ac:dyDescent="0.35">
      <c r="H33761" s="676"/>
      <c r="I33761" s="676"/>
      <c r="J33761" s="770"/>
    </row>
    <row r="33762" spans="8:10" x14ac:dyDescent="0.35">
      <c r="H33762" s="676"/>
      <c r="I33762" s="676"/>
      <c r="J33762" s="770"/>
    </row>
    <row r="33763" spans="8:10" x14ac:dyDescent="0.35">
      <c r="H33763" s="676"/>
      <c r="I33763" s="676"/>
      <c r="J33763" s="770"/>
    </row>
    <row r="33764" spans="8:10" x14ac:dyDescent="0.35">
      <c r="H33764" s="676"/>
      <c r="I33764" s="676"/>
      <c r="J33764" s="770"/>
    </row>
    <row r="33765" spans="8:10" x14ac:dyDescent="0.35">
      <c r="H33765" s="676"/>
      <c r="I33765" s="676"/>
      <c r="J33765" s="770"/>
    </row>
    <row r="33766" spans="8:10" x14ac:dyDescent="0.35">
      <c r="H33766" s="676"/>
      <c r="I33766" s="676"/>
      <c r="J33766" s="770"/>
    </row>
    <row r="33767" spans="8:10" x14ac:dyDescent="0.35">
      <c r="H33767" s="676"/>
      <c r="I33767" s="676"/>
      <c r="J33767" s="770"/>
    </row>
    <row r="33768" spans="8:10" x14ac:dyDescent="0.35">
      <c r="H33768" s="676"/>
      <c r="I33768" s="676"/>
      <c r="J33768" s="770"/>
    </row>
    <row r="33769" spans="8:10" x14ac:dyDescent="0.35">
      <c r="H33769" s="676"/>
      <c r="I33769" s="676"/>
      <c r="J33769" s="770"/>
    </row>
    <row r="33770" spans="8:10" x14ac:dyDescent="0.35">
      <c r="H33770" s="676"/>
      <c r="I33770" s="676"/>
      <c r="J33770" s="770"/>
    </row>
    <row r="33771" spans="8:10" x14ac:dyDescent="0.35">
      <c r="H33771" s="676"/>
      <c r="I33771" s="676"/>
      <c r="J33771" s="770"/>
    </row>
    <row r="33772" spans="8:10" x14ac:dyDescent="0.35">
      <c r="H33772" s="676"/>
      <c r="I33772" s="676"/>
      <c r="J33772" s="770"/>
    </row>
    <row r="33773" spans="8:10" x14ac:dyDescent="0.35">
      <c r="H33773" s="676"/>
      <c r="I33773" s="676"/>
      <c r="J33773" s="770"/>
    </row>
    <row r="33774" spans="8:10" x14ac:dyDescent="0.35">
      <c r="H33774" s="676"/>
      <c r="I33774" s="676"/>
      <c r="J33774" s="770"/>
    </row>
    <row r="33775" spans="8:10" x14ac:dyDescent="0.35">
      <c r="H33775" s="676"/>
      <c r="I33775" s="676"/>
      <c r="J33775" s="770"/>
    </row>
    <row r="33776" spans="8:10" x14ac:dyDescent="0.35">
      <c r="H33776" s="676"/>
      <c r="I33776" s="676"/>
      <c r="J33776" s="770"/>
    </row>
    <row r="33777" spans="8:10" x14ac:dyDescent="0.35">
      <c r="H33777" s="676"/>
      <c r="I33777" s="676"/>
      <c r="J33777" s="770"/>
    </row>
    <row r="33778" spans="8:10" x14ac:dyDescent="0.35">
      <c r="H33778" s="676"/>
      <c r="I33778" s="676"/>
      <c r="J33778" s="770"/>
    </row>
    <row r="33779" spans="8:10" x14ac:dyDescent="0.35">
      <c r="H33779" s="676"/>
      <c r="I33779" s="676"/>
      <c r="J33779" s="770"/>
    </row>
    <row r="33780" spans="8:10" x14ac:dyDescent="0.35">
      <c r="H33780" s="676"/>
      <c r="I33780" s="676"/>
      <c r="J33780" s="770"/>
    </row>
    <row r="33781" spans="8:10" x14ac:dyDescent="0.35">
      <c r="H33781" s="676"/>
      <c r="I33781" s="676"/>
      <c r="J33781" s="770"/>
    </row>
    <row r="33782" spans="8:10" x14ac:dyDescent="0.35">
      <c r="H33782" s="676"/>
      <c r="I33782" s="676"/>
      <c r="J33782" s="770"/>
    </row>
    <row r="33783" spans="8:10" x14ac:dyDescent="0.35">
      <c r="H33783" s="676"/>
      <c r="I33783" s="676"/>
      <c r="J33783" s="770"/>
    </row>
    <row r="33784" spans="8:10" x14ac:dyDescent="0.35">
      <c r="H33784" s="676"/>
      <c r="I33784" s="676"/>
      <c r="J33784" s="770"/>
    </row>
    <row r="33785" spans="8:10" x14ac:dyDescent="0.35">
      <c r="H33785" s="676"/>
      <c r="I33785" s="676"/>
      <c r="J33785" s="770"/>
    </row>
    <row r="33786" spans="8:10" x14ac:dyDescent="0.35">
      <c r="H33786" s="676"/>
      <c r="I33786" s="676"/>
      <c r="J33786" s="770"/>
    </row>
    <row r="33787" spans="8:10" x14ac:dyDescent="0.35">
      <c r="H33787" s="676"/>
      <c r="I33787" s="676"/>
      <c r="J33787" s="770"/>
    </row>
    <row r="33788" spans="8:10" x14ac:dyDescent="0.35">
      <c r="H33788" s="676"/>
      <c r="I33788" s="676"/>
      <c r="J33788" s="770"/>
    </row>
    <row r="33789" spans="8:10" x14ac:dyDescent="0.35">
      <c r="H33789" s="676"/>
      <c r="I33789" s="676"/>
      <c r="J33789" s="770"/>
    </row>
    <row r="33790" spans="8:10" x14ac:dyDescent="0.35">
      <c r="H33790" s="676"/>
      <c r="I33790" s="676"/>
      <c r="J33790" s="770"/>
    </row>
    <row r="33791" spans="8:10" x14ac:dyDescent="0.35">
      <c r="H33791" s="676"/>
      <c r="I33791" s="676"/>
      <c r="J33791" s="770"/>
    </row>
    <row r="33792" spans="8:10" x14ac:dyDescent="0.35">
      <c r="H33792" s="676"/>
      <c r="I33792" s="676"/>
      <c r="J33792" s="770"/>
    </row>
    <row r="33793" spans="8:10" x14ac:dyDescent="0.35">
      <c r="H33793" s="676"/>
      <c r="I33793" s="676"/>
      <c r="J33793" s="770"/>
    </row>
    <row r="33794" spans="8:10" x14ac:dyDescent="0.35">
      <c r="H33794" s="676"/>
      <c r="I33794" s="676"/>
      <c r="J33794" s="770"/>
    </row>
    <row r="33795" spans="8:10" x14ac:dyDescent="0.35">
      <c r="H33795" s="676"/>
      <c r="I33795" s="676"/>
      <c r="J33795" s="770"/>
    </row>
    <row r="33796" spans="8:10" x14ac:dyDescent="0.35">
      <c r="H33796" s="676"/>
      <c r="I33796" s="676"/>
      <c r="J33796" s="770"/>
    </row>
    <row r="33797" spans="8:10" x14ac:dyDescent="0.35">
      <c r="H33797" s="676"/>
      <c r="I33797" s="676"/>
      <c r="J33797" s="770"/>
    </row>
    <row r="33798" spans="8:10" x14ac:dyDescent="0.35">
      <c r="H33798" s="676"/>
      <c r="I33798" s="676"/>
      <c r="J33798" s="770"/>
    </row>
    <row r="33799" spans="8:10" x14ac:dyDescent="0.35">
      <c r="H33799" s="676"/>
      <c r="I33799" s="676"/>
      <c r="J33799" s="770"/>
    </row>
    <row r="33800" spans="8:10" x14ac:dyDescent="0.35">
      <c r="H33800" s="676"/>
      <c r="I33800" s="676"/>
      <c r="J33800" s="770"/>
    </row>
    <row r="33801" spans="8:10" x14ac:dyDescent="0.35">
      <c r="H33801" s="676"/>
      <c r="I33801" s="676"/>
      <c r="J33801" s="770"/>
    </row>
    <row r="33802" spans="8:10" x14ac:dyDescent="0.35">
      <c r="H33802" s="676"/>
      <c r="I33802" s="676"/>
      <c r="J33802" s="770"/>
    </row>
    <row r="33803" spans="8:10" x14ac:dyDescent="0.35">
      <c r="H33803" s="676"/>
      <c r="I33803" s="676"/>
      <c r="J33803" s="770"/>
    </row>
    <row r="33804" spans="8:10" x14ac:dyDescent="0.35">
      <c r="H33804" s="676"/>
      <c r="I33804" s="676"/>
      <c r="J33804" s="770"/>
    </row>
    <row r="33805" spans="8:10" x14ac:dyDescent="0.35">
      <c r="H33805" s="676"/>
      <c r="I33805" s="676"/>
      <c r="J33805" s="770"/>
    </row>
    <row r="33806" spans="8:10" x14ac:dyDescent="0.35">
      <c r="H33806" s="676"/>
      <c r="I33806" s="676"/>
      <c r="J33806" s="770"/>
    </row>
    <row r="33807" spans="8:10" x14ac:dyDescent="0.35">
      <c r="H33807" s="676"/>
      <c r="I33807" s="676"/>
      <c r="J33807" s="770"/>
    </row>
    <row r="33808" spans="8:10" x14ac:dyDescent="0.35">
      <c r="H33808" s="676"/>
      <c r="I33808" s="676"/>
      <c r="J33808" s="770"/>
    </row>
    <row r="33809" spans="8:10" x14ac:dyDescent="0.35">
      <c r="H33809" s="676"/>
      <c r="I33809" s="676"/>
      <c r="J33809" s="770"/>
    </row>
    <row r="33810" spans="8:10" x14ac:dyDescent="0.35">
      <c r="H33810" s="676"/>
      <c r="I33810" s="676"/>
      <c r="J33810" s="770"/>
    </row>
    <row r="33811" spans="8:10" x14ac:dyDescent="0.35">
      <c r="H33811" s="676"/>
      <c r="I33811" s="676"/>
      <c r="J33811" s="770"/>
    </row>
    <row r="33812" spans="8:10" x14ac:dyDescent="0.35">
      <c r="H33812" s="676"/>
      <c r="I33812" s="676"/>
      <c r="J33812" s="770"/>
    </row>
    <row r="33813" spans="8:10" x14ac:dyDescent="0.35">
      <c r="H33813" s="676"/>
      <c r="I33813" s="676"/>
      <c r="J33813" s="770"/>
    </row>
    <row r="33814" spans="8:10" x14ac:dyDescent="0.35">
      <c r="H33814" s="676"/>
      <c r="I33814" s="676"/>
      <c r="J33814" s="770"/>
    </row>
    <row r="33815" spans="8:10" x14ac:dyDescent="0.35">
      <c r="H33815" s="676"/>
      <c r="I33815" s="676"/>
      <c r="J33815" s="770"/>
    </row>
    <row r="33816" spans="8:10" x14ac:dyDescent="0.35">
      <c r="H33816" s="676"/>
      <c r="I33816" s="676"/>
      <c r="J33816" s="770"/>
    </row>
    <row r="33817" spans="8:10" x14ac:dyDescent="0.35">
      <c r="H33817" s="676"/>
      <c r="I33817" s="676"/>
      <c r="J33817" s="770"/>
    </row>
    <row r="33818" spans="8:10" x14ac:dyDescent="0.35">
      <c r="H33818" s="676"/>
      <c r="I33818" s="676"/>
      <c r="J33818" s="770"/>
    </row>
    <row r="33819" spans="8:10" x14ac:dyDescent="0.35">
      <c r="H33819" s="676"/>
      <c r="I33819" s="676"/>
      <c r="J33819" s="770"/>
    </row>
    <row r="33820" spans="8:10" x14ac:dyDescent="0.35">
      <c r="H33820" s="676"/>
      <c r="I33820" s="676"/>
      <c r="J33820" s="770"/>
    </row>
    <row r="33821" spans="8:10" x14ac:dyDescent="0.35">
      <c r="H33821" s="676"/>
      <c r="I33821" s="676"/>
      <c r="J33821" s="770"/>
    </row>
    <row r="33822" spans="8:10" x14ac:dyDescent="0.35">
      <c r="H33822" s="676"/>
      <c r="I33822" s="676"/>
      <c r="J33822" s="770"/>
    </row>
    <row r="33823" spans="8:10" x14ac:dyDescent="0.35">
      <c r="H33823" s="676"/>
      <c r="I33823" s="676"/>
      <c r="J33823" s="770"/>
    </row>
    <row r="33824" spans="8:10" x14ac:dyDescent="0.35">
      <c r="H33824" s="676"/>
      <c r="I33824" s="676"/>
      <c r="J33824" s="770"/>
    </row>
    <row r="33825" spans="8:10" x14ac:dyDescent="0.35">
      <c r="H33825" s="676"/>
      <c r="I33825" s="676"/>
      <c r="J33825" s="770"/>
    </row>
    <row r="33826" spans="8:10" x14ac:dyDescent="0.35">
      <c r="H33826" s="676"/>
      <c r="I33826" s="676"/>
      <c r="J33826" s="770"/>
    </row>
    <row r="33827" spans="8:10" x14ac:dyDescent="0.35">
      <c r="H33827" s="676"/>
      <c r="I33827" s="676"/>
      <c r="J33827" s="770"/>
    </row>
    <row r="33828" spans="8:10" x14ac:dyDescent="0.35">
      <c r="H33828" s="676"/>
      <c r="I33828" s="676"/>
      <c r="J33828" s="770"/>
    </row>
    <row r="33829" spans="8:10" x14ac:dyDescent="0.35">
      <c r="H33829" s="676"/>
      <c r="I33829" s="676"/>
      <c r="J33829" s="770"/>
    </row>
    <row r="33830" spans="8:10" x14ac:dyDescent="0.35">
      <c r="H33830" s="676"/>
      <c r="I33830" s="676"/>
      <c r="J33830" s="770"/>
    </row>
    <row r="33831" spans="8:10" x14ac:dyDescent="0.35">
      <c r="H33831" s="676"/>
      <c r="I33831" s="676"/>
      <c r="J33831" s="770"/>
    </row>
    <row r="33832" spans="8:10" x14ac:dyDescent="0.35">
      <c r="H33832" s="676"/>
      <c r="I33832" s="676"/>
      <c r="J33832" s="770"/>
    </row>
    <row r="33833" spans="8:10" x14ac:dyDescent="0.35">
      <c r="H33833" s="676"/>
      <c r="I33833" s="676"/>
      <c r="J33833" s="770"/>
    </row>
    <row r="33834" spans="8:10" x14ac:dyDescent="0.35">
      <c r="H33834" s="676"/>
      <c r="I33834" s="676"/>
      <c r="J33834" s="770"/>
    </row>
    <row r="33835" spans="8:10" x14ac:dyDescent="0.35">
      <c r="H33835" s="676"/>
      <c r="I33835" s="676"/>
      <c r="J33835" s="770"/>
    </row>
    <row r="33836" spans="8:10" x14ac:dyDescent="0.35">
      <c r="H33836" s="676"/>
      <c r="I33836" s="676"/>
      <c r="J33836" s="770"/>
    </row>
    <row r="33837" spans="8:10" x14ac:dyDescent="0.35">
      <c r="H33837" s="676"/>
      <c r="I33837" s="676"/>
      <c r="J33837" s="770"/>
    </row>
    <row r="33838" spans="8:10" x14ac:dyDescent="0.35">
      <c r="H33838" s="676"/>
      <c r="I33838" s="676"/>
      <c r="J33838" s="770"/>
    </row>
    <row r="33839" spans="8:10" x14ac:dyDescent="0.35">
      <c r="H33839" s="676"/>
      <c r="I33839" s="676"/>
      <c r="J33839" s="770"/>
    </row>
    <row r="33840" spans="8:10" x14ac:dyDescent="0.35">
      <c r="H33840" s="676"/>
      <c r="I33840" s="676"/>
      <c r="J33840" s="770"/>
    </row>
    <row r="33841" spans="8:10" x14ac:dyDescent="0.35">
      <c r="H33841" s="676"/>
      <c r="I33841" s="676"/>
      <c r="J33841" s="770"/>
    </row>
    <row r="33842" spans="8:10" x14ac:dyDescent="0.35">
      <c r="H33842" s="676"/>
      <c r="I33842" s="676"/>
      <c r="J33842" s="770"/>
    </row>
    <row r="33843" spans="8:10" x14ac:dyDescent="0.35">
      <c r="H33843" s="676"/>
      <c r="I33843" s="676"/>
      <c r="J33843" s="770"/>
    </row>
    <row r="33844" spans="8:10" x14ac:dyDescent="0.35">
      <c r="H33844" s="676"/>
      <c r="I33844" s="676"/>
      <c r="J33844" s="770"/>
    </row>
    <row r="33845" spans="8:10" x14ac:dyDescent="0.35">
      <c r="H33845" s="676"/>
      <c r="I33845" s="676"/>
      <c r="J33845" s="770"/>
    </row>
    <row r="33846" spans="8:10" x14ac:dyDescent="0.35">
      <c r="H33846" s="676"/>
      <c r="I33846" s="676"/>
      <c r="J33846" s="770"/>
    </row>
    <row r="33847" spans="8:10" x14ac:dyDescent="0.35">
      <c r="H33847" s="676"/>
      <c r="I33847" s="676"/>
      <c r="J33847" s="770"/>
    </row>
    <row r="33848" spans="8:10" x14ac:dyDescent="0.35">
      <c r="H33848" s="676"/>
      <c r="I33848" s="676"/>
      <c r="J33848" s="770"/>
    </row>
    <row r="33849" spans="8:10" x14ac:dyDescent="0.35">
      <c r="H33849" s="676"/>
      <c r="I33849" s="676"/>
      <c r="J33849" s="770"/>
    </row>
    <row r="33850" spans="8:10" x14ac:dyDescent="0.35">
      <c r="H33850" s="676"/>
      <c r="I33850" s="676"/>
      <c r="J33850" s="770"/>
    </row>
    <row r="33851" spans="8:10" x14ac:dyDescent="0.35">
      <c r="H33851" s="676"/>
      <c r="I33851" s="676"/>
      <c r="J33851" s="770"/>
    </row>
    <row r="33852" spans="8:10" x14ac:dyDescent="0.35">
      <c r="H33852" s="676"/>
      <c r="I33852" s="676"/>
      <c r="J33852" s="770"/>
    </row>
    <row r="33853" spans="8:10" x14ac:dyDescent="0.35">
      <c r="H33853" s="676"/>
      <c r="I33853" s="676"/>
      <c r="J33853" s="770"/>
    </row>
    <row r="33854" spans="8:10" x14ac:dyDescent="0.35">
      <c r="H33854" s="676"/>
      <c r="I33854" s="676"/>
      <c r="J33854" s="770"/>
    </row>
    <row r="33855" spans="8:10" x14ac:dyDescent="0.35">
      <c r="H33855" s="676"/>
      <c r="I33855" s="676"/>
      <c r="J33855" s="770"/>
    </row>
    <row r="33856" spans="8:10" x14ac:dyDescent="0.35">
      <c r="H33856" s="676"/>
      <c r="I33856" s="676"/>
      <c r="J33856" s="770"/>
    </row>
    <row r="33857" spans="8:10" x14ac:dyDescent="0.35">
      <c r="H33857" s="676"/>
      <c r="I33857" s="676"/>
      <c r="J33857" s="770"/>
    </row>
    <row r="33858" spans="8:10" x14ac:dyDescent="0.35">
      <c r="H33858" s="676"/>
      <c r="I33858" s="676"/>
      <c r="J33858" s="770"/>
    </row>
    <row r="33859" spans="8:10" x14ac:dyDescent="0.35">
      <c r="H33859" s="676"/>
      <c r="I33859" s="676"/>
      <c r="J33859" s="770"/>
    </row>
    <row r="33860" spans="8:10" x14ac:dyDescent="0.35">
      <c r="H33860" s="676"/>
      <c r="I33860" s="676"/>
      <c r="J33860" s="770"/>
    </row>
    <row r="33861" spans="8:10" x14ac:dyDescent="0.35">
      <c r="H33861" s="676"/>
      <c r="I33861" s="676"/>
      <c r="J33861" s="770"/>
    </row>
    <row r="33862" spans="8:10" x14ac:dyDescent="0.35">
      <c r="H33862" s="676"/>
      <c r="I33862" s="676"/>
      <c r="J33862" s="770"/>
    </row>
    <row r="33863" spans="8:10" x14ac:dyDescent="0.35">
      <c r="H33863" s="676"/>
      <c r="I33863" s="676"/>
      <c r="J33863" s="770"/>
    </row>
    <row r="33864" spans="8:10" x14ac:dyDescent="0.35">
      <c r="H33864" s="676"/>
      <c r="I33864" s="676"/>
      <c r="J33864" s="770"/>
    </row>
    <row r="33865" spans="8:10" x14ac:dyDescent="0.35">
      <c r="H33865" s="676"/>
      <c r="I33865" s="676"/>
      <c r="J33865" s="770"/>
    </row>
    <row r="33866" spans="8:10" x14ac:dyDescent="0.35">
      <c r="H33866" s="676"/>
      <c r="I33866" s="676"/>
      <c r="J33866" s="770"/>
    </row>
    <row r="33867" spans="8:10" x14ac:dyDescent="0.35">
      <c r="H33867" s="676"/>
      <c r="I33867" s="676"/>
      <c r="J33867" s="770"/>
    </row>
    <row r="33868" spans="8:10" x14ac:dyDescent="0.35">
      <c r="H33868" s="676"/>
      <c r="I33868" s="676"/>
      <c r="J33868" s="770"/>
    </row>
    <row r="33869" spans="8:10" x14ac:dyDescent="0.35">
      <c r="H33869" s="676"/>
      <c r="I33869" s="676"/>
      <c r="J33869" s="770"/>
    </row>
    <row r="33870" spans="8:10" x14ac:dyDescent="0.35">
      <c r="H33870" s="676"/>
      <c r="I33870" s="676"/>
      <c r="J33870" s="770"/>
    </row>
    <row r="33871" spans="8:10" x14ac:dyDescent="0.35">
      <c r="H33871" s="676"/>
      <c r="I33871" s="676"/>
      <c r="J33871" s="770"/>
    </row>
    <row r="33872" spans="8:10" x14ac:dyDescent="0.35">
      <c r="H33872" s="676"/>
      <c r="I33872" s="676"/>
      <c r="J33872" s="770"/>
    </row>
    <row r="33873" spans="8:10" x14ac:dyDescent="0.35">
      <c r="H33873" s="676"/>
      <c r="I33873" s="676"/>
      <c r="J33873" s="770"/>
    </row>
    <row r="33874" spans="8:10" x14ac:dyDescent="0.35">
      <c r="H33874" s="676"/>
      <c r="I33874" s="676"/>
      <c r="J33874" s="770"/>
    </row>
    <row r="33875" spans="8:10" x14ac:dyDescent="0.35">
      <c r="H33875" s="676"/>
      <c r="I33875" s="676"/>
      <c r="J33875" s="770"/>
    </row>
    <row r="33876" spans="8:10" x14ac:dyDescent="0.35">
      <c r="H33876" s="676"/>
      <c r="I33876" s="676"/>
      <c r="J33876" s="770"/>
    </row>
    <row r="33877" spans="8:10" x14ac:dyDescent="0.35">
      <c r="H33877" s="676"/>
      <c r="I33877" s="676"/>
      <c r="J33877" s="770"/>
    </row>
    <row r="33878" spans="8:10" x14ac:dyDescent="0.35">
      <c r="H33878" s="676"/>
      <c r="I33878" s="676"/>
      <c r="J33878" s="770"/>
    </row>
    <row r="33879" spans="8:10" x14ac:dyDescent="0.35">
      <c r="H33879" s="676"/>
      <c r="I33879" s="676"/>
      <c r="J33879" s="770"/>
    </row>
    <row r="33880" spans="8:10" x14ac:dyDescent="0.35">
      <c r="H33880" s="676"/>
      <c r="I33880" s="676"/>
      <c r="J33880" s="770"/>
    </row>
    <row r="33881" spans="8:10" x14ac:dyDescent="0.35">
      <c r="H33881" s="676"/>
      <c r="I33881" s="676"/>
      <c r="J33881" s="770"/>
    </row>
    <row r="33882" spans="8:10" x14ac:dyDescent="0.35">
      <c r="H33882" s="676"/>
      <c r="I33882" s="676"/>
      <c r="J33882" s="770"/>
    </row>
    <row r="33883" spans="8:10" x14ac:dyDescent="0.35">
      <c r="H33883" s="676"/>
      <c r="I33883" s="676"/>
      <c r="J33883" s="770"/>
    </row>
    <row r="33884" spans="8:10" x14ac:dyDescent="0.35">
      <c r="H33884" s="676"/>
      <c r="I33884" s="676"/>
      <c r="J33884" s="770"/>
    </row>
    <row r="33885" spans="8:10" x14ac:dyDescent="0.35">
      <c r="H33885" s="676"/>
      <c r="I33885" s="676"/>
      <c r="J33885" s="770"/>
    </row>
    <row r="33886" spans="8:10" x14ac:dyDescent="0.35">
      <c r="H33886" s="676"/>
      <c r="I33886" s="676"/>
      <c r="J33886" s="770"/>
    </row>
    <row r="33887" spans="8:10" x14ac:dyDescent="0.35">
      <c r="H33887" s="676"/>
      <c r="I33887" s="676"/>
      <c r="J33887" s="770"/>
    </row>
    <row r="33888" spans="8:10" x14ac:dyDescent="0.35">
      <c r="H33888" s="676"/>
      <c r="I33888" s="676"/>
      <c r="J33888" s="770"/>
    </row>
    <row r="33889" spans="8:10" x14ac:dyDescent="0.35">
      <c r="H33889" s="676"/>
      <c r="I33889" s="676"/>
      <c r="J33889" s="770"/>
    </row>
    <row r="33890" spans="8:10" x14ac:dyDescent="0.35">
      <c r="H33890" s="676"/>
      <c r="I33890" s="676"/>
      <c r="J33890" s="770"/>
    </row>
    <row r="33891" spans="8:10" x14ac:dyDescent="0.35">
      <c r="H33891" s="676"/>
      <c r="I33891" s="676"/>
      <c r="J33891" s="770"/>
    </row>
    <row r="33892" spans="8:10" x14ac:dyDescent="0.35">
      <c r="H33892" s="676"/>
      <c r="I33892" s="676"/>
      <c r="J33892" s="770"/>
    </row>
    <row r="33893" spans="8:10" x14ac:dyDescent="0.35">
      <c r="H33893" s="676"/>
      <c r="I33893" s="676"/>
      <c r="J33893" s="770"/>
    </row>
    <row r="33894" spans="8:10" x14ac:dyDescent="0.35">
      <c r="H33894" s="676"/>
      <c r="I33894" s="676"/>
      <c r="J33894" s="770"/>
    </row>
    <row r="33895" spans="8:10" x14ac:dyDescent="0.35">
      <c r="H33895" s="676"/>
      <c r="I33895" s="676"/>
      <c r="J33895" s="770"/>
    </row>
    <row r="33896" spans="8:10" x14ac:dyDescent="0.35">
      <c r="H33896" s="676"/>
      <c r="I33896" s="676"/>
      <c r="J33896" s="770"/>
    </row>
    <row r="33897" spans="8:10" x14ac:dyDescent="0.35">
      <c r="H33897" s="676"/>
      <c r="I33897" s="676"/>
      <c r="J33897" s="770"/>
    </row>
    <row r="33898" spans="8:10" x14ac:dyDescent="0.35">
      <c r="H33898" s="676"/>
      <c r="I33898" s="676"/>
      <c r="J33898" s="770"/>
    </row>
    <row r="33899" spans="8:10" x14ac:dyDescent="0.35">
      <c r="H33899" s="676"/>
      <c r="I33899" s="676"/>
      <c r="J33899" s="770"/>
    </row>
    <row r="33900" spans="8:10" x14ac:dyDescent="0.35">
      <c r="H33900" s="676"/>
      <c r="I33900" s="676"/>
      <c r="J33900" s="770"/>
    </row>
    <row r="33901" spans="8:10" x14ac:dyDescent="0.35">
      <c r="H33901" s="676"/>
      <c r="I33901" s="676"/>
      <c r="J33901" s="770"/>
    </row>
    <row r="33902" spans="8:10" x14ac:dyDescent="0.35">
      <c r="H33902" s="676"/>
      <c r="I33902" s="676"/>
      <c r="J33902" s="770"/>
    </row>
    <row r="33903" spans="8:10" x14ac:dyDescent="0.35">
      <c r="H33903" s="676"/>
      <c r="I33903" s="676"/>
      <c r="J33903" s="770"/>
    </row>
    <row r="33904" spans="8:10" x14ac:dyDescent="0.35">
      <c r="H33904" s="676"/>
      <c r="I33904" s="676"/>
      <c r="J33904" s="770"/>
    </row>
    <row r="33905" spans="8:10" x14ac:dyDescent="0.35">
      <c r="H33905" s="676"/>
      <c r="I33905" s="676"/>
      <c r="J33905" s="770"/>
    </row>
    <row r="33906" spans="8:10" x14ac:dyDescent="0.35">
      <c r="H33906" s="676"/>
      <c r="I33906" s="676"/>
      <c r="J33906" s="770"/>
    </row>
    <row r="33907" spans="8:10" x14ac:dyDescent="0.35">
      <c r="H33907" s="676"/>
      <c r="I33907" s="676"/>
      <c r="J33907" s="770"/>
    </row>
    <row r="33908" spans="8:10" x14ac:dyDescent="0.35">
      <c r="H33908" s="676"/>
      <c r="I33908" s="676"/>
      <c r="J33908" s="770"/>
    </row>
    <row r="33909" spans="8:10" x14ac:dyDescent="0.35">
      <c r="H33909" s="676"/>
      <c r="I33909" s="676"/>
      <c r="J33909" s="770"/>
    </row>
    <row r="33910" spans="8:10" x14ac:dyDescent="0.35">
      <c r="H33910" s="676"/>
      <c r="I33910" s="676"/>
      <c r="J33910" s="770"/>
    </row>
    <row r="33911" spans="8:10" x14ac:dyDescent="0.35">
      <c r="H33911" s="676"/>
      <c r="I33911" s="676"/>
      <c r="J33911" s="770"/>
    </row>
    <row r="33912" spans="8:10" x14ac:dyDescent="0.35">
      <c r="H33912" s="676"/>
      <c r="I33912" s="676"/>
      <c r="J33912" s="770"/>
    </row>
    <row r="33913" spans="8:10" x14ac:dyDescent="0.35">
      <c r="H33913" s="676"/>
      <c r="I33913" s="676"/>
      <c r="J33913" s="770"/>
    </row>
    <row r="33914" spans="8:10" x14ac:dyDescent="0.35">
      <c r="H33914" s="676"/>
      <c r="I33914" s="676"/>
      <c r="J33914" s="770"/>
    </row>
    <row r="33915" spans="8:10" x14ac:dyDescent="0.35">
      <c r="H33915" s="676"/>
      <c r="I33915" s="676"/>
      <c r="J33915" s="770"/>
    </row>
    <row r="33916" spans="8:10" x14ac:dyDescent="0.35">
      <c r="H33916" s="676"/>
      <c r="I33916" s="676"/>
      <c r="J33916" s="770"/>
    </row>
    <row r="33917" spans="8:10" x14ac:dyDescent="0.35">
      <c r="H33917" s="676"/>
      <c r="I33917" s="676"/>
      <c r="J33917" s="770"/>
    </row>
    <row r="33918" spans="8:10" x14ac:dyDescent="0.35">
      <c r="H33918" s="676"/>
      <c r="I33918" s="676"/>
      <c r="J33918" s="770"/>
    </row>
    <row r="33919" spans="8:10" x14ac:dyDescent="0.35">
      <c r="H33919" s="676"/>
      <c r="I33919" s="676"/>
      <c r="J33919" s="770"/>
    </row>
    <row r="33920" spans="8:10" x14ac:dyDescent="0.35">
      <c r="H33920" s="676"/>
      <c r="I33920" s="676"/>
      <c r="J33920" s="770"/>
    </row>
    <row r="33921" spans="8:10" x14ac:dyDescent="0.35">
      <c r="H33921" s="676"/>
      <c r="I33921" s="676"/>
      <c r="J33921" s="770"/>
    </row>
    <row r="33922" spans="8:10" x14ac:dyDescent="0.35">
      <c r="H33922" s="676"/>
      <c r="I33922" s="676"/>
      <c r="J33922" s="770"/>
    </row>
    <row r="33923" spans="8:10" x14ac:dyDescent="0.35">
      <c r="H33923" s="676"/>
      <c r="I33923" s="676"/>
      <c r="J33923" s="770"/>
    </row>
    <row r="33924" spans="8:10" x14ac:dyDescent="0.35">
      <c r="H33924" s="676"/>
      <c r="I33924" s="676"/>
      <c r="J33924" s="770"/>
    </row>
    <row r="33925" spans="8:10" x14ac:dyDescent="0.35">
      <c r="H33925" s="676"/>
      <c r="I33925" s="676"/>
      <c r="J33925" s="770"/>
    </row>
    <row r="33926" spans="8:10" x14ac:dyDescent="0.35">
      <c r="H33926" s="676"/>
      <c r="I33926" s="676"/>
      <c r="J33926" s="770"/>
    </row>
    <row r="33927" spans="8:10" x14ac:dyDescent="0.35">
      <c r="H33927" s="676"/>
      <c r="I33927" s="676"/>
      <c r="J33927" s="770"/>
    </row>
    <row r="33928" spans="8:10" x14ac:dyDescent="0.35">
      <c r="H33928" s="676"/>
      <c r="I33928" s="676"/>
      <c r="J33928" s="770"/>
    </row>
    <row r="33929" spans="8:10" x14ac:dyDescent="0.35">
      <c r="H33929" s="676"/>
      <c r="I33929" s="676"/>
      <c r="J33929" s="770"/>
    </row>
    <row r="33930" spans="8:10" x14ac:dyDescent="0.35">
      <c r="H33930" s="676"/>
      <c r="I33930" s="676"/>
      <c r="J33930" s="770"/>
    </row>
    <row r="33931" spans="8:10" x14ac:dyDescent="0.35">
      <c r="H33931" s="676"/>
      <c r="I33931" s="676"/>
      <c r="J33931" s="770"/>
    </row>
    <row r="33932" spans="8:10" x14ac:dyDescent="0.35">
      <c r="H33932" s="676"/>
      <c r="I33932" s="676"/>
      <c r="J33932" s="770"/>
    </row>
    <row r="33933" spans="8:10" x14ac:dyDescent="0.35">
      <c r="H33933" s="676"/>
      <c r="I33933" s="676"/>
      <c r="J33933" s="770"/>
    </row>
    <row r="33934" spans="8:10" x14ac:dyDescent="0.35">
      <c r="H33934" s="676"/>
      <c r="I33934" s="676"/>
      <c r="J33934" s="770"/>
    </row>
    <row r="33935" spans="8:10" x14ac:dyDescent="0.35">
      <c r="H33935" s="676"/>
      <c r="I33935" s="676"/>
      <c r="J33935" s="770"/>
    </row>
    <row r="33936" spans="8:10" x14ac:dyDescent="0.35">
      <c r="H33936" s="676"/>
      <c r="I33936" s="676"/>
      <c r="J33936" s="770"/>
    </row>
    <row r="33937" spans="8:10" x14ac:dyDescent="0.35">
      <c r="H33937" s="676"/>
      <c r="I33937" s="676"/>
      <c r="J33937" s="770"/>
    </row>
    <row r="33938" spans="8:10" x14ac:dyDescent="0.35">
      <c r="H33938" s="676"/>
      <c r="I33938" s="676"/>
      <c r="J33938" s="770"/>
    </row>
    <row r="33939" spans="8:10" x14ac:dyDescent="0.35">
      <c r="H33939" s="676"/>
      <c r="I33939" s="676"/>
      <c r="J33939" s="770"/>
    </row>
    <row r="33940" spans="8:10" x14ac:dyDescent="0.35">
      <c r="H33940" s="676"/>
      <c r="I33940" s="676"/>
      <c r="J33940" s="770"/>
    </row>
    <row r="33941" spans="8:10" x14ac:dyDescent="0.35">
      <c r="H33941" s="676"/>
      <c r="I33941" s="676"/>
      <c r="J33941" s="770"/>
    </row>
    <row r="33942" spans="8:10" x14ac:dyDescent="0.35">
      <c r="H33942" s="676"/>
      <c r="I33942" s="676"/>
      <c r="J33942" s="770"/>
    </row>
    <row r="33943" spans="8:10" x14ac:dyDescent="0.35">
      <c r="H33943" s="676"/>
      <c r="I33943" s="676"/>
      <c r="J33943" s="770"/>
    </row>
    <row r="33944" spans="8:10" x14ac:dyDescent="0.35">
      <c r="H33944" s="676"/>
      <c r="I33944" s="676"/>
      <c r="J33944" s="770"/>
    </row>
    <row r="33945" spans="8:10" x14ac:dyDescent="0.35">
      <c r="H33945" s="676"/>
      <c r="I33945" s="676"/>
      <c r="J33945" s="770"/>
    </row>
    <row r="33946" spans="8:10" x14ac:dyDescent="0.35">
      <c r="H33946" s="676"/>
      <c r="I33946" s="676"/>
      <c r="J33946" s="770"/>
    </row>
    <row r="33947" spans="8:10" x14ac:dyDescent="0.35">
      <c r="H33947" s="676"/>
      <c r="I33947" s="676"/>
      <c r="J33947" s="770"/>
    </row>
    <row r="33948" spans="8:10" x14ac:dyDescent="0.35">
      <c r="H33948" s="676"/>
      <c r="I33948" s="676"/>
      <c r="J33948" s="770"/>
    </row>
    <row r="33949" spans="8:10" x14ac:dyDescent="0.35">
      <c r="H33949" s="676"/>
      <c r="I33949" s="676"/>
      <c r="J33949" s="770"/>
    </row>
    <row r="33950" spans="8:10" x14ac:dyDescent="0.35">
      <c r="H33950" s="676"/>
      <c r="I33950" s="676"/>
      <c r="J33950" s="770"/>
    </row>
    <row r="33951" spans="8:10" x14ac:dyDescent="0.35">
      <c r="H33951" s="676"/>
      <c r="I33951" s="676"/>
      <c r="J33951" s="770"/>
    </row>
    <row r="33952" spans="8:10" x14ac:dyDescent="0.35">
      <c r="H33952" s="676"/>
      <c r="I33952" s="676"/>
      <c r="J33952" s="770"/>
    </row>
    <row r="33953" spans="8:10" x14ac:dyDescent="0.35">
      <c r="H33953" s="676"/>
      <c r="I33953" s="676"/>
      <c r="J33953" s="770"/>
    </row>
    <row r="33954" spans="8:10" x14ac:dyDescent="0.35">
      <c r="H33954" s="676"/>
      <c r="I33954" s="676"/>
      <c r="J33954" s="770"/>
    </row>
    <row r="33955" spans="8:10" x14ac:dyDescent="0.35">
      <c r="H33955" s="676"/>
      <c r="I33955" s="676"/>
      <c r="J33955" s="770"/>
    </row>
    <row r="33956" spans="8:10" x14ac:dyDescent="0.35">
      <c r="H33956" s="676"/>
      <c r="I33956" s="676"/>
      <c r="J33956" s="770"/>
    </row>
    <row r="33957" spans="8:10" x14ac:dyDescent="0.35">
      <c r="H33957" s="676"/>
      <c r="I33957" s="676"/>
      <c r="J33957" s="770"/>
    </row>
    <row r="33958" spans="8:10" x14ac:dyDescent="0.35">
      <c r="H33958" s="676"/>
      <c r="I33958" s="676"/>
      <c r="J33958" s="770"/>
    </row>
    <row r="33959" spans="8:10" x14ac:dyDescent="0.35">
      <c r="H33959" s="676"/>
      <c r="I33959" s="676"/>
      <c r="J33959" s="770"/>
    </row>
    <row r="33960" spans="8:10" x14ac:dyDescent="0.35">
      <c r="H33960" s="676"/>
      <c r="I33960" s="676"/>
      <c r="J33960" s="770"/>
    </row>
    <row r="33961" spans="8:10" x14ac:dyDescent="0.35">
      <c r="H33961" s="676"/>
      <c r="I33961" s="676"/>
      <c r="J33961" s="770"/>
    </row>
    <row r="33962" spans="8:10" x14ac:dyDescent="0.35">
      <c r="H33962" s="676"/>
      <c r="I33962" s="676"/>
      <c r="J33962" s="770"/>
    </row>
    <row r="33963" spans="8:10" x14ac:dyDescent="0.35">
      <c r="H33963" s="676"/>
      <c r="I33963" s="676"/>
      <c r="J33963" s="770"/>
    </row>
    <row r="33964" spans="8:10" x14ac:dyDescent="0.35">
      <c r="H33964" s="676"/>
      <c r="I33964" s="676"/>
      <c r="J33964" s="770"/>
    </row>
    <row r="33965" spans="8:10" x14ac:dyDescent="0.35">
      <c r="H33965" s="676"/>
      <c r="I33965" s="676"/>
      <c r="J33965" s="770"/>
    </row>
    <row r="33966" spans="8:10" x14ac:dyDescent="0.35">
      <c r="H33966" s="676"/>
      <c r="I33966" s="676"/>
      <c r="J33966" s="770"/>
    </row>
    <row r="33967" spans="8:10" x14ac:dyDescent="0.35">
      <c r="H33967" s="676"/>
      <c r="I33967" s="676"/>
      <c r="J33967" s="770"/>
    </row>
    <row r="33968" spans="8:10" x14ac:dyDescent="0.35">
      <c r="H33968" s="676"/>
      <c r="I33968" s="676"/>
      <c r="J33968" s="770"/>
    </row>
    <row r="33969" spans="8:10" x14ac:dyDescent="0.35">
      <c r="H33969" s="676"/>
      <c r="I33969" s="676"/>
      <c r="J33969" s="770"/>
    </row>
    <row r="33970" spans="8:10" x14ac:dyDescent="0.35">
      <c r="H33970" s="676"/>
      <c r="I33970" s="676"/>
      <c r="J33970" s="770"/>
    </row>
    <row r="33971" spans="8:10" x14ac:dyDescent="0.35">
      <c r="H33971" s="676"/>
      <c r="I33971" s="676"/>
      <c r="J33971" s="770"/>
    </row>
    <row r="33972" spans="8:10" x14ac:dyDescent="0.35">
      <c r="H33972" s="676"/>
      <c r="I33972" s="676"/>
      <c r="J33972" s="770"/>
    </row>
    <row r="33973" spans="8:10" x14ac:dyDescent="0.35">
      <c r="H33973" s="676"/>
      <c r="I33973" s="676"/>
      <c r="J33973" s="770"/>
    </row>
    <row r="33974" spans="8:10" x14ac:dyDescent="0.35">
      <c r="H33974" s="676"/>
      <c r="I33974" s="676"/>
      <c r="J33974" s="770"/>
    </row>
    <row r="33975" spans="8:10" x14ac:dyDescent="0.35">
      <c r="H33975" s="676"/>
      <c r="I33975" s="676"/>
      <c r="J33975" s="770"/>
    </row>
    <row r="33976" spans="8:10" x14ac:dyDescent="0.35">
      <c r="H33976" s="676"/>
      <c r="I33976" s="676"/>
      <c r="J33976" s="770"/>
    </row>
    <row r="33977" spans="8:10" x14ac:dyDescent="0.35">
      <c r="H33977" s="676"/>
      <c r="I33977" s="676"/>
      <c r="J33977" s="770"/>
    </row>
    <row r="33978" spans="8:10" x14ac:dyDescent="0.35">
      <c r="H33978" s="676"/>
      <c r="I33978" s="676"/>
      <c r="J33978" s="770"/>
    </row>
    <row r="33979" spans="8:10" x14ac:dyDescent="0.35">
      <c r="H33979" s="676"/>
      <c r="I33979" s="676"/>
      <c r="J33979" s="770"/>
    </row>
    <row r="33980" spans="8:10" x14ac:dyDescent="0.35">
      <c r="H33980" s="676"/>
      <c r="I33980" s="676"/>
      <c r="J33980" s="770"/>
    </row>
    <row r="33981" spans="8:10" x14ac:dyDescent="0.35">
      <c r="H33981" s="676"/>
      <c r="I33981" s="676"/>
      <c r="J33981" s="770"/>
    </row>
    <row r="33982" spans="8:10" x14ac:dyDescent="0.35">
      <c r="H33982" s="676"/>
      <c r="I33982" s="676"/>
      <c r="J33982" s="770"/>
    </row>
    <row r="33983" spans="8:10" x14ac:dyDescent="0.35">
      <c r="H33983" s="676"/>
      <c r="I33983" s="676"/>
      <c r="J33983" s="770"/>
    </row>
    <row r="33984" spans="8:10" x14ac:dyDescent="0.35">
      <c r="H33984" s="676"/>
      <c r="I33984" s="676"/>
      <c r="J33984" s="770"/>
    </row>
    <row r="33985" spans="8:10" x14ac:dyDescent="0.35">
      <c r="H33985" s="676"/>
      <c r="I33985" s="676"/>
      <c r="J33985" s="770"/>
    </row>
    <row r="33986" spans="8:10" x14ac:dyDescent="0.35">
      <c r="H33986" s="676"/>
      <c r="I33986" s="676"/>
      <c r="J33986" s="770"/>
    </row>
    <row r="33987" spans="8:10" x14ac:dyDescent="0.35">
      <c r="H33987" s="676"/>
      <c r="I33987" s="676"/>
      <c r="J33987" s="770"/>
    </row>
    <row r="33988" spans="8:10" x14ac:dyDescent="0.35">
      <c r="H33988" s="676"/>
      <c r="I33988" s="676"/>
      <c r="J33988" s="770"/>
    </row>
    <row r="33989" spans="8:10" x14ac:dyDescent="0.35">
      <c r="H33989" s="676"/>
      <c r="I33989" s="676"/>
      <c r="J33989" s="770"/>
    </row>
    <row r="33990" spans="8:10" x14ac:dyDescent="0.35">
      <c r="H33990" s="676"/>
      <c r="I33990" s="676"/>
      <c r="J33990" s="770"/>
    </row>
    <row r="33991" spans="8:10" x14ac:dyDescent="0.35">
      <c r="H33991" s="676"/>
      <c r="I33991" s="676"/>
      <c r="J33991" s="770"/>
    </row>
    <row r="33992" spans="8:10" x14ac:dyDescent="0.35">
      <c r="H33992" s="676"/>
      <c r="I33992" s="676"/>
      <c r="J33992" s="770"/>
    </row>
    <row r="33993" spans="8:10" x14ac:dyDescent="0.35">
      <c r="H33993" s="676"/>
      <c r="I33993" s="676"/>
      <c r="J33993" s="770"/>
    </row>
    <row r="33994" spans="8:10" x14ac:dyDescent="0.35">
      <c r="H33994" s="676"/>
      <c r="I33994" s="676"/>
      <c r="J33994" s="770"/>
    </row>
    <row r="33995" spans="8:10" x14ac:dyDescent="0.35">
      <c r="H33995" s="676"/>
      <c r="I33995" s="676"/>
      <c r="J33995" s="770"/>
    </row>
    <row r="33996" spans="8:10" x14ac:dyDescent="0.35">
      <c r="H33996" s="676"/>
      <c r="I33996" s="676"/>
      <c r="J33996" s="770"/>
    </row>
    <row r="33997" spans="8:10" x14ac:dyDescent="0.35">
      <c r="H33997" s="676"/>
      <c r="I33997" s="676"/>
      <c r="J33997" s="770"/>
    </row>
    <row r="33998" spans="8:10" x14ac:dyDescent="0.35">
      <c r="H33998" s="676"/>
      <c r="I33998" s="676"/>
      <c r="J33998" s="770"/>
    </row>
    <row r="33999" spans="8:10" x14ac:dyDescent="0.35">
      <c r="H33999" s="676"/>
      <c r="I33999" s="676"/>
      <c r="J33999" s="770"/>
    </row>
    <row r="34000" spans="8:10" x14ac:dyDescent="0.35">
      <c r="H34000" s="676"/>
      <c r="I34000" s="676"/>
      <c r="J34000" s="770"/>
    </row>
    <row r="34001" spans="8:10" x14ac:dyDescent="0.35">
      <c r="H34001" s="676"/>
      <c r="I34001" s="676"/>
      <c r="J34001" s="770"/>
    </row>
    <row r="34002" spans="8:10" x14ac:dyDescent="0.35">
      <c r="H34002" s="676"/>
      <c r="I34002" s="676"/>
      <c r="J34002" s="770"/>
    </row>
    <row r="34003" spans="8:10" x14ac:dyDescent="0.35">
      <c r="H34003" s="676"/>
      <c r="I34003" s="676"/>
      <c r="J34003" s="770"/>
    </row>
    <row r="34004" spans="8:10" x14ac:dyDescent="0.35">
      <c r="H34004" s="676"/>
      <c r="I34004" s="676"/>
      <c r="J34004" s="770"/>
    </row>
    <row r="34005" spans="8:10" x14ac:dyDescent="0.35">
      <c r="H34005" s="676"/>
      <c r="I34005" s="676"/>
      <c r="J34005" s="770"/>
    </row>
    <row r="34006" spans="8:10" x14ac:dyDescent="0.35">
      <c r="H34006" s="676"/>
      <c r="I34006" s="676"/>
      <c r="J34006" s="770"/>
    </row>
    <row r="34007" spans="8:10" x14ac:dyDescent="0.35">
      <c r="H34007" s="676"/>
      <c r="I34007" s="676"/>
      <c r="J34007" s="770"/>
    </row>
    <row r="34008" spans="8:10" x14ac:dyDescent="0.35">
      <c r="H34008" s="676"/>
      <c r="I34008" s="676"/>
      <c r="J34008" s="770"/>
    </row>
    <row r="34009" spans="8:10" x14ac:dyDescent="0.35">
      <c r="H34009" s="676"/>
      <c r="I34009" s="676"/>
      <c r="J34009" s="770"/>
    </row>
    <row r="34010" spans="8:10" x14ac:dyDescent="0.35">
      <c r="H34010" s="676"/>
      <c r="I34010" s="676"/>
      <c r="J34010" s="770"/>
    </row>
    <row r="34011" spans="8:10" x14ac:dyDescent="0.35">
      <c r="H34011" s="676"/>
      <c r="I34011" s="676"/>
      <c r="J34011" s="770"/>
    </row>
    <row r="34012" spans="8:10" x14ac:dyDescent="0.35">
      <c r="H34012" s="676"/>
      <c r="I34012" s="676"/>
      <c r="J34012" s="770"/>
    </row>
    <row r="34013" spans="8:10" x14ac:dyDescent="0.35">
      <c r="H34013" s="676"/>
      <c r="I34013" s="676"/>
      <c r="J34013" s="770"/>
    </row>
    <row r="34014" spans="8:10" x14ac:dyDescent="0.35">
      <c r="H34014" s="676"/>
      <c r="I34014" s="676"/>
      <c r="J34014" s="770"/>
    </row>
    <row r="34015" spans="8:10" x14ac:dyDescent="0.35">
      <c r="H34015" s="676"/>
      <c r="I34015" s="676"/>
      <c r="J34015" s="770"/>
    </row>
    <row r="34016" spans="8:10" x14ac:dyDescent="0.35">
      <c r="H34016" s="676"/>
      <c r="I34016" s="676"/>
      <c r="J34016" s="770"/>
    </row>
    <row r="34017" spans="8:10" x14ac:dyDescent="0.35">
      <c r="H34017" s="676"/>
      <c r="I34017" s="676"/>
      <c r="J34017" s="770"/>
    </row>
    <row r="34018" spans="8:10" x14ac:dyDescent="0.35">
      <c r="H34018" s="676"/>
      <c r="I34018" s="676"/>
      <c r="J34018" s="770"/>
    </row>
    <row r="34019" spans="8:10" x14ac:dyDescent="0.35">
      <c r="H34019" s="676"/>
      <c r="I34019" s="676"/>
      <c r="J34019" s="770"/>
    </row>
    <row r="34020" spans="8:10" x14ac:dyDescent="0.35">
      <c r="H34020" s="676"/>
      <c r="I34020" s="676"/>
      <c r="J34020" s="770"/>
    </row>
    <row r="34021" spans="8:10" x14ac:dyDescent="0.35">
      <c r="H34021" s="676"/>
      <c r="I34021" s="676"/>
      <c r="J34021" s="770"/>
    </row>
    <row r="34022" spans="8:10" x14ac:dyDescent="0.35">
      <c r="H34022" s="676"/>
      <c r="I34022" s="676"/>
      <c r="J34022" s="770"/>
    </row>
    <row r="34023" spans="8:10" x14ac:dyDescent="0.35">
      <c r="H34023" s="676"/>
      <c r="I34023" s="676"/>
      <c r="J34023" s="770"/>
    </row>
    <row r="34024" spans="8:10" x14ac:dyDescent="0.35">
      <c r="H34024" s="676"/>
      <c r="I34024" s="676"/>
      <c r="J34024" s="770"/>
    </row>
    <row r="34025" spans="8:10" x14ac:dyDescent="0.35">
      <c r="H34025" s="676"/>
      <c r="I34025" s="676"/>
      <c r="J34025" s="770"/>
    </row>
    <row r="34026" spans="8:10" x14ac:dyDescent="0.35">
      <c r="H34026" s="676"/>
      <c r="I34026" s="676"/>
      <c r="J34026" s="770"/>
    </row>
    <row r="34027" spans="8:10" x14ac:dyDescent="0.35">
      <c r="H34027" s="676"/>
      <c r="I34027" s="676"/>
      <c r="J34027" s="770"/>
    </row>
    <row r="34028" spans="8:10" x14ac:dyDescent="0.35">
      <c r="H34028" s="676"/>
      <c r="I34028" s="676"/>
      <c r="J34028" s="770"/>
    </row>
    <row r="34029" spans="8:10" x14ac:dyDescent="0.35">
      <c r="H34029" s="676"/>
      <c r="I34029" s="676"/>
      <c r="J34029" s="770"/>
    </row>
    <row r="34030" spans="8:10" x14ac:dyDescent="0.35">
      <c r="H34030" s="676"/>
      <c r="I34030" s="676"/>
      <c r="J34030" s="770"/>
    </row>
    <row r="34031" spans="8:10" x14ac:dyDescent="0.35">
      <c r="H34031" s="676"/>
      <c r="I34031" s="676"/>
      <c r="J34031" s="770"/>
    </row>
    <row r="34032" spans="8:10" x14ac:dyDescent="0.35">
      <c r="H34032" s="676"/>
      <c r="I34032" s="676"/>
      <c r="J34032" s="770"/>
    </row>
    <row r="34033" spans="8:10" x14ac:dyDescent="0.35">
      <c r="H34033" s="676"/>
      <c r="I34033" s="676"/>
      <c r="J34033" s="770"/>
    </row>
    <row r="34034" spans="8:10" x14ac:dyDescent="0.35">
      <c r="H34034" s="676"/>
      <c r="I34034" s="676"/>
      <c r="J34034" s="770"/>
    </row>
    <row r="34035" spans="8:10" x14ac:dyDescent="0.35">
      <c r="H34035" s="676"/>
      <c r="I34035" s="676"/>
      <c r="J34035" s="770"/>
    </row>
    <row r="34036" spans="8:10" x14ac:dyDescent="0.35">
      <c r="H34036" s="676"/>
      <c r="I34036" s="676"/>
      <c r="J34036" s="770"/>
    </row>
    <row r="34037" spans="8:10" x14ac:dyDescent="0.35">
      <c r="H34037" s="676"/>
      <c r="I34037" s="676"/>
      <c r="J34037" s="770"/>
    </row>
    <row r="34038" spans="8:10" x14ac:dyDescent="0.35">
      <c r="H34038" s="676"/>
      <c r="I34038" s="676"/>
      <c r="J34038" s="770"/>
    </row>
    <row r="34039" spans="8:10" x14ac:dyDescent="0.35">
      <c r="H34039" s="676"/>
      <c r="I34039" s="676"/>
      <c r="J34039" s="770"/>
    </row>
    <row r="34040" spans="8:10" x14ac:dyDescent="0.35">
      <c r="H34040" s="676"/>
      <c r="I34040" s="676"/>
      <c r="J34040" s="770"/>
    </row>
    <row r="34041" spans="8:10" x14ac:dyDescent="0.35">
      <c r="H34041" s="676"/>
      <c r="I34041" s="676"/>
      <c r="J34041" s="770"/>
    </row>
    <row r="34042" spans="8:10" x14ac:dyDescent="0.35">
      <c r="H34042" s="676"/>
      <c r="I34042" s="676"/>
      <c r="J34042" s="770"/>
    </row>
    <row r="34043" spans="8:10" x14ac:dyDescent="0.35">
      <c r="H34043" s="676"/>
      <c r="I34043" s="676"/>
      <c r="J34043" s="770"/>
    </row>
    <row r="34044" spans="8:10" x14ac:dyDescent="0.35">
      <c r="H34044" s="676"/>
      <c r="I34044" s="676"/>
      <c r="J34044" s="770"/>
    </row>
    <row r="34045" spans="8:10" x14ac:dyDescent="0.35">
      <c r="H34045" s="676"/>
      <c r="I34045" s="676"/>
      <c r="J34045" s="770"/>
    </row>
    <row r="34046" spans="8:10" x14ac:dyDescent="0.35">
      <c r="H34046" s="676"/>
      <c r="I34046" s="676"/>
      <c r="J34046" s="770"/>
    </row>
    <row r="34047" spans="8:10" x14ac:dyDescent="0.35">
      <c r="H34047" s="676"/>
      <c r="I34047" s="676"/>
      <c r="J34047" s="770"/>
    </row>
    <row r="34048" spans="8:10" x14ac:dyDescent="0.35">
      <c r="H34048" s="676"/>
      <c r="I34048" s="676"/>
      <c r="J34048" s="770"/>
    </row>
    <row r="34049" spans="8:10" x14ac:dyDescent="0.35">
      <c r="H34049" s="676"/>
      <c r="I34049" s="676"/>
      <c r="J34049" s="770"/>
    </row>
    <row r="34050" spans="8:10" x14ac:dyDescent="0.35">
      <c r="H34050" s="676"/>
      <c r="I34050" s="676"/>
      <c r="J34050" s="770"/>
    </row>
    <row r="34051" spans="8:10" x14ac:dyDescent="0.35">
      <c r="H34051" s="676"/>
      <c r="I34051" s="676"/>
      <c r="J34051" s="770"/>
    </row>
    <row r="34052" spans="8:10" x14ac:dyDescent="0.35">
      <c r="H34052" s="676"/>
      <c r="I34052" s="676"/>
      <c r="J34052" s="770"/>
    </row>
    <row r="34053" spans="8:10" x14ac:dyDescent="0.35">
      <c r="H34053" s="676"/>
      <c r="I34053" s="676"/>
      <c r="J34053" s="770"/>
    </row>
    <row r="34054" spans="8:10" x14ac:dyDescent="0.35">
      <c r="H34054" s="676"/>
      <c r="I34054" s="676"/>
      <c r="J34054" s="770"/>
    </row>
    <row r="34055" spans="8:10" x14ac:dyDescent="0.35">
      <c r="H34055" s="676"/>
      <c r="I34055" s="676"/>
      <c r="J34055" s="770"/>
    </row>
    <row r="34056" spans="8:10" x14ac:dyDescent="0.35">
      <c r="H34056" s="676"/>
      <c r="I34056" s="676"/>
      <c r="J34056" s="770"/>
    </row>
    <row r="34057" spans="8:10" x14ac:dyDescent="0.35">
      <c r="H34057" s="676"/>
      <c r="I34057" s="676"/>
      <c r="J34057" s="770"/>
    </row>
    <row r="34058" spans="8:10" x14ac:dyDescent="0.35">
      <c r="H34058" s="676"/>
      <c r="I34058" s="676"/>
      <c r="J34058" s="770"/>
    </row>
    <row r="34059" spans="8:10" x14ac:dyDescent="0.35">
      <c r="H34059" s="676"/>
      <c r="I34059" s="676"/>
      <c r="J34059" s="770"/>
    </row>
    <row r="34060" spans="8:10" x14ac:dyDescent="0.35">
      <c r="H34060" s="676"/>
      <c r="I34060" s="676"/>
      <c r="J34060" s="770"/>
    </row>
    <row r="34061" spans="8:10" x14ac:dyDescent="0.35">
      <c r="H34061" s="676"/>
      <c r="I34061" s="676"/>
      <c r="J34061" s="770"/>
    </row>
    <row r="34062" spans="8:10" x14ac:dyDescent="0.35">
      <c r="H34062" s="676"/>
      <c r="I34062" s="676"/>
      <c r="J34062" s="770"/>
    </row>
    <row r="34063" spans="8:10" x14ac:dyDescent="0.35">
      <c r="H34063" s="676"/>
      <c r="I34063" s="676"/>
      <c r="J34063" s="770"/>
    </row>
    <row r="34064" spans="8:10" x14ac:dyDescent="0.35">
      <c r="H34064" s="676"/>
      <c r="I34064" s="676"/>
      <c r="J34064" s="770"/>
    </row>
    <row r="34065" spans="8:10" x14ac:dyDescent="0.35">
      <c r="H34065" s="676"/>
      <c r="I34065" s="676"/>
      <c r="J34065" s="770"/>
    </row>
    <row r="34066" spans="8:10" x14ac:dyDescent="0.35">
      <c r="H34066" s="676"/>
      <c r="I34066" s="676"/>
      <c r="J34066" s="770"/>
    </row>
    <row r="34067" spans="8:10" x14ac:dyDescent="0.35">
      <c r="H34067" s="676"/>
      <c r="I34067" s="676"/>
      <c r="J34067" s="770"/>
    </row>
    <row r="34068" spans="8:10" x14ac:dyDescent="0.35">
      <c r="H34068" s="676"/>
      <c r="I34068" s="676"/>
      <c r="J34068" s="770"/>
    </row>
    <row r="34069" spans="8:10" x14ac:dyDescent="0.35">
      <c r="H34069" s="676"/>
      <c r="I34069" s="676"/>
      <c r="J34069" s="770"/>
    </row>
    <row r="34070" spans="8:10" x14ac:dyDescent="0.35">
      <c r="H34070" s="676"/>
      <c r="I34070" s="676"/>
      <c r="J34070" s="770"/>
    </row>
    <row r="34071" spans="8:10" x14ac:dyDescent="0.35">
      <c r="H34071" s="676"/>
      <c r="I34071" s="676"/>
      <c r="J34071" s="770"/>
    </row>
    <row r="34072" spans="8:10" x14ac:dyDescent="0.35">
      <c r="H34072" s="676"/>
      <c r="I34072" s="676"/>
      <c r="J34072" s="770"/>
    </row>
    <row r="34073" spans="8:10" x14ac:dyDescent="0.35">
      <c r="H34073" s="676"/>
      <c r="I34073" s="676"/>
      <c r="J34073" s="770"/>
    </row>
    <row r="34074" spans="8:10" x14ac:dyDescent="0.35">
      <c r="H34074" s="676"/>
      <c r="I34074" s="676"/>
      <c r="J34074" s="770"/>
    </row>
    <row r="34075" spans="8:10" x14ac:dyDescent="0.35">
      <c r="H34075" s="676"/>
      <c r="I34075" s="676"/>
      <c r="J34075" s="770"/>
    </row>
    <row r="34076" spans="8:10" x14ac:dyDescent="0.35">
      <c r="H34076" s="676"/>
      <c r="I34076" s="676"/>
      <c r="J34076" s="770"/>
    </row>
    <row r="34077" spans="8:10" x14ac:dyDescent="0.35">
      <c r="H34077" s="676"/>
      <c r="I34077" s="676"/>
      <c r="J34077" s="770"/>
    </row>
    <row r="34078" spans="8:10" x14ac:dyDescent="0.35">
      <c r="H34078" s="676"/>
      <c r="I34078" s="676"/>
      <c r="J34078" s="770"/>
    </row>
    <row r="34079" spans="8:10" x14ac:dyDescent="0.35">
      <c r="H34079" s="676"/>
      <c r="I34079" s="676"/>
      <c r="J34079" s="770"/>
    </row>
    <row r="34080" spans="8:10" x14ac:dyDescent="0.35">
      <c r="H34080" s="676"/>
      <c r="I34080" s="676"/>
      <c r="J34080" s="770"/>
    </row>
    <row r="34081" spans="8:10" x14ac:dyDescent="0.35">
      <c r="H34081" s="676"/>
      <c r="I34081" s="676"/>
      <c r="J34081" s="770"/>
    </row>
    <row r="34082" spans="8:10" x14ac:dyDescent="0.35">
      <c r="H34082" s="676"/>
      <c r="I34082" s="676"/>
      <c r="J34082" s="770"/>
    </row>
    <row r="34083" spans="8:10" x14ac:dyDescent="0.35">
      <c r="H34083" s="676"/>
      <c r="I34083" s="676"/>
      <c r="J34083" s="770"/>
    </row>
    <row r="34084" spans="8:10" x14ac:dyDescent="0.35">
      <c r="H34084" s="676"/>
      <c r="I34084" s="676"/>
      <c r="J34084" s="770"/>
    </row>
    <row r="34085" spans="8:10" x14ac:dyDescent="0.35">
      <c r="H34085" s="676"/>
      <c r="I34085" s="676"/>
      <c r="J34085" s="770"/>
    </row>
    <row r="34086" spans="8:10" x14ac:dyDescent="0.35">
      <c r="H34086" s="676"/>
      <c r="I34086" s="676"/>
      <c r="J34086" s="770"/>
    </row>
    <row r="34087" spans="8:10" x14ac:dyDescent="0.35">
      <c r="H34087" s="676"/>
      <c r="I34087" s="676"/>
      <c r="J34087" s="770"/>
    </row>
    <row r="34088" spans="8:10" x14ac:dyDescent="0.35">
      <c r="H34088" s="676"/>
      <c r="I34088" s="676"/>
      <c r="J34088" s="770"/>
    </row>
    <row r="34089" spans="8:10" x14ac:dyDescent="0.35">
      <c r="H34089" s="676"/>
      <c r="I34089" s="676"/>
      <c r="J34089" s="770"/>
    </row>
    <row r="34090" spans="8:10" x14ac:dyDescent="0.35">
      <c r="H34090" s="676"/>
      <c r="I34090" s="676"/>
      <c r="J34090" s="770"/>
    </row>
    <row r="34091" spans="8:10" x14ac:dyDescent="0.35">
      <c r="H34091" s="676"/>
      <c r="I34091" s="676"/>
      <c r="J34091" s="770"/>
    </row>
    <row r="34092" spans="8:10" x14ac:dyDescent="0.35">
      <c r="H34092" s="676"/>
      <c r="I34092" s="676"/>
      <c r="J34092" s="770"/>
    </row>
    <row r="34093" spans="8:10" x14ac:dyDescent="0.35">
      <c r="H34093" s="676"/>
      <c r="I34093" s="676"/>
      <c r="J34093" s="770"/>
    </row>
    <row r="34094" spans="8:10" x14ac:dyDescent="0.35">
      <c r="H34094" s="676"/>
      <c r="I34094" s="676"/>
      <c r="J34094" s="770"/>
    </row>
    <row r="34095" spans="8:10" x14ac:dyDescent="0.35">
      <c r="H34095" s="676"/>
      <c r="I34095" s="676"/>
      <c r="J34095" s="770"/>
    </row>
    <row r="34096" spans="8:10" x14ac:dyDescent="0.35">
      <c r="H34096" s="676"/>
      <c r="I34096" s="676"/>
      <c r="J34096" s="770"/>
    </row>
    <row r="34097" spans="8:10" x14ac:dyDescent="0.35">
      <c r="H34097" s="676"/>
      <c r="I34097" s="676"/>
      <c r="J34097" s="770"/>
    </row>
    <row r="34098" spans="8:10" x14ac:dyDescent="0.35">
      <c r="H34098" s="676"/>
      <c r="I34098" s="676"/>
      <c r="J34098" s="770"/>
    </row>
    <row r="34099" spans="8:10" x14ac:dyDescent="0.35">
      <c r="H34099" s="676"/>
      <c r="I34099" s="676"/>
      <c r="J34099" s="770"/>
    </row>
    <row r="34100" spans="8:10" x14ac:dyDescent="0.35">
      <c r="H34100" s="676"/>
      <c r="I34100" s="676"/>
      <c r="J34100" s="770"/>
    </row>
    <row r="34101" spans="8:10" x14ac:dyDescent="0.35">
      <c r="H34101" s="676"/>
      <c r="I34101" s="676"/>
      <c r="J34101" s="770"/>
    </row>
    <row r="34102" spans="8:10" x14ac:dyDescent="0.35">
      <c r="H34102" s="676"/>
      <c r="I34102" s="676"/>
      <c r="J34102" s="770"/>
    </row>
    <row r="34103" spans="8:10" x14ac:dyDescent="0.35">
      <c r="H34103" s="676"/>
      <c r="I34103" s="676"/>
      <c r="J34103" s="770"/>
    </row>
    <row r="34104" spans="8:10" x14ac:dyDescent="0.35">
      <c r="H34104" s="676"/>
      <c r="I34104" s="676"/>
      <c r="J34104" s="770"/>
    </row>
    <row r="34105" spans="8:10" x14ac:dyDescent="0.35">
      <c r="H34105" s="676"/>
      <c r="I34105" s="676"/>
      <c r="J34105" s="770"/>
    </row>
    <row r="34106" spans="8:10" x14ac:dyDescent="0.35">
      <c r="H34106" s="676"/>
      <c r="I34106" s="676"/>
      <c r="J34106" s="770"/>
    </row>
    <row r="34107" spans="8:10" x14ac:dyDescent="0.35">
      <c r="H34107" s="676"/>
      <c r="I34107" s="676"/>
      <c r="J34107" s="770"/>
    </row>
    <row r="34108" spans="8:10" x14ac:dyDescent="0.35">
      <c r="H34108" s="676"/>
      <c r="I34108" s="676"/>
      <c r="J34108" s="770"/>
    </row>
    <row r="34109" spans="8:10" x14ac:dyDescent="0.35">
      <c r="H34109" s="676"/>
      <c r="I34109" s="676"/>
      <c r="J34109" s="770"/>
    </row>
    <row r="34110" spans="8:10" x14ac:dyDescent="0.35">
      <c r="H34110" s="676"/>
      <c r="I34110" s="676"/>
      <c r="J34110" s="770"/>
    </row>
    <row r="34111" spans="8:10" x14ac:dyDescent="0.35">
      <c r="H34111" s="676"/>
      <c r="I34111" s="676"/>
      <c r="J34111" s="770"/>
    </row>
    <row r="34112" spans="8:10" x14ac:dyDescent="0.35">
      <c r="H34112" s="676"/>
      <c r="I34112" s="676"/>
      <c r="J34112" s="770"/>
    </row>
    <row r="34113" spans="8:10" x14ac:dyDescent="0.35">
      <c r="H34113" s="676"/>
      <c r="I34113" s="676"/>
      <c r="J34113" s="770"/>
    </row>
    <row r="34114" spans="8:10" x14ac:dyDescent="0.35">
      <c r="H34114" s="676"/>
      <c r="I34114" s="676"/>
      <c r="J34114" s="770"/>
    </row>
    <row r="34115" spans="8:10" x14ac:dyDescent="0.35">
      <c r="H34115" s="676"/>
      <c r="I34115" s="676"/>
      <c r="J34115" s="770"/>
    </row>
    <row r="34116" spans="8:10" x14ac:dyDescent="0.35">
      <c r="H34116" s="676"/>
      <c r="I34116" s="676"/>
      <c r="J34116" s="770"/>
    </row>
    <row r="34117" spans="8:10" x14ac:dyDescent="0.35">
      <c r="H34117" s="676"/>
      <c r="I34117" s="676"/>
      <c r="J34117" s="770"/>
    </row>
    <row r="34118" spans="8:10" x14ac:dyDescent="0.35">
      <c r="H34118" s="676"/>
      <c r="I34118" s="676"/>
      <c r="J34118" s="770"/>
    </row>
    <row r="34119" spans="8:10" x14ac:dyDescent="0.35">
      <c r="H34119" s="676"/>
      <c r="I34119" s="676"/>
      <c r="J34119" s="770"/>
    </row>
    <row r="34120" spans="8:10" x14ac:dyDescent="0.35">
      <c r="H34120" s="676"/>
      <c r="I34120" s="676"/>
      <c r="J34120" s="770"/>
    </row>
    <row r="34121" spans="8:10" x14ac:dyDescent="0.35">
      <c r="H34121" s="676"/>
      <c r="I34121" s="676"/>
      <c r="J34121" s="770"/>
    </row>
    <row r="34122" spans="8:10" x14ac:dyDescent="0.35">
      <c r="H34122" s="676"/>
      <c r="I34122" s="676"/>
      <c r="J34122" s="770"/>
    </row>
    <row r="34123" spans="8:10" x14ac:dyDescent="0.35">
      <c r="H34123" s="676"/>
      <c r="I34123" s="676"/>
      <c r="J34123" s="770"/>
    </row>
    <row r="34124" spans="8:10" x14ac:dyDescent="0.35">
      <c r="H34124" s="676"/>
      <c r="I34124" s="676"/>
      <c r="J34124" s="770"/>
    </row>
    <row r="34125" spans="8:10" x14ac:dyDescent="0.35">
      <c r="H34125" s="676"/>
      <c r="I34125" s="676"/>
      <c r="J34125" s="770"/>
    </row>
    <row r="34126" spans="8:10" x14ac:dyDescent="0.35">
      <c r="H34126" s="676"/>
      <c r="I34126" s="676"/>
      <c r="J34126" s="770"/>
    </row>
    <row r="34127" spans="8:10" x14ac:dyDescent="0.35">
      <c r="H34127" s="676"/>
      <c r="I34127" s="676"/>
      <c r="J34127" s="770"/>
    </row>
    <row r="34128" spans="8:10" x14ac:dyDescent="0.35">
      <c r="H34128" s="676"/>
      <c r="I34128" s="676"/>
      <c r="J34128" s="770"/>
    </row>
    <row r="34129" spans="8:10" x14ac:dyDescent="0.35">
      <c r="H34129" s="676"/>
      <c r="I34129" s="676"/>
      <c r="J34129" s="770"/>
    </row>
    <row r="34130" spans="8:10" x14ac:dyDescent="0.35">
      <c r="H34130" s="676"/>
      <c r="I34130" s="676"/>
      <c r="J34130" s="770"/>
    </row>
    <row r="34131" spans="8:10" x14ac:dyDescent="0.35">
      <c r="H34131" s="676"/>
      <c r="I34131" s="676"/>
      <c r="J34131" s="770"/>
    </row>
    <row r="34132" spans="8:10" x14ac:dyDescent="0.35">
      <c r="H34132" s="676"/>
      <c r="I34132" s="676"/>
      <c r="J34132" s="770"/>
    </row>
    <row r="34133" spans="8:10" x14ac:dyDescent="0.35">
      <c r="H34133" s="676"/>
      <c r="I34133" s="676"/>
      <c r="J34133" s="770"/>
    </row>
    <row r="34134" spans="8:10" x14ac:dyDescent="0.35">
      <c r="H34134" s="676"/>
      <c r="I34134" s="676"/>
      <c r="J34134" s="770"/>
    </row>
    <row r="34135" spans="8:10" x14ac:dyDescent="0.35">
      <c r="H34135" s="676"/>
      <c r="I34135" s="676"/>
      <c r="J34135" s="770"/>
    </row>
    <row r="34136" spans="8:10" x14ac:dyDescent="0.35">
      <c r="H34136" s="676"/>
      <c r="I34136" s="676"/>
      <c r="J34136" s="770"/>
    </row>
    <row r="34137" spans="8:10" x14ac:dyDescent="0.35">
      <c r="H34137" s="676"/>
      <c r="I34137" s="676"/>
      <c r="J34137" s="770"/>
    </row>
    <row r="34138" spans="8:10" x14ac:dyDescent="0.35">
      <c r="H34138" s="676"/>
      <c r="I34138" s="676"/>
      <c r="J34138" s="770"/>
    </row>
    <row r="34139" spans="8:10" x14ac:dyDescent="0.35">
      <c r="H34139" s="676"/>
      <c r="I34139" s="676"/>
      <c r="J34139" s="770"/>
    </row>
    <row r="34140" spans="8:10" x14ac:dyDescent="0.35">
      <c r="H34140" s="676"/>
      <c r="I34140" s="676"/>
      <c r="J34140" s="770"/>
    </row>
    <row r="34141" spans="8:10" x14ac:dyDescent="0.35">
      <c r="H34141" s="676"/>
      <c r="I34141" s="676"/>
      <c r="J34141" s="770"/>
    </row>
    <row r="34142" spans="8:10" x14ac:dyDescent="0.35">
      <c r="H34142" s="676"/>
      <c r="I34142" s="676"/>
      <c r="J34142" s="770"/>
    </row>
    <row r="34143" spans="8:10" x14ac:dyDescent="0.35">
      <c r="H34143" s="676"/>
      <c r="I34143" s="676"/>
      <c r="J34143" s="770"/>
    </row>
    <row r="34144" spans="8:10" x14ac:dyDescent="0.35">
      <c r="H34144" s="676"/>
      <c r="I34144" s="676"/>
      <c r="J34144" s="770"/>
    </row>
    <row r="34145" spans="8:10" x14ac:dyDescent="0.35">
      <c r="H34145" s="676"/>
      <c r="I34145" s="676"/>
      <c r="J34145" s="770"/>
    </row>
    <row r="34146" spans="8:10" x14ac:dyDescent="0.35">
      <c r="H34146" s="676"/>
      <c r="I34146" s="676"/>
      <c r="J34146" s="770"/>
    </row>
    <row r="34147" spans="8:10" x14ac:dyDescent="0.35">
      <c r="H34147" s="676"/>
      <c r="I34147" s="676"/>
      <c r="J34147" s="770"/>
    </row>
    <row r="34148" spans="8:10" x14ac:dyDescent="0.35">
      <c r="H34148" s="676"/>
      <c r="I34148" s="676"/>
      <c r="J34148" s="770"/>
    </row>
    <row r="34149" spans="8:10" x14ac:dyDescent="0.35">
      <c r="H34149" s="676"/>
      <c r="I34149" s="676"/>
      <c r="J34149" s="770"/>
    </row>
    <row r="34150" spans="8:10" x14ac:dyDescent="0.35">
      <c r="H34150" s="676"/>
      <c r="I34150" s="676"/>
      <c r="J34150" s="770"/>
    </row>
    <row r="34151" spans="8:10" x14ac:dyDescent="0.35">
      <c r="H34151" s="676"/>
      <c r="I34151" s="676"/>
      <c r="J34151" s="770"/>
    </row>
    <row r="34152" spans="8:10" x14ac:dyDescent="0.35">
      <c r="H34152" s="676"/>
      <c r="I34152" s="676"/>
      <c r="J34152" s="770"/>
    </row>
    <row r="34153" spans="8:10" x14ac:dyDescent="0.35">
      <c r="H34153" s="676"/>
      <c r="I34153" s="676"/>
      <c r="J34153" s="770"/>
    </row>
    <row r="34154" spans="8:10" x14ac:dyDescent="0.35">
      <c r="H34154" s="676"/>
      <c r="I34154" s="676"/>
      <c r="J34154" s="770"/>
    </row>
    <row r="34155" spans="8:10" x14ac:dyDescent="0.35">
      <c r="H34155" s="676"/>
      <c r="I34155" s="676"/>
      <c r="J34155" s="770"/>
    </row>
    <row r="34156" spans="8:10" x14ac:dyDescent="0.35">
      <c r="H34156" s="676"/>
      <c r="I34156" s="676"/>
      <c r="J34156" s="770"/>
    </row>
    <row r="34157" spans="8:10" x14ac:dyDescent="0.35">
      <c r="H34157" s="676"/>
      <c r="I34157" s="676"/>
      <c r="J34157" s="770"/>
    </row>
    <row r="34158" spans="8:10" x14ac:dyDescent="0.35">
      <c r="H34158" s="676"/>
      <c r="I34158" s="676"/>
      <c r="J34158" s="770"/>
    </row>
    <row r="34159" spans="8:10" x14ac:dyDescent="0.35">
      <c r="H34159" s="676"/>
      <c r="I34159" s="676"/>
      <c r="J34159" s="770"/>
    </row>
    <row r="34160" spans="8:10" x14ac:dyDescent="0.35">
      <c r="H34160" s="676"/>
      <c r="I34160" s="676"/>
      <c r="J34160" s="770"/>
    </row>
    <row r="34161" spans="8:10" x14ac:dyDescent="0.35">
      <c r="H34161" s="676"/>
      <c r="I34161" s="676"/>
      <c r="J34161" s="770"/>
    </row>
    <row r="34162" spans="8:10" x14ac:dyDescent="0.35">
      <c r="H34162" s="676"/>
      <c r="I34162" s="676"/>
      <c r="J34162" s="770"/>
    </row>
    <row r="34163" spans="8:10" x14ac:dyDescent="0.35">
      <c r="H34163" s="676"/>
      <c r="I34163" s="676"/>
      <c r="J34163" s="770"/>
    </row>
    <row r="34164" spans="8:10" x14ac:dyDescent="0.35">
      <c r="H34164" s="676"/>
      <c r="I34164" s="676"/>
      <c r="J34164" s="770"/>
    </row>
    <row r="34165" spans="8:10" x14ac:dyDescent="0.35">
      <c r="H34165" s="676"/>
      <c r="I34165" s="676"/>
      <c r="J34165" s="770"/>
    </row>
    <row r="34166" spans="8:10" x14ac:dyDescent="0.35">
      <c r="H34166" s="676"/>
      <c r="I34166" s="676"/>
      <c r="J34166" s="770"/>
    </row>
    <row r="34167" spans="8:10" x14ac:dyDescent="0.35">
      <c r="H34167" s="676"/>
      <c r="I34167" s="676"/>
      <c r="J34167" s="770"/>
    </row>
    <row r="34168" spans="8:10" x14ac:dyDescent="0.35">
      <c r="H34168" s="676"/>
      <c r="I34168" s="676"/>
      <c r="J34168" s="770"/>
    </row>
    <row r="34169" spans="8:10" x14ac:dyDescent="0.35">
      <c r="H34169" s="676"/>
      <c r="I34169" s="676"/>
      <c r="J34169" s="770"/>
    </row>
    <row r="34170" spans="8:10" x14ac:dyDescent="0.35">
      <c r="H34170" s="676"/>
      <c r="I34170" s="676"/>
      <c r="J34170" s="770"/>
    </row>
    <row r="34171" spans="8:10" x14ac:dyDescent="0.35">
      <c r="H34171" s="676"/>
      <c r="I34171" s="676"/>
      <c r="J34171" s="770"/>
    </row>
    <row r="34172" spans="8:10" x14ac:dyDescent="0.35">
      <c r="H34172" s="676"/>
      <c r="I34172" s="676"/>
      <c r="J34172" s="770"/>
    </row>
    <row r="34173" spans="8:10" x14ac:dyDescent="0.35">
      <c r="H34173" s="676"/>
      <c r="I34173" s="676"/>
      <c r="J34173" s="770"/>
    </row>
    <row r="34174" spans="8:10" x14ac:dyDescent="0.35">
      <c r="H34174" s="676"/>
      <c r="I34174" s="676"/>
      <c r="J34174" s="770"/>
    </row>
    <row r="34175" spans="8:10" x14ac:dyDescent="0.35">
      <c r="H34175" s="676"/>
      <c r="I34175" s="676"/>
      <c r="J34175" s="770"/>
    </row>
    <row r="34176" spans="8:10" x14ac:dyDescent="0.35">
      <c r="H34176" s="676"/>
      <c r="I34176" s="676"/>
      <c r="J34176" s="770"/>
    </row>
    <row r="34177" spans="8:10" x14ac:dyDescent="0.35">
      <c r="H34177" s="676"/>
      <c r="I34177" s="676"/>
      <c r="J34177" s="770"/>
    </row>
    <row r="34178" spans="8:10" x14ac:dyDescent="0.35">
      <c r="H34178" s="676"/>
      <c r="I34178" s="676"/>
      <c r="J34178" s="770"/>
    </row>
    <row r="34179" spans="8:10" x14ac:dyDescent="0.35">
      <c r="H34179" s="676"/>
      <c r="I34179" s="676"/>
      <c r="J34179" s="770"/>
    </row>
    <row r="34180" spans="8:10" x14ac:dyDescent="0.35">
      <c r="H34180" s="676"/>
      <c r="I34180" s="676"/>
      <c r="J34180" s="770"/>
    </row>
    <row r="34181" spans="8:10" x14ac:dyDescent="0.35">
      <c r="H34181" s="676"/>
      <c r="I34181" s="676"/>
      <c r="J34181" s="770"/>
    </row>
    <row r="34182" spans="8:10" x14ac:dyDescent="0.35">
      <c r="H34182" s="676"/>
      <c r="I34182" s="676"/>
      <c r="J34182" s="770"/>
    </row>
    <row r="34183" spans="8:10" x14ac:dyDescent="0.35">
      <c r="H34183" s="676"/>
      <c r="I34183" s="676"/>
      <c r="J34183" s="770"/>
    </row>
    <row r="34184" spans="8:10" x14ac:dyDescent="0.35">
      <c r="H34184" s="676"/>
      <c r="I34184" s="676"/>
      <c r="J34184" s="770"/>
    </row>
    <row r="34185" spans="8:10" x14ac:dyDescent="0.35">
      <c r="H34185" s="676"/>
      <c r="I34185" s="676"/>
      <c r="J34185" s="770"/>
    </row>
    <row r="34186" spans="8:10" x14ac:dyDescent="0.35">
      <c r="H34186" s="676"/>
      <c r="I34186" s="676"/>
      <c r="J34186" s="770"/>
    </row>
    <row r="34187" spans="8:10" x14ac:dyDescent="0.35">
      <c r="H34187" s="676"/>
      <c r="I34187" s="676"/>
      <c r="J34187" s="770"/>
    </row>
    <row r="34188" spans="8:10" x14ac:dyDescent="0.35">
      <c r="H34188" s="676"/>
      <c r="I34188" s="676"/>
      <c r="J34188" s="770"/>
    </row>
    <row r="34189" spans="8:10" x14ac:dyDescent="0.35">
      <c r="H34189" s="676"/>
      <c r="I34189" s="676"/>
      <c r="J34189" s="770"/>
    </row>
    <row r="34190" spans="8:10" x14ac:dyDescent="0.35">
      <c r="H34190" s="676"/>
      <c r="I34190" s="676"/>
      <c r="J34190" s="770"/>
    </row>
    <row r="34191" spans="8:10" x14ac:dyDescent="0.35">
      <c r="H34191" s="676"/>
      <c r="I34191" s="676"/>
      <c r="J34191" s="770"/>
    </row>
    <row r="34192" spans="8:10" x14ac:dyDescent="0.35">
      <c r="H34192" s="676"/>
      <c r="I34192" s="676"/>
      <c r="J34192" s="770"/>
    </row>
    <row r="34193" spans="8:10" x14ac:dyDescent="0.35">
      <c r="H34193" s="676"/>
      <c r="I34193" s="676"/>
      <c r="J34193" s="770"/>
    </row>
    <row r="34194" spans="8:10" x14ac:dyDescent="0.35">
      <c r="H34194" s="676"/>
      <c r="I34194" s="676"/>
      <c r="J34194" s="770"/>
    </row>
    <row r="34195" spans="8:10" x14ac:dyDescent="0.35">
      <c r="H34195" s="676"/>
      <c r="I34195" s="676"/>
      <c r="J34195" s="770"/>
    </row>
    <row r="34196" spans="8:10" x14ac:dyDescent="0.35">
      <c r="H34196" s="676"/>
      <c r="I34196" s="676"/>
      <c r="J34196" s="770"/>
    </row>
    <row r="34197" spans="8:10" x14ac:dyDescent="0.35">
      <c r="H34197" s="676"/>
      <c r="I34197" s="676"/>
      <c r="J34197" s="770"/>
    </row>
    <row r="34198" spans="8:10" x14ac:dyDescent="0.35">
      <c r="H34198" s="676"/>
      <c r="I34198" s="676"/>
      <c r="J34198" s="770"/>
    </row>
    <row r="34199" spans="8:10" x14ac:dyDescent="0.35">
      <c r="H34199" s="676"/>
      <c r="I34199" s="676"/>
      <c r="J34199" s="770"/>
    </row>
    <row r="34200" spans="8:10" x14ac:dyDescent="0.35">
      <c r="H34200" s="676"/>
      <c r="I34200" s="676"/>
      <c r="J34200" s="770"/>
    </row>
    <row r="34201" spans="8:10" x14ac:dyDescent="0.35">
      <c r="H34201" s="676"/>
      <c r="I34201" s="676"/>
      <c r="J34201" s="770"/>
    </row>
    <row r="34202" spans="8:10" x14ac:dyDescent="0.35">
      <c r="H34202" s="676"/>
      <c r="I34202" s="676"/>
      <c r="J34202" s="770"/>
    </row>
    <row r="34203" spans="8:10" x14ac:dyDescent="0.35">
      <c r="H34203" s="676"/>
      <c r="I34203" s="676"/>
      <c r="J34203" s="770"/>
    </row>
    <row r="34204" spans="8:10" x14ac:dyDescent="0.35">
      <c r="H34204" s="676"/>
      <c r="I34204" s="676"/>
      <c r="J34204" s="770"/>
    </row>
    <row r="34205" spans="8:10" x14ac:dyDescent="0.35">
      <c r="H34205" s="676"/>
      <c r="I34205" s="676"/>
      <c r="J34205" s="770"/>
    </row>
    <row r="34206" spans="8:10" x14ac:dyDescent="0.35">
      <c r="H34206" s="676"/>
      <c r="I34206" s="676"/>
      <c r="J34206" s="770"/>
    </row>
    <row r="34207" spans="8:10" x14ac:dyDescent="0.35">
      <c r="H34207" s="676"/>
      <c r="I34207" s="676"/>
      <c r="J34207" s="770"/>
    </row>
    <row r="34208" spans="8:10" x14ac:dyDescent="0.35">
      <c r="H34208" s="676"/>
      <c r="I34208" s="676"/>
      <c r="J34208" s="770"/>
    </row>
    <row r="34209" spans="8:10" x14ac:dyDescent="0.35">
      <c r="H34209" s="676"/>
      <c r="I34209" s="676"/>
      <c r="J34209" s="770"/>
    </row>
    <row r="34210" spans="8:10" x14ac:dyDescent="0.35">
      <c r="H34210" s="676"/>
      <c r="I34210" s="676"/>
      <c r="J34210" s="770"/>
    </row>
    <row r="34211" spans="8:10" x14ac:dyDescent="0.35">
      <c r="H34211" s="676"/>
      <c r="I34211" s="676"/>
      <c r="J34211" s="770"/>
    </row>
    <row r="34212" spans="8:10" x14ac:dyDescent="0.35">
      <c r="H34212" s="676"/>
      <c r="I34212" s="676"/>
      <c r="J34212" s="770"/>
    </row>
    <row r="34213" spans="8:10" x14ac:dyDescent="0.35">
      <c r="H34213" s="676"/>
      <c r="I34213" s="676"/>
      <c r="J34213" s="770"/>
    </row>
    <row r="34214" spans="8:10" x14ac:dyDescent="0.35">
      <c r="H34214" s="676"/>
      <c r="I34214" s="676"/>
      <c r="J34214" s="770"/>
    </row>
    <row r="34215" spans="8:10" x14ac:dyDescent="0.35">
      <c r="H34215" s="676"/>
      <c r="I34215" s="676"/>
      <c r="J34215" s="770"/>
    </row>
    <row r="34216" spans="8:10" x14ac:dyDescent="0.35">
      <c r="H34216" s="676"/>
      <c r="I34216" s="676"/>
      <c r="J34216" s="770"/>
    </row>
    <row r="34217" spans="8:10" x14ac:dyDescent="0.35">
      <c r="H34217" s="676"/>
      <c r="I34217" s="676"/>
      <c r="J34217" s="770"/>
    </row>
    <row r="34218" spans="8:10" x14ac:dyDescent="0.35">
      <c r="H34218" s="676"/>
      <c r="I34218" s="676"/>
      <c r="J34218" s="770"/>
    </row>
    <row r="34219" spans="8:10" x14ac:dyDescent="0.35">
      <c r="H34219" s="676"/>
      <c r="I34219" s="676"/>
      <c r="J34219" s="770"/>
    </row>
    <row r="34220" spans="8:10" x14ac:dyDescent="0.35">
      <c r="H34220" s="676"/>
      <c r="I34220" s="676"/>
      <c r="J34220" s="770"/>
    </row>
    <row r="34221" spans="8:10" x14ac:dyDescent="0.35">
      <c r="H34221" s="676"/>
      <c r="I34221" s="676"/>
      <c r="J34221" s="770"/>
    </row>
    <row r="34222" spans="8:10" x14ac:dyDescent="0.35">
      <c r="H34222" s="676"/>
      <c r="I34222" s="676"/>
      <c r="J34222" s="770"/>
    </row>
    <row r="34223" spans="8:10" x14ac:dyDescent="0.35">
      <c r="H34223" s="676"/>
      <c r="I34223" s="676"/>
      <c r="J34223" s="770"/>
    </row>
    <row r="34224" spans="8:10" x14ac:dyDescent="0.35">
      <c r="H34224" s="676"/>
      <c r="I34224" s="676"/>
      <c r="J34224" s="770"/>
    </row>
    <row r="34225" spans="8:10" x14ac:dyDescent="0.35">
      <c r="H34225" s="676"/>
      <c r="I34225" s="676"/>
      <c r="J34225" s="770"/>
    </row>
    <row r="34226" spans="8:10" x14ac:dyDescent="0.35">
      <c r="H34226" s="676"/>
      <c r="I34226" s="676"/>
      <c r="J34226" s="770"/>
    </row>
    <row r="34227" spans="8:10" x14ac:dyDescent="0.35">
      <c r="H34227" s="676"/>
      <c r="I34227" s="676"/>
      <c r="J34227" s="770"/>
    </row>
    <row r="34228" spans="8:10" x14ac:dyDescent="0.35">
      <c r="H34228" s="676"/>
      <c r="I34228" s="676"/>
      <c r="J34228" s="770"/>
    </row>
    <row r="34229" spans="8:10" x14ac:dyDescent="0.35">
      <c r="H34229" s="676"/>
      <c r="I34229" s="676"/>
      <c r="J34229" s="770"/>
    </row>
    <row r="34230" spans="8:10" x14ac:dyDescent="0.35">
      <c r="H34230" s="676"/>
      <c r="I34230" s="676"/>
      <c r="J34230" s="770"/>
    </row>
    <row r="34231" spans="8:10" x14ac:dyDescent="0.35">
      <c r="H34231" s="676"/>
      <c r="I34231" s="676"/>
      <c r="J34231" s="770"/>
    </row>
    <row r="34232" spans="8:10" x14ac:dyDescent="0.35">
      <c r="H34232" s="676"/>
      <c r="I34232" s="676"/>
      <c r="J34232" s="770"/>
    </row>
    <row r="34233" spans="8:10" x14ac:dyDescent="0.35">
      <c r="H34233" s="676"/>
      <c r="I34233" s="676"/>
      <c r="J34233" s="770"/>
    </row>
    <row r="34234" spans="8:10" x14ac:dyDescent="0.35">
      <c r="H34234" s="676"/>
      <c r="I34234" s="676"/>
      <c r="J34234" s="770"/>
    </row>
    <row r="34235" spans="8:10" x14ac:dyDescent="0.35">
      <c r="H34235" s="676"/>
      <c r="I34235" s="676"/>
      <c r="J34235" s="770"/>
    </row>
    <row r="34236" spans="8:10" x14ac:dyDescent="0.35">
      <c r="H34236" s="676"/>
      <c r="I34236" s="676"/>
      <c r="J34236" s="770"/>
    </row>
    <row r="34237" spans="8:10" x14ac:dyDescent="0.35">
      <c r="H34237" s="676"/>
      <c r="I34237" s="676"/>
      <c r="J34237" s="770"/>
    </row>
    <row r="34238" spans="8:10" x14ac:dyDescent="0.35">
      <c r="H34238" s="676"/>
      <c r="I34238" s="676"/>
      <c r="J34238" s="770"/>
    </row>
    <row r="34239" spans="8:10" x14ac:dyDescent="0.35">
      <c r="H34239" s="676"/>
      <c r="I34239" s="676"/>
      <c r="J34239" s="770"/>
    </row>
    <row r="34240" spans="8:10" x14ac:dyDescent="0.35">
      <c r="H34240" s="676"/>
      <c r="I34240" s="676"/>
      <c r="J34240" s="770"/>
    </row>
    <row r="34241" spans="8:10" x14ac:dyDescent="0.35">
      <c r="H34241" s="676"/>
      <c r="I34241" s="676"/>
      <c r="J34241" s="770"/>
    </row>
    <row r="34242" spans="8:10" x14ac:dyDescent="0.35">
      <c r="H34242" s="676"/>
      <c r="I34242" s="676"/>
      <c r="J34242" s="770"/>
    </row>
    <row r="34243" spans="8:10" x14ac:dyDescent="0.35">
      <c r="H34243" s="676"/>
      <c r="I34243" s="676"/>
      <c r="J34243" s="770"/>
    </row>
    <row r="34244" spans="8:10" x14ac:dyDescent="0.35">
      <c r="H34244" s="676"/>
      <c r="I34244" s="676"/>
      <c r="J34244" s="770"/>
    </row>
    <row r="34245" spans="8:10" x14ac:dyDescent="0.35">
      <c r="H34245" s="676"/>
      <c r="I34245" s="676"/>
      <c r="J34245" s="770"/>
    </row>
    <row r="34246" spans="8:10" x14ac:dyDescent="0.35">
      <c r="H34246" s="676"/>
      <c r="I34246" s="676"/>
      <c r="J34246" s="770"/>
    </row>
    <row r="34247" spans="8:10" x14ac:dyDescent="0.35">
      <c r="H34247" s="676"/>
      <c r="I34247" s="676"/>
      <c r="J34247" s="770"/>
    </row>
    <row r="34248" spans="8:10" x14ac:dyDescent="0.35">
      <c r="H34248" s="676"/>
      <c r="I34248" s="676"/>
      <c r="J34248" s="770"/>
    </row>
    <row r="34249" spans="8:10" x14ac:dyDescent="0.35">
      <c r="H34249" s="676"/>
      <c r="I34249" s="676"/>
      <c r="J34249" s="770"/>
    </row>
    <row r="34250" spans="8:10" x14ac:dyDescent="0.35">
      <c r="H34250" s="676"/>
      <c r="I34250" s="676"/>
      <c r="J34250" s="770"/>
    </row>
    <row r="34251" spans="8:10" x14ac:dyDescent="0.35">
      <c r="H34251" s="676"/>
      <c r="I34251" s="676"/>
      <c r="J34251" s="770"/>
    </row>
    <row r="34252" spans="8:10" x14ac:dyDescent="0.35">
      <c r="H34252" s="676"/>
      <c r="I34252" s="676"/>
      <c r="J34252" s="770"/>
    </row>
    <row r="34253" spans="8:10" x14ac:dyDescent="0.35">
      <c r="H34253" s="676"/>
      <c r="I34253" s="676"/>
      <c r="J34253" s="770"/>
    </row>
    <row r="34254" spans="8:10" x14ac:dyDescent="0.35">
      <c r="H34254" s="676"/>
      <c r="I34254" s="676"/>
      <c r="J34254" s="770"/>
    </row>
    <row r="34255" spans="8:10" x14ac:dyDescent="0.35">
      <c r="H34255" s="676"/>
      <c r="I34255" s="676"/>
      <c r="J34255" s="770"/>
    </row>
    <row r="34256" spans="8:10" x14ac:dyDescent="0.35">
      <c r="H34256" s="676"/>
      <c r="I34256" s="676"/>
      <c r="J34256" s="770"/>
    </row>
    <row r="34257" spans="8:10" x14ac:dyDescent="0.35">
      <c r="H34257" s="676"/>
      <c r="I34257" s="676"/>
      <c r="J34257" s="770"/>
    </row>
    <row r="34258" spans="8:10" x14ac:dyDescent="0.35">
      <c r="H34258" s="676"/>
      <c r="I34258" s="676"/>
      <c r="J34258" s="770"/>
    </row>
    <row r="34259" spans="8:10" x14ac:dyDescent="0.35">
      <c r="H34259" s="676"/>
      <c r="I34259" s="676"/>
      <c r="J34259" s="770"/>
    </row>
    <row r="34260" spans="8:10" x14ac:dyDescent="0.35">
      <c r="H34260" s="676"/>
      <c r="I34260" s="676"/>
      <c r="J34260" s="770"/>
    </row>
    <row r="34261" spans="8:10" x14ac:dyDescent="0.35">
      <c r="H34261" s="676"/>
      <c r="I34261" s="676"/>
      <c r="J34261" s="770"/>
    </row>
    <row r="34262" spans="8:10" x14ac:dyDescent="0.35">
      <c r="H34262" s="676"/>
      <c r="I34262" s="676"/>
      <c r="J34262" s="770"/>
    </row>
    <row r="34263" spans="8:10" x14ac:dyDescent="0.35">
      <c r="H34263" s="676"/>
      <c r="I34263" s="676"/>
      <c r="J34263" s="770"/>
    </row>
    <row r="34264" spans="8:10" x14ac:dyDescent="0.35">
      <c r="H34264" s="676"/>
      <c r="I34264" s="676"/>
      <c r="J34264" s="770"/>
    </row>
    <row r="34265" spans="8:10" x14ac:dyDescent="0.35">
      <c r="H34265" s="676"/>
      <c r="I34265" s="676"/>
      <c r="J34265" s="770"/>
    </row>
    <row r="34266" spans="8:10" x14ac:dyDescent="0.35">
      <c r="H34266" s="676"/>
      <c r="I34266" s="676"/>
      <c r="J34266" s="770"/>
    </row>
    <row r="34267" spans="8:10" x14ac:dyDescent="0.35">
      <c r="H34267" s="676"/>
      <c r="I34267" s="676"/>
      <c r="J34267" s="770"/>
    </row>
    <row r="34268" spans="8:10" x14ac:dyDescent="0.35">
      <c r="H34268" s="676"/>
      <c r="I34268" s="676"/>
      <c r="J34268" s="770"/>
    </row>
    <row r="34269" spans="8:10" x14ac:dyDescent="0.35">
      <c r="H34269" s="676"/>
      <c r="I34269" s="676"/>
      <c r="J34269" s="770"/>
    </row>
    <row r="34270" spans="8:10" x14ac:dyDescent="0.35">
      <c r="H34270" s="676"/>
      <c r="I34270" s="676"/>
      <c r="J34270" s="770"/>
    </row>
    <row r="34271" spans="8:10" x14ac:dyDescent="0.35">
      <c r="H34271" s="676"/>
      <c r="I34271" s="676"/>
      <c r="J34271" s="770"/>
    </row>
    <row r="34272" spans="8:10" x14ac:dyDescent="0.35">
      <c r="H34272" s="676"/>
      <c r="I34272" s="676"/>
      <c r="J34272" s="770"/>
    </row>
    <row r="34273" spans="8:10" x14ac:dyDescent="0.35">
      <c r="H34273" s="676"/>
      <c r="I34273" s="676"/>
      <c r="J34273" s="770"/>
    </row>
    <row r="34274" spans="8:10" x14ac:dyDescent="0.35">
      <c r="H34274" s="676"/>
      <c r="I34274" s="676"/>
      <c r="J34274" s="770"/>
    </row>
    <row r="34275" spans="8:10" x14ac:dyDescent="0.35">
      <c r="H34275" s="676"/>
      <c r="I34275" s="676"/>
      <c r="J34275" s="770"/>
    </row>
    <row r="34276" spans="8:10" x14ac:dyDescent="0.35">
      <c r="H34276" s="676"/>
      <c r="I34276" s="676"/>
      <c r="J34276" s="770"/>
    </row>
    <row r="34277" spans="8:10" x14ac:dyDescent="0.35">
      <c r="H34277" s="676"/>
      <c r="I34277" s="676"/>
      <c r="J34277" s="770"/>
    </row>
    <row r="34278" spans="8:10" x14ac:dyDescent="0.35">
      <c r="H34278" s="676"/>
      <c r="I34278" s="676"/>
      <c r="J34278" s="770"/>
    </row>
    <row r="34279" spans="8:10" x14ac:dyDescent="0.35">
      <c r="H34279" s="676"/>
      <c r="I34279" s="676"/>
      <c r="J34279" s="770"/>
    </row>
    <row r="34280" spans="8:10" x14ac:dyDescent="0.35">
      <c r="H34280" s="676"/>
      <c r="I34280" s="676"/>
      <c r="J34280" s="770"/>
    </row>
    <row r="34281" spans="8:10" x14ac:dyDescent="0.35">
      <c r="H34281" s="676"/>
      <c r="I34281" s="676"/>
      <c r="J34281" s="770"/>
    </row>
    <row r="34282" spans="8:10" x14ac:dyDescent="0.35">
      <c r="H34282" s="676"/>
      <c r="I34282" s="676"/>
      <c r="J34282" s="770"/>
    </row>
    <row r="34283" spans="8:10" x14ac:dyDescent="0.35">
      <c r="H34283" s="676"/>
      <c r="I34283" s="676"/>
      <c r="J34283" s="770"/>
    </row>
    <row r="34284" spans="8:10" x14ac:dyDescent="0.35">
      <c r="H34284" s="676"/>
      <c r="I34284" s="676"/>
      <c r="J34284" s="770"/>
    </row>
    <row r="34285" spans="8:10" x14ac:dyDescent="0.35">
      <c r="H34285" s="676"/>
      <c r="I34285" s="676"/>
      <c r="J34285" s="770"/>
    </row>
    <row r="34286" spans="8:10" x14ac:dyDescent="0.35">
      <c r="H34286" s="676"/>
      <c r="I34286" s="676"/>
      <c r="J34286" s="770"/>
    </row>
    <row r="34287" spans="8:10" x14ac:dyDescent="0.35">
      <c r="H34287" s="676"/>
      <c r="I34287" s="676"/>
      <c r="J34287" s="770"/>
    </row>
    <row r="34288" spans="8:10" x14ac:dyDescent="0.35">
      <c r="H34288" s="676"/>
      <c r="I34288" s="676"/>
      <c r="J34288" s="770"/>
    </row>
    <row r="34289" spans="8:10" x14ac:dyDescent="0.35">
      <c r="H34289" s="676"/>
      <c r="I34289" s="676"/>
      <c r="J34289" s="770"/>
    </row>
    <row r="34290" spans="8:10" x14ac:dyDescent="0.35">
      <c r="H34290" s="676"/>
      <c r="I34290" s="676"/>
      <c r="J34290" s="770"/>
    </row>
    <row r="34291" spans="8:10" x14ac:dyDescent="0.35">
      <c r="H34291" s="676"/>
      <c r="I34291" s="676"/>
      <c r="J34291" s="770"/>
    </row>
    <row r="34292" spans="8:10" x14ac:dyDescent="0.35">
      <c r="H34292" s="676"/>
      <c r="I34292" s="676"/>
      <c r="J34292" s="770"/>
    </row>
    <row r="34293" spans="8:10" x14ac:dyDescent="0.35">
      <c r="H34293" s="676"/>
      <c r="I34293" s="676"/>
      <c r="J34293" s="770"/>
    </row>
    <row r="34294" spans="8:10" x14ac:dyDescent="0.35">
      <c r="H34294" s="676"/>
      <c r="I34294" s="676"/>
      <c r="J34294" s="770"/>
    </row>
    <row r="34295" spans="8:10" x14ac:dyDescent="0.35">
      <c r="H34295" s="676"/>
      <c r="I34295" s="676"/>
      <c r="J34295" s="770"/>
    </row>
    <row r="34296" spans="8:10" x14ac:dyDescent="0.35">
      <c r="H34296" s="676"/>
      <c r="I34296" s="676"/>
      <c r="J34296" s="770"/>
    </row>
    <row r="34297" spans="8:10" x14ac:dyDescent="0.35">
      <c r="H34297" s="676"/>
      <c r="I34297" s="676"/>
      <c r="J34297" s="770"/>
    </row>
    <row r="34298" spans="8:10" x14ac:dyDescent="0.35">
      <c r="H34298" s="676"/>
      <c r="I34298" s="676"/>
      <c r="J34298" s="770"/>
    </row>
    <row r="34299" spans="8:10" x14ac:dyDescent="0.35">
      <c r="H34299" s="676"/>
      <c r="I34299" s="676"/>
      <c r="J34299" s="770"/>
    </row>
    <row r="34300" spans="8:10" x14ac:dyDescent="0.35">
      <c r="H34300" s="676"/>
      <c r="I34300" s="676"/>
      <c r="J34300" s="770"/>
    </row>
    <row r="34301" spans="8:10" x14ac:dyDescent="0.35">
      <c r="H34301" s="676"/>
      <c r="I34301" s="676"/>
      <c r="J34301" s="770"/>
    </row>
    <row r="34302" spans="8:10" x14ac:dyDescent="0.35">
      <c r="H34302" s="676"/>
      <c r="I34302" s="676"/>
      <c r="J34302" s="770"/>
    </row>
    <row r="34303" spans="8:10" x14ac:dyDescent="0.35">
      <c r="H34303" s="676"/>
      <c r="I34303" s="676"/>
      <c r="J34303" s="770"/>
    </row>
    <row r="34304" spans="8:10" x14ac:dyDescent="0.35">
      <c r="H34304" s="676"/>
      <c r="I34304" s="676"/>
      <c r="J34304" s="770"/>
    </row>
    <row r="34305" spans="8:10" x14ac:dyDescent="0.35">
      <c r="H34305" s="676"/>
      <c r="I34305" s="676"/>
      <c r="J34305" s="770"/>
    </row>
    <row r="34306" spans="8:10" x14ac:dyDescent="0.35">
      <c r="H34306" s="676"/>
      <c r="I34306" s="676"/>
      <c r="J34306" s="770"/>
    </row>
    <row r="34307" spans="8:10" x14ac:dyDescent="0.35">
      <c r="H34307" s="676"/>
      <c r="I34307" s="676"/>
      <c r="J34307" s="770"/>
    </row>
    <row r="34308" spans="8:10" x14ac:dyDescent="0.35">
      <c r="H34308" s="676"/>
      <c r="I34308" s="676"/>
      <c r="J34308" s="770"/>
    </row>
    <row r="34309" spans="8:10" x14ac:dyDescent="0.35">
      <c r="H34309" s="676"/>
      <c r="I34309" s="676"/>
      <c r="J34309" s="770"/>
    </row>
    <row r="34310" spans="8:10" x14ac:dyDescent="0.35">
      <c r="H34310" s="676"/>
      <c r="I34310" s="676"/>
      <c r="J34310" s="770"/>
    </row>
    <row r="34311" spans="8:10" x14ac:dyDescent="0.35">
      <c r="H34311" s="676"/>
      <c r="I34311" s="676"/>
      <c r="J34311" s="770"/>
    </row>
    <row r="34312" spans="8:10" x14ac:dyDescent="0.35">
      <c r="H34312" s="676"/>
      <c r="I34312" s="676"/>
      <c r="J34312" s="770"/>
    </row>
    <row r="34313" spans="8:10" x14ac:dyDescent="0.35">
      <c r="H34313" s="676"/>
      <c r="I34313" s="676"/>
      <c r="J34313" s="770"/>
    </row>
    <row r="34314" spans="8:10" x14ac:dyDescent="0.35">
      <c r="H34314" s="676"/>
      <c r="I34314" s="676"/>
      <c r="J34314" s="770"/>
    </row>
    <row r="34315" spans="8:10" x14ac:dyDescent="0.35">
      <c r="H34315" s="676"/>
      <c r="I34315" s="676"/>
      <c r="J34315" s="770"/>
    </row>
    <row r="34316" spans="8:10" x14ac:dyDescent="0.35">
      <c r="H34316" s="676"/>
      <c r="I34316" s="676"/>
      <c r="J34316" s="770"/>
    </row>
    <row r="34317" spans="8:10" x14ac:dyDescent="0.35">
      <c r="H34317" s="676"/>
      <c r="I34317" s="676"/>
      <c r="J34317" s="770"/>
    </row>
    <row r="34318" spans="8:10" x14ac:dyDescent="0.35">
      <c r="H34318" s="676"/>
      <c r="I34318" s="676"/>
      <c r="J34318" s="770"/>
    </row>
    <row r="34319" spans="8:10" x14ac:dyDescent="0.35">
      <c r="H34319" s="676"/>
      <c r="I34319" s="676"/>
      <c r="J34319" s="770"/>
    </row>
    <row r="34320" spans="8:10" x14ac:dyDescent="0.35">
      <c r="H34320" s="676"/>
      <c r="I34320" s="676"/>
      <c r="J34320" s="770"/>
    </row>
    <row r="34321" spans="8:10" x14ac:dyDescent="0.35">
      <c r="H34321" s="676"/>
      <c r="I34321" s="676"/>
      <c r="J34321" s="770"/>
    </row>
    <row r="34322" spans="8:10" x14ac:dyDescent="0.35">
      <c r="H34322" s="676"/>
      <c r="I34322" s="676"/>
      <c r="J34322" s="770"/>
    </row>
    <row r="34323" spans="8:10" x14ac:dyDescent="0.35">
      <c r="H34323" s="676"/>
      <c r="I34323" s="676"/>
      <c r="J34323" s="770"/>
    </row>
    <row r="34324" spans="8:10" x14ac:dyDescent="0.35">
      <c r="H34324" s="676"/>
      <c r="I34324" s="676"/>
      <c r="J34324" s="770"/>
    </row>
    <row r="34325" spans="8:10" x14ac:dyDescent="0.35">
      <c r="H34325" s="676"/>
      <c r="I34325" s="676"/>
      <c r="J34325" s="770"/>
    </row>
    <row r="34326" spans="8:10" x14ac:dyDescent="0.35">
      <c r="H34326" s="676"/>
      <c r="I34326" s="676"/>
      <c r="J34326" s="770"/>
    </row>
    <row r="34327" spans="8:10" x14ac:dyDescent="0.35">
      <c r="H34327" s="676"/>
      <c r="I34327" s="676"/>
      <c r="J34327" s="770"/>
    </row>
    <row r="34328" spans="8:10" x14ac:dyDescent="0.35">
      <c r="H34328" s="676"/>
      <c r="I34328" s="676"/>
      <c r="J34328" s="770"/>
    </row>
    <row r="34329" spans="8:10" x14ac:dyDescent="0.35">
      <c r="H34329" s="676"/>
      <c r="I34329" s="676"/>
      <c r="J34329" s="770"/>
    </row>
    <row r="34330" spans="8:10" x14ac:dyDescent="0.35">
      <c r="H34330" s="676"/>
      <c r="I34330" s="676"/>
      <c r="J34330" s="770"/>
    </row>
    <row r="34331" spans="8:10" x14ac:dyDescent="0.35">
      <c r="H34331" s="676"/>
      <c r="I34331" s="676"/>
      <c r="J34331" s="770"/>
    </row>
    <row r="34332" spans="8:10" x14ac:dyDescent="0.35">
      <c r="H34332" s="676"/>
      <c r="I34332" s="676"/>
      <c r="J34332" s="770"/>
    </row>
    <row r="34333" spans="8:10" x14ac:dyDescent="0.35">
      <c r="H34333" s="676"/>
      <c r="I34333" s="676"/>
      <c r="J34333" s="770"/>
    </row>
    <row r="34334" spans="8:10" x14ac:dyDescent="0.35">
      <c r="H34334" s="676"/>
      <c r="I34334" s="676"/>
      <c r="J34334" s="770"/>
    </row>
    <row r="34335" spans="8:10" x14ac:dyDescent="0.35">
      <c r="H34335" s="676"/>
      <c r="I34335" s="676"/>
      <c r="J34335" s="770"/>
    </row>
    <row r="34336" spans="8:10" x14ac:dyDescent="0.35">
      <c r="H34336" s="676"/>
      <c r="I34336" s="676"/>
      <c r="J34336" s="770"/>
    </row>
    <row r="34337" spans="8:10" x14ac:dyDescent="0.35">
      <c r="H34337" s="676"/>
      <c r="I34337" s="676"/>
      <c r="J34337" s="770"/>
    </row>
    <row r="34338" spans="8:10" x14ac:dyDescent="0.35">
      <c r="H34338" s="676"/>
      <c r="I34338" s="676"/>
      <c r="J34338" s="770"/>
    </row>
    <row r="34339" spans="8:10" x14ac:dyDescent="0.35">
      <c r="H34339" s="676"/>
      <c r="I34339" s="676"/>
      <c r="J34339" s="770"/>
    </row>
    <row r="34340" spans="8:10" x14ac:dyDescent="0.35">
      <c r="H34340" s="676"/>
      <c r="I34340" s="676"/>
      <c r="J34340" s="770"/>
    </row>
    <row r="34341" spans="8:10" x14ac:dyDescent="0.35">
      <c r="H34341" s="676"/>
      <c r="I34341" s="676"/>
      <c r="J34341" s="770"/>
    </row>
    <row r="34342" spans="8:10" x14ac:dyDescent="0.35">
      <c r="H34342" s="676"/>
      <c r="I34342" s="676"/>
      <c r="J34342" s="770"/>
    </row>
    <row r="34343" spans="8:10" x14ac:dyDescent="0.35">
      <c r="H34343" s="676"/>
      <c r="I34343" s="676"/>
      <c r="J34343" s="770"/>
    </row>
    <row r="34344" spans="8:10" x14ac:dyDescent="0.35">
      <c r="H34344" s="676"/>
      <c r="I34344" s="676"/>
      <c r="J34344" s="770"/>
    </row>
    <row r="34345" spans="8:10" x14ac:dyDescent="0.35">
      <c r="H34345" s="676"/>
      <c r="I34345" s="676"/>
      <c r="J34345" s="770"/>
    </row>
    <row r="34346" spans="8:10" x14ac:dyDescent="0.35">
      <c r="H34346" s="676"/>
      <c r="I34346" s="676"/>
      <c r="J34346" s="770"/>
    </row>
    <row r="34347" spans="8:10" x14ac:dyDescent="0.35">
      <c r="H34347" s="676"/>
      <c r="I34347" s="676"/>
      <c r="J34347" s="770"/>
    </row>
    <row r="34348" spans="8:10" x14ac:dyDescent="0.35">
      <c r="H34348" s="676"/>
      <c r="I34348" s="676"/>
      <c r="J34348" s="770"/>
    </row>
    <row r="34349" spans="8:10" x14ac:dyDescent="0.35">
      <c r="H34349" s="676"/>
      <c r="I34349" s="676"/>
      <c r="J34349" s="770"/>
    </row>
    <row r="34350" spans="8:10" x14ac:dyDescent="0.35">
      <c r="H34350" s="676"/>
      <c r="I34350" s="676"/>
      <c r="J34350" s="770"/>
    </row>
    <row r="34351" spans="8:10" x14ac:dyDescent="0.35">
      <c r="H34351" s="676"/>
      <c r="I34351" s="676"/>
      <c r="J34351" s="770"/>
    </row>
    <row r="34352" spans="8:10" x14ac:dyDescent="0.35">
      <c r="H34352" s="676"/>
      <c r="I34352" s="676"/>
      <c r="J34352" s="770"/>
    </row>
    <row r="34353" spans="8:10" x14ac:dyDescent="0.35">
      <c r="H34353" s="676"/>
      <c r="I34353" s="676"/>
      <c r="J34353" s="770"/>
    </row>
    <row r="34354" spans="8:10" x14ac:dyDescent="0.35">
      <c r="H34354" s="676"/>
      <c r="I34354" s="676"/>
      <c r="J34354" s="770"/>
    </row>
    <row r="34355" spans="8:10" x14ac:dyDescent="0.35">
      <c r="H34355" s="676"/>
      <c r="I34355" s="676"/>
      <c r="J34355" s="770"/>
    </row>
    <row r="34356" spans="8:10" x14ac:dyDescent="0.35">
      <c r="H34356" s="676"/>
      <c r="I34356" s="676"/>
      <c r="J34356" s="770"/>
    </row>
    <row r="34357" spans="8:10" x14ac:dyDescent="0.35">
      <c r="H34357" s="676"/>
      <c r="I34357" s="676"/>
      <c r="J34357" s="770"/>
    </row>
    <row r="34358" spans="8:10" x14ac:dyDescent="0.35">
      <c r="H34358" s="676"/>
      <c r="I34358" s="676"/>
      <c r="J34358" s="770"/>
    </row>
    <row r="34359" spans="8:10" x14ac:dyDescent="0.35">
      <c r="H34359" s="676"/>
      <c r="I34359" s="676"/>
      <c r="J34359" s="770"/>
    </row>
    <row r="34360" spans="8:10" x14ac:dyDescent="0.35">
      <c r="H34360" s="676"/>
      <c r="I34360" s="676"/>
      <c r="J34360" s="770"/>
    </row>
    <row r="34361" spans="8:10" x14ac:dyDescent="0.35">
      <c r="H34361" s="676"/>
      <c r="I34361" s="676"/>
      <c r="J34361" s="770"/>
    </row>
    <row r="34362" spans="8:10" x14ac:dyDescent="0.35">
      <c r="H34362" s="676"/>
      <c r="I34362" s="676"/>
      <c r="J34362" s="770"/>
    </row>
    <row r="34363" spans="8:10" x14ac:dyDescent="0.35">
      <c r="H34363" s="676"/>
      <c r="I34363" s="676"/>
      <c r="J34363" s="770"/>
    </row>
    <row r="34364" spans="8:10" x14ac:dyDescent="0.35">
      <c r="H34364" s="676"/>
      <c r="I34364" s="676"/>
      <c r="J34364" s="770"/>
    </row>
    <row r="34365" spans="8:10" x14ac:dyDescent="0.35">
      <c r="H34365" s="676"/>
      <c r="I34365" s="676"/>
      <c r="J34365" s="770"/>
    </row>
    <row r="34366" spans="8:10" x14ac:dyDescent="0.35">
      <c r="H34366" s="676"/>
      <c r="I34366" s="676"/>
      <c r="J34366" s="770"/>
    </row>
    <row r="34367" spans="8:10" x14ac:dyDescent="0.35">
      <c r="H34367" s="676"/>
      <c r="I34367" s="676"/>
      <c r="J34367" s="770"/>
    </row>
    <row r="34368" spans="8:10" x14ac:dyDescent="0.35">
      <c r="H34368" s="676"/>
      <c r="I34368" s="676"/>
      <c r="J34368" s="770"/>
    </row>
    <row r="34369" spans="8:10" x14ac:dyDescent="0.35">
      <c r="H34369" s="676"/>
      <c r="I34369" s="676"/>
      <c r="J34369" s="770"/>
    </row>
    <row r="34370" spans="8:10" x14ac:dyDescent="0.35">
      <c r="H34370" s="676"/>
      <c r="I34370" s="676"/>
      <c r="J34370" s="770"/>
    </row>
    <row r="34371" spans="8:10" x14ac:dyDescent="0.35">
      <c r="H34371" s="676"/>
      <c r="I34371" s="676"/>
      <c r="J34371" s="770"/>
    </row>
    <row r="34372" spans="8:10" x14ac:dyDescent="0.35">
      <c r="H34372" s="676"/>
      <c r="I34372" s="676"/>
      <c r="J34372" s="770"/>
    </row>
    <row r="34373" spans="8:10" x14ac:dyDescent="0.35">
      <c r="H34373" s="676"/>
      <c r="I34373" s="676"/>
      <c r="J34373" s="770"/>
    </row>
    <row r="34374" spans="8:10" x14ac:dyDescent="0.35">
      <c r="H34374" s="676"/>
      <c r="I34374" s="676"/>
      <c r="J34374" s="770"/>
    </row>
    <row r="34375" spans="8:10" x14ac:dyDescent="0.35">
      <c r="H34375" s="676"/>
      <c r="I34375" s="676"/>
      <c r="J34375" s="770"/>
    </row>
    <row r="34376" spans="8:10" x14ac:dyDescent="0.35">
      <c r="H34376" s="676"/>
      <c r="I34376" s="676"/>
      <c r="J34376" s="770"/>
    </row>
    <row r="34377" spans="8:10" x14ac:dyDescent="0.35">
      <c r="H34377" s="676"/>
      <c r="I34377" s="676"/>
      <c r="J34377" s="770"/>
    </row>
    <row r="34378" spans="8:10" x14ac:dyDescent="0.35">
      <c r="H34378" s="676"/>
      <c r="I34378" s="676"/>
      <c r="J34378" s="770"/>
    </row>
    <row r="34379" spans="8:10" x14ac:dyDescent="0.35">
      <c r="H34379" s="676"/>
      <c r="I34379" s="676"/>
      <c r="J34379" s="770"/>
    </row>
    <row r="34380" spans="8:10" x14ac:dyDescent="0.35">
      <c r="H34380" s="676"/>
      <c r="I34380" s="676"/>
      <c r="J34380" s="770"/>
    </row>
    <row r="34381" spans="8:10" x14ac:dyDescent="0.35">
      <c r="H34381" s="676"/>
      <c r="I34381" s="676"/>
      <c r="J34381" s="770"/>
    </row>
    <row r="34382" spans="8:10" x14ac:dyDescent="0.35">
      <c r="H34382" s="676"/>
      <c r="I34382" s="676"/>
      <c r="J34382" s="770"/>
    </row>
    <row r="34383" spans="8:10" x14ac:dyDescent="0.35">
      <c r="H34383" s="676"/>
      <c r="I34383" s="676"/>
      <c r="J34383" s="770"/>
    </row>
    <row r="34384" spans="8:10" x14ac:dyDescent="0.35">
      <c r="H34384" s="676"/>
      <c r="I34384" s="676"/>
      <c r="J34384" s="770"/>
    </row>
    <row r="34385" spans="8:10" x14ac:dyDescent="0.35">
      <c r="H34385" s="676"/>
      <c r="I34385" s="676"/>
      <c r="J34385" s="770"/>
    </row>
    <row r="34386" spans="8:10" x14ac:dyDescent="0.35">
      <c r="H34386" s="676"/>
      <c r="I34386" s="676"/>
      <c r="J34386" s="770"/>
    </row>
    <row r="34387" spans="8:10" x14ac:dyDescent="0.35">
      <c r="H34387" s="676"/>
      <c r="I34387" s="676"/>
      <c r="J34387" s="770"/>
    </row>
    <row r="34388" spans="8:10" x14ac:dyDescent="0.35">
      <c r="H34388" s="676"/>
      <c r="I34388" s="676"/>
      <c r="J34388" s="770"/>
    </row>
    <row r="34389" spans="8:10" x14ac:dyDescent="0.35">
      <c r="H34389" s="676"/>
      <c r="I34389" s="676"/>
      <c r="J34389" s="770"/>
    </row>
    <row r="34390" spans="8:10" x14ac:dyDescent="0.35">
      <c r="H34390" s="676"/>
      <c r="I34390" s="676"/>
      <c r="J34390" s="770"/>
    </row>
    <row r="34391" spans="8:10" x14ac:dyDescent="0.35">
      <c r="H34391" s="676"/>
      <c r="I34391" s="676"/>
      <c r="J34391" s="770"/>
    </row>
    <row r="34392" spans="8:10" x14ac:dyDescent="0.35">
      <c r="H34392" s="676"/>
      <c r="I34392" s="676"/>
      <c r="J34392" s="770"/>
    </row>
    <row r="34393" spans="8:10" x14ac:dyDescent="0.35">
      <c r="H34393" s="676"/>
      <c r="I34393" s="676"/>
      <c r="J34393" s="770"/>
    </row>
    <row r="34394" spans="8:10" x14ac:dyDescent="0.35">
      <c r="H34394" s="676"/>
      <c r="I34394" s="676"/>
      <c r="J34394" s="770"/>
    </row>
    <row r="34395" spans="8:10" x14ac:dyDescent="0.35">
      <c r="H34395" s="676"/>
      <c r="I34395" s="676"/>
      <c r="J34395" s="770"/>
    </row>
    <row r="34396" spans="8:10" x14ac:dyDescent="0.35">
      <c r="H34396" s="676"/>
      <c r="I34396" s="676"/>
      <c r="J34396" s="770"/>
    </row>
    <row r="34397" spans="8:10" x14ac:dyDescent="0.35">
      <c r="H34397" s="676"/>
      <c r="I34397" s="676"/>
      <c r="J34397" s="770"/>
    </row>
    <row r="34398" spans="8:10" x14ac:dyDescent="0.35">
      <c r="H34398" s="676"/>
      <c r="I34398" s="676"/>
      <c r="J34398" s="770"/>
    </row>
    <row r="34399" spans="8:10" x14ac:dyDescent="0.35">
      <c r="H34399" s="676"/>
      <c r="I34399" s="676"/>
      <c r="J34399" s="770"/>
    </row>
    <row r="34400" spans="8:10" x14ac:dyDescent="0.35">
      <c r="H34400" s="676"/>
      <c r="I34400" s="676"/>
      <c r="J34400" s="770"/>
    </row>
    <row r="34401" spans="8:10" x14ac:dyDescent="0.35">
      <c r="H34401" s="676"/>
      <c r="I34401" s="676"/>
      <c r="J34401" s="770"/>
    </row>
    <row r="34402" spans="8:10" x14ac:dyDescent="0.35">
      <c r="H34402" s="676"/>
      <c r="I34402" s="676"/>
      <c r="J34402" s="770"/>
    </row>
    <row r="34403" spans="8:10" x14ac:dyDescent="0.35">
      <c r="H34403" s="676"/>
      <c r="I34403" s="676"/>
      <c r="J34403" s="770"/>
    </row>
    <row r="34404" spans="8:10" x14ac:dyDescent="0.35">
      <c r="H34404" s="676"/>
      <c r="I34404" s="676"/>
      <c r="J34404" s="770"/>
    </row>
    <row r="34405" spans="8:10" x14ac:dyDescent="0.35">
      <c r="H34405" s="676"/>
      <c r="I34405" s="676"/>
      <c r="J34405" s="770"/>
    </row>
    <row r="34406" spans="8:10" x14ac:dyDescent="0.35">
      <c r="H34406" s="676"/>
      <c r="I34406" s="676"/>
      <c r="J34406" s="770"/>
    </row>
    <row r="34407" spans="8:10" x14ac:dyDescent="0.35">
      <c r="H34407" s="676"/>
      <c r="I34407" s="676"/>
      <c r="J34407" s="770"/>
    </row>
    <row r="34408" spans="8:10" x14ac:dyDescent="0.35">
      <c r="H34408" s="676"/>
      <c r="I34408" s="676"/>
      <c r="J34408" s="770"/>
    </row>
    <row r="34409" spans="8:10" x14ac:dyDescent="0.35">
      <c r="H34409" s="676"/>
      <c r="I34409" s="676"/>
      <c r="J34409" s="770"/>
    </row>
    <row r="34410" spans="8:10" x14ac:dyDescent="0.35">
      <c r="H34410" s="676"/>
      <c r="I34410" s="676"/>
      <c r="J34410" s="770"/>
    </row>
    <row r="34411" spans="8:10" x14ac:dyDescent="0.35">
      <c r="H34411" s="676"/>
      <c r="I34411" s="676"/>
      <c r="J34411" s="770"/>
    </row>
    <row r="34412" spans="8:10" x14ac:dyDescent="0.35">
      <c r="H34412" s="676"/>
      <c r="I34412" s="676"/>
      <c r="J34412" s="770"/>
    </row>
    <row r="34413" spans="8:10" x14ac:dyDescent="0.35">
      <c r="H34413" s="676"/>
      <c r="I34413" s="676"/>
      <c r="J34413" s="770"/>
    </row>
    <row r="34414" spans="8:10" x14ac:dyDescent="0.35">
      <c r="H34414" s="676"/>
      <c r="I34414" s="676"/>
      <c r="J34414" s="770"/>
    </row>
    <row r="34415" spans="8:10" x14ac:dyDescent="0.35">
      <c r="H34415" s="676"/>
      <c r="I34415" s="676"/>
      <c r="J34415" s="770"/>
    </row>
    <row r="34416" spans="8:10" x14ac:dyDescent="0.35">
      <c r="H34416" s="676"/>
      <c r="I34416" s="676"/>
      <c r="J34416" s="770"/>
    </row>
    <row r="34417" spans="8:10" x14ac:dyDescent="0.35">
      <c r="H34417" s="676"/>
      <c r="I34417" s="676"/>
      <c r="J34417" s="770"/>
    </row>
    <row r="34418" spans="8:10" x14ac:dyDescent="0.35">
      <c r="H34418" s="676"/>
      <c r="I34418" s="676"/>
      <c r="J34418" s="770"/>
    </row>
    <row r="34419" spans="8:10" x14ac:dyDescent="0.35">
      <c r="H34419" s="676"/>
      <c r="I34419" s="676"/>
      <c r="J34419" s="770"/>
    </row>
    <row r="34420" spans="8:10" x14ac:dyDescent="0.35">
      <c r="H34420" s="676"/>
      <c r="I34420" s="676"/>
      <c r="J34420" s="770"/>
    </row>
    <row r="34421" spans="8:10" x14ac:dyDescent="0.35">
      <c r="H34421" s="676"/>
      <c r="I34421" s="676"/>
      <c r="J34421" s="770"/>
    </row>
    <row r="34422" spans="8:10" x14ac:dyDescent="0.35">
      <c r="H34422" s="676"/>
      <c r="I34422" s="676"/>
      <c r="J34422" s="770"/>
    </row>
    <row r="34423" spans="8:10" x14ac:dyDescent="0.35">
      <c r="H34423" s="676"/>
      <c r="I34423" s="676"/>
      <c r="J34423" s="770"/>
    </row>
    <row r="34424" spans="8:10" x14ac:dyDescent="0.35">
      <c r="H34424" s="676"/>
      <c r="I34424" s="676"/>
      <c r="J34424" s="770"/>
    </row>
    <row r="34425" spans="8:10" x14ac:dyDescent="0.35">
      <c r="H34425" s="676"/>
      <c r="I34425" s="676"/>
      <c r="J34425" s="770"/>
    </row>
    <row r="34426" spans="8:10" x14ac:dyDescent="0.35">
      <c r="H34426" s="676"/>
      <c r="I34426" s="676"/>
      <c r="J34426" s="770"/>
    </row>
    <row r="34427" spans="8:10" x14ac:dyDescent="0.35">
      <c r="H34427" s="676"/>
      <c r="I34427" s="676"/>
      <c r="J34427" s="770"/>
    </row>
    <row r="34428" spans="8:10" x14ac:dyDescent="0.35">
      <c r="H34428" s="676"/>
      <c r="I34428" s="676"/>
      <c r="J34428" s="770"/>
    </row>
    <row r="34429" spans="8:10" x14ac:dyDescent="0.35">
      <c r="H34429" s="676"/>
      <c r="I34429" s="676"/>
      <c r="J34429" s="770"/>
    </row>
    <row r="34430" spans="8:10" x14ac:dyDescent="0.35">
      <c r="H34430" s="676"/>
      <c r="I34430" s="676"/>
      <c r="J34430" s="770"/>
    </row>
    <row r="34431" spans="8:10" x14ac:dyDescent="0.35">
      <c r="H34431" s="676"/>
      <c r="I34431" s="676"/>
      <c r="J34431" s="770"/>
    </row>
    <row r="34432" spans="8:10" x14ac:dyDescent="0.35">
      <c r="H34432" s="676"/>
      <c r="I34432" s="676"/>
      <c r="J34432" s="770"/>
    </row>
    <row r="34433" spans="8:10" x14ac:dyDescent="0.35">
      <c r="H34433" s="676"/>
      <c r="I34433" s="676"/>
      <c r="J34433" s="770"/>
    </row>
    <row r="34434" spans="8:10" x14ac:dyDescent="0.35">
      <c r="H34434" s="676"/>
      <c r="I34434" s="676"/>
      <c r="J34434" s="770"/>
    </row>
    <row r="34435" spans="8:10" x14ac:dyDescent="0.35">
      <c r="H34435" s="676"/>
      <c r="I34435" s="676"/>
      <c r="J34435" s="770"/>
    </row>
    <row r="34436" spans="8:10" x14ac:dyDescent="0.35">
      <c r="H34436" s="676"/>
      <c r="I34436" s="676"/>
      <c r="J34436" s="770"/>
    </row>
    <row r="34437" spans="8:10" x14ac:dyDescent="0.35">
      <c r="H34437" s="676"/>
      <c r="I34437" s="676"/>
      <c r="J34437" s="770"/>
    </row>
    <row r="34438" spans="8:10" x14ac:dyDescent="0.35">
      <c r="H34438" s="676"/>
      <c r="I34438" s="676"/>
      <c r="J34438" s="770"/>
    </row>
    <row r="34439" spans="8:10" x14ac:dyDescent="0.35">
      <c r="H34439" s="676"/>
      <c r="I34439" s="676"/>
      <c r="J34439" s="770"/>
    </row>
    <row r="34440" spans="8:10" x14ac:dyDescent="0.35">
      <c r="H34440" s="676"/>
      <c r="I34440" s="676"/>
      <c r="J34440" s="770"/>
    </row>
    <row r="34441" spans="8:10" x14ac:dyDescent="0.35">
      <c r="H34441" s="676"/>
      <c r="I34441" s="676"/>
      <c r="J34441" s="770"/>
    </row>
    <row r="34442" spans="8:10" x14ac:dyDescent="0.35">
      <c r="H34442" s="676"/>
      <c r="I34442" s="676"/>
      <c r="J34442" s="770"/>
    </row>
    <row r="34443" spans="8:10" x14ac:dyDescent="0.35">
      <c r="H34443" s="676"/>
      <c r="I34443" s="676"/>
      <c r="J34443" s="770"/>
    </row>
    <row r="34444" spans="8:10" x14ac:dyDescent="0.35">
      <c r="H34444" s="676"/>
      <c r="I34444" s="676"/>
      <c r="J34444" s="770"/>
    </row>
    <row r="34445" spans="8:10" x14ac:dyDescent="0.35">
      <c r="H34445" s="676"/>
      <c r="I34445" s="676"/>
      <c r="J34445" s="770"/>
    </row>
    <row r="34446" spans="8:10" x14ac:dyDescent="0.35">
      <c r="H34446" s="676"/>
      <c r="I34446" s="676"/>
      <c r="J34446" s="770"/>
    </row>
    <row r="34447" spans="8:10" x14ac:dyDescent="0.35">
      <c r="H34447" s="676"/>
      <c r="I34447" s="676"/>
      <c r="J34447" s="770"/>
    </row>
    <row r="34448" spans="8:10" x14ac:dyDescent="0.35">
      <c r="H34448" s="676"/>
      <c r="I34448" s="676"/>
      <c r="J34448" s="770"/>
    </row>
    <row r="34449" spans="8:10" x14ac:dyDescent="0.35">
      <c r="H34449" s="676"/>
      <c r="I34449" s="676"/>
      <c r="J34449" s="770"/>
    </row>
    <row r="34450" spans="8:10" x14ac:dyDescent="0.35">
      <c r="H34450" s="676"/>
      <c r="I34450" s="676"/>
      <c r="J34450" s="770"/>
    </row>
    <row r="34451" spans="8:10" x14ac:dyDescent="0.35">
      <c r="H34451" s="676"/>
      <c r="I34451" s="676"/>
      <c r="J34451" s="770"/>
    </row>
    <row r="34452" spans="8:10" x14ac:dyDescent="0.35">
      <c r="H34452" s="676"/>
      <c r="I34452" s="676"/>
      <c r="J34452" s="770"/>
    </row>
    <row r="34453" spans="8:10" x14ac:dyDescent="0.35">
      <c r="H34453" s="676"/>
      <c r="I34453" s="676"/>
      <c r="J34453" s="770"/>
    </row>
    <row r="34454" spans="8:10" x14ac:dyDescent="0.35">
      <c r="H34454" s="676"/>
      <c r="I34454" s="676"/>
      <c r="J34454" s="770"/>
    </row>
    <row r="34455" spans="8:10" x14ac:dyDescent="0.35">
      <c r="H34455" s="676"/>
      <c r="I34455" s="676"/>
      <c r="J34455" s="770"/>
    </row>
    <row r="34456" spans="8:10" x14ac:dyDescent="0.35">
      <c r="H34456" s="676"/>
      <c r="I34456" s="676"/>
      <c r="J34456" s="770"/>
    </row>
    <row r="34457" spans="8:10" x14ac:dyDescent="0.35">
      <c r="H34457" s="676"/>
      <c r="I34457" s="676"/>
      <c r="J34457" s="770"/>
    </row>
    <row r="34458" spans="8:10" x14ac:dyDescent="0.35">
      <c r="H34458" s="676"/>
      <c r="I34458" s="676"/>
      <c r="J34458" s="770"/>
    </row>
    <row r="34459" spans="8:10" x14ac:dyDescent="0.35">
      <c r="H34459" s="676"/>
      <c r="I34459" s="676"/>
      <c r="J34459" s="770"/>
    </row>
    <row r="34460" spans="8:10" x14ac:dyDescent="0.35">
      <c r="H34460" s="676"/>
      <c r="I34460" s="676"/>
      <c r="J34460" s="770"/>
    </row>
    <row r="34461" spans="8:10" x14ac:dyDescent="0.35">
      <c r="H34461" s="676"/>
      <c r="I34461" s="676"/>
      <c r="J34461" s="770"/>
    </row>
    <row r="34462" spans="8:10" x14ac:dyDescent="0.35">
      <c r="H34462" s="676"/>
      <c r="I34462" s="676"/>
      <c r="J34462" s="770"/>
    </row>
    <row r="34463" spans="8:10" x14ac:dyDescent="0.35">
      <c r="H34463" s="676"/>
      <c r="I34463" s="676"/>
      <c r="J34463" s="770"/>
    </row>
    <row r="34464" spans="8:10" x14ac:dyDescent="0.35">
      <c r="H34464" s="676"/>
      <c r="I34464" s="676"/>
      <c r="J34464" s="770"/>
    </row>
    <row r="34465" spans="8:10" x14ac:dyDescent="0.35">
      <c r="H34465" s="676"/>
      <c r="I34465" s="676"/>
      <c r="J34465" s="770"/>
    </row>
    <row r="34466" spans="8:10" x14ac:dyDescent="0.35">
      <c r="H34466" s="676"/>
      <c r="I34466" s="676"/>
      <c r="J34466" s="770"/>
    </row>
    <row r="34467" spans="8:10" x14ac:dyDescent="0.35">
      <c r="H34467" s="676"/>
      <c r="I34467" s="676"/>
      <c r="J34467" s="770"/>
    </row>
    <row r="34468" spans="8:10" x14ac:dyDescent="0.35">
      <c r="H34468" s="676"/>
      <c r="I34468" s="676"/>
      <c r="J34468" s="770"/>
    </row>
    <row r="34469" spans="8:10" x14ac:dyDescent="0.35">
      <c r="H34469" s="676"/>
      <c r="I34469" s="676"/>
      <c r="J34469" s="770"/>
    </row>
    <row r="34470" spans="8:10" x14ac:dyDescent="0.35">
      <c r="H34470" s="676"/>
      <c r="I34470" s="676"/>
      <c r="J34470" s="770"/>
    </row>
    <row r="34471" spans="8:10" x14ac:dyDescent="0.35">
      <c r="H34471" s="676"/>
      <c r="I34471" s="676"/>
      <c r="J34471" s="770"/>
    </row>
    <row r="34472" spans="8:10" x14ac:dyDescent="0.35">
      <c r="H34472" s="676"/>
      <c r="I34472" s="676"/>
      <c r="J34472" s="770"/>
    </row>
    <row r="34473" spans="8:10" x14ac:dyDescent="0.35">
      <c r="H34473" s="676"/>
      <c r="I34473" s="676"/>
      <c r="J34473" s="770"/>
    </row>
    <row r="34474" spans="8:10" x14ac:dyDescent="0.35">
      <c r="H34474" s="676"/>
      <c r="I34474" s="676"/>
      <c r="J34474" s="770"/>
    </row>
    <row r="34475" spans="8:10" x14ac:dyDescent="0.35">
      <c r="H34475" s="676"/>
      <c r="I34475" s="676"/>
      <c r="J34475" s="770"/>
    </row>
    <row r="34476" spans="8:10" x14ac:dyDescent="0.35">
      <c r="H34476" s="676"/>
      <c r="I34476" s="676"/>
      <c r="J34476" s="770"/>
    </row>
    <row r="34477" spans="8:10" x14ac:dyDescent="0.35">
      <c r="H34477" s="676"/>
      <c r="I34477" s="676"/>
      <c r="J34477" s="770"/>
    </row>
    <row r="34478" spans="8:10" x14ac:dyDescent="0.35">
      <c r="H34478" s="676"/>
      <c r="I34478" s="676"/>
      <c r="J34478" s="770"/>
    </row>
    <row r="34479" spans="8:10" x14ac:dyDescent="0.35">
      <c r="H34479" s="676"/>
      <c r="I34479" s="676"/>
      <c r="J34479" s="770"/>
    </row>
    <row r="34480" spans="8:10" x14ac:dyDescent="0.35">
      <c r="H34480" s="676"/>
      <c r="I34480" s="676"/>
      <c r="J34480" s="770"/>
    </row>
    <row r="34481" spans="8:10" x14ac:dyDescent="0.35">
      <c r="H34481" s="676"/>
      <c r="I34481" s="676"/>
      <c r="J34481" s="770"/>
    </row>
    <row r="34482" spans="8:10" x14ac:dyDescent="0.35">
      <c r="H34482" s="676"/>
      <c r="I34482" s="676"/>
      <c r="J34482" s="770"/>
    </row>
    <row r="34483" spans="8:10" x14ac:dyDescent="0.35">
      <c r="H34483" s="676"/>
      <c r="I34483" s="676"/>
      <c r="J34483" s="770"/>
    </row>
    <row r="34484" spans="8:10" x14ac:dyDescent="0.35">
      <c r="H34484" s="676"/>
      <c r="I34484" s="676"/>
      <c r="J34484" s="770"/>
    </row>
    <row r="34485" spans="8:10" x14ac:dyDescent="0.35">
      <c r="H34485" s="676"/>
      <c r="I34485" s="676"/>
      <c r="J34485" s="770"/>
    </row>
    <row r="34486" spans="8:10" x14ac:dyDescent="0.35">
      <c r="H34486" s="676"/>
      <c r="I34486" s="676"/>
      <c r="J34486" s="770"/>
    </row>
    <row r="34487" spans="8:10" x14ac:dyDescent="0.35">
      <c r="H34487" s="676"/>
      <c r="I34487" s="676"/>
      <c r="J34487" s="770"/>
    </row>
    <row r="34488" spans="8:10" x14ac:dyDescent="0.35">
      <c r="H34488" s="676"/>
      <c r="I34488" s="676"/>
      <c r="J34488" s="770"/>
    </row>
    <row r="34489" spans="8:10" x14ac:dyDescent="0.35">
      <c r="H34489" s="676"/>
      <c r="I34489" s="676"/>
      <c r="J34489" s="770"/>
    </row>
    <row r="34490" spans="8:10" x14ac:dyDescent="0.35">
      <c r="H34490" s="676"/>
      <c r="I34490" s="676"/>
      <c r="J34490" s="770"/>
    </row>
    <row r="34491" spans="8:10" x14ac:dyDescent="0.35">
      <c r="H34491" s="676"/>
      <c r="I34491" s="676"/>
      <c r="J34491" s="770"/>
    </row>
    <row r="34492" spans="8:10" x14ac:dyDescent="0.35">
      <c r="H34492" s="676"/>
      <c r="I34492" s="676"/>
      <c r="J34492" s="770"/>
    </row>
    <row r="34493" spans="8:10" x14ac:dyDescent="0.35">
      <c r="H34493" s="676"/>
      <c r="I34493" s="676"/>
      <c r="J34493" s="770"/>
    </row>
    <row r="34494" spans="8:10" x14ac:dyDescent="0.35">
      <c r="H34494" s="676"/>
      <c r="I34494" s="676"/>
      <c r="J34494" s="770"/>
    </row>
    <row r="34495" spans="8:10" x14ac:dyDescent="0.35">
      <c r="H34495" s="676"/>
      <c r="I34495" s="676"/>
      <c r="J34495" s="770"/>
    </row>
    <row r="34496" spans="8:10" x14ac:dyDescent="0.35">
      <c r="H34496" s="676"/>
      <c r="I34496" s="676"/>
      <c r="J34496" s="770"/>
    </row>
    <row r="34497" spans="8:10" x14ac:dyDescent="0.35">
      <c r="H34497" s="676"/>
      <c r="I34497" s="676"/>
      <c r="J34497" s="770"/>
    </row>
    <row r="34498" spans="8:10" x14ac:dyDescent="0.35">
      <c r="H34498" s="676"/>
      <c r="I34498" s="676"/>
      <c r="J34498" s="770"/>
    </row>
    <row r="34499" spans="8:10" x14ac:dyDescent="0.35">
      <c r="H34499" s="676"/>
      <c r="I34499" s="676"/>
      <c r="J34499" s="770"/>
    </row>
    <row r="34500" spans="8:10" x14ac:dyDescent="0.35">
      <c r="H34500" s="676"/>
      <c r="I34500" s="676"/>
      <c r="J34500" s="770"/>
    </row>
    <row r="34501" spans="8:10" x14ac:dyDescent="0.35">
      <c r="H34501" s="676"/>
      <c r="I34501" s="676"/>
      <c r="J34501" s="770"/>
    </row>
    <row r="34502" spans="8:10" x14ac:dyDescent="0.35">
      <c r="H34502" s="676"/>
      <c r="I34502" s="676"/>
      <c r="J34502" s="770"/>
    </row>
    <row r="34503" spans="8:10" x14ac:dyDescent="0.35">
      <c r="H34503" s="676"/>
      <c r="I34503" s="676"/>
      <c r="J34503" s="770"/>
    </row>
    <row r="34504" spans="8:10" x14ac:dyDescent="0.35">
      <c r="H34504" s="676"/>
      <c r="I34504" s="676"/>
      <c r="J34504" s="770"/>
    </row>
    <row r="34505" spans="8:10" x14ac:dyDescent="0.35">
      <c r="H34505" s="676"/>
      <c r="I34505" s="676"/>
      <c r="J34505" s="770"/>
    </row>
    <row r="34506" spans="8:10" x14ac:dyDescent="0.35">
      <c r="H34506" s="676"/>
      <c r="I34506" s="676"/>
      <c r="J34506" s="770"/>
    </row>
    <row r="34507" spans="8:10" x14ac:dyDescent="0.35">
      <c r="H34507" s="676"/>
      <c r="I34507" s="676"/>
      <c r="J34507" s="770"/>
    </row>
    <row r="34508" spans="8:10" x14ac:dyDescent="0.35">
      <c r="H34508" s="676"/>
      <c r="I34508" s="676"/>
      <c r="J34508" s="770"/>
    </row>
    <row r="34509" spans="8:10" x14ac:dyDescent="0.35">
      <c r="H34509" s="676"/>
      <c r="I34509" s="676"/>
      <c r="J34509" s="770"/>
    </row>
    <row r="34510" spans="8:10" x14ac:dyDescent="0.35">
      <c r="H34510" s="676"/>
      <c r="I34510" s="676"/>
      <c r="J34510" s="770"/>
    </row>
    <row r="34511" spans="8:10" x14ac:dyDescent="0.35">
      <c r="H34511" s="676"/>
      <c r="I34511" s="676"/>
      <c r="J34511" s="770"/>
    </row>
    <row r="34512" spans="8:10" x14ac:dyDescent="0.35">
      <c r="H34512" s="676"/>
      <c r="I34512" s="676"/>
      <c r="J34512" s="770"/>
    </row>
    <row r="34513" spans="8:10" x14ac:dyDescent="0.35">
      <c r="H34513" s="676"/>
      <c r="I34513" s="676"/>
      <c r="J34513" s="770"/>
    </row>
    <row r="34514" spans="8:10" x14ac:dyDescent="0.35">
      <c r="H34514" s="676"/>
      <c r="I34514" s="676"/>
      <c r="J34514" s="770"/>
    </row>
    <row r="34515" spans="8:10" x14ac:dyDescent="0.35">
      <c r="H34515" s="676"/>
      <c r="I34515" s="676"/>
      <c r="J34515" s="770"/>
    </row>
    <row r="34516" spans="8:10" x14ac:dyDescent="0.35">
      <c r="H34516" s="676"/>
      <c r="I34516" s="676"/>
      <c r="J34516" s="770"/>
    </row>
    <row r="34517" spans="8:10" x14ac:dyDescent="0.35">
      <c r="H34517" s="676"/>
      <c r="I34517" s="676"/>
      <c r="J34517" s="770"/>
    </row>
    <row r="34518" spans="8:10" x14ac:dyDescent="0.35">
      <c r="H34518" s="676"/>
      <c r="I34518" s="676"/>
      <c r="J34518" s="770"/>
    </row>
    <row r="34519" spans="8:10" x14ac:dyDescent="0.35">
      <c r="H34519" s="676"/>
      <c r="I34519" s="676"/>
      <c r="J34519" s="770"/>
    </row>
    <row r="34520" spans="8:10" x14ac:dyDescent="0.35">
      <c r="H34520" s="676"/>
      <c r="I34520" s="676"/>
      <c r="J34520" s="770"/>
    </row>
    <row r="34521" spans="8:10" x14ac:dyDescent="0.35">
      <c r="H34521" s="676"/>
      <c r="I34521" s="676"/>
      <c r="J34521" s="770"/>
    </row>
    <row r="34522" spans="8:10" x14ac:dyDescent="0.35">
      <c r="H34522" s="676"/>
      <c r="I34522" s="676"/>
      <c r="J34522" s="770"/>
    </row>
    <row r="34523" spans="8:10" x14ac:dyDescent="0.35">
      <c r="H34523" s="676"/>
      <c r="I34523" s="676"/>
      <c r="J34523" s="770"/>
    </row>
    <row r="34524" spans="8:10" x14ac:dyDescent="0.35">
      <c r="H34524" s="676"/>
      <c r="I34524" s="676"/>
      <c r="J34524" s="770"/>
    </row>
    <row r="34525" spans="8:10" x14ac:dyDescent="0.35">
      <c r="H34525" s="676"/>
      <c r="I34525" s="676"/>
      <c r="J34525" s="770"/>
    </row>
    <row r="34526" spans="8:10" x14ac:dyDescent="0.35">
      <c r="H34526" s="676"/>
      <c r="I34526" s="676"/>
      <c r="J34526" s="770"/>
    </row>
    <row r="34527" spans="8:10" x14ac:dyDescent="0.35">
      <c r="H34527" s="676"/>
      <c r="I34527" s="676"/>
      <c r="J34527" s="770"/>
    </row>
    <row r="34528" spans="8:10" x14ac:dyDescent="0.35">
      <c r="H34528" s="676"/>
      <c r="I34528" s="676"/>
      <c r="J34528" s="770"/>
    </row>
    <row r="34529" spans="8:10" x14ac:dyDescent="0.35">
      <c r="H34529" s="676"/>
      <c r="I34529" s="676"/>
      <c r="J34529" s="770"/>
    </row>
    <row r="34530" spans="8:10" x14ac:dyDescent="0.35">
      <c r="H34530" s="676"/>
      <c r="I34530" s="676"/>
      <c r="J34530" s="770"/>
    </row>
    <row r="34531" spans="8:10" x14ac:dyDescent="0.35">
      <c r="H34531" s="676"/>
      <c r="I34531" s="676"/>
      <c r="J34531" s="770"/>
    </row>
    <row r="34532" spans="8:10" x14ac:dyDescent="0.35">
      <c r="H34532" s="676"/>
      <c r="I34532" s="676"/>
      <c r="J34532" s="770"/>
    </row>
    <row r="34533" spans="8:10" x14ac:dyDescent="0.35">
      <c r="H34533" s="676"/>
      <c r="I34533" s="676"/>
      <c r="J34533" s="770"/>
    </row>
    <row r="34534" spans="8:10" x14ac:dyDescent="0.35">
      <c r="H34534" s="676"/>
      <c r="I34534" s="676"/>
      <c r="J34534" s="770"/>
    </row>
    <row r="34535" spans="8:10" x14ac:dyDescent="0.35">
      <c r="H34535" s="676"/>
      <c r="I34535" s="676"/>
      <c r="J34535" s="770"/>
    </row>
    <row r="34536" spans="8:10" x14ac:dyDescent="0.35">
      <c r="H34536" s="676"/>
      <c r="I34536" s="676"/>
      <c r="J34536" s="770"/>
    </row>
    <row r="34537" spans="8:10" x14ac:dyDescent="0.35">
      <c r="H34537" s="676"/>
      <c r="I34537" s="676"/>
      <c r="J34537" s="770"/>
    </row>
    <row r="34538" spans="8:10" x14ac:dyDescent="0.35">
      <c r="H34538" s="676"/>
      <c r="I34538" s="676"/>
      <c r="J34538" s="770"/>
    </row>
    <row r="34539" spans="8:10" x14ac:dyDescent="0.35">
      <c r="H34539" s="676"/>
      <c r="I34539" s="676"/>
      <c r="J34539" s="770"/>
    </row>
    <row r="34540" spans="8:10" x14ac:dyDescent="0.35">
      <c r="H34540" s="676"/>
      <c r="I34540" s="676"/>
      <c r="J34540" s="770"/>
    </row>
    <row r="34541" spans="8:10" x14ac:dyDescent="0.35">
      <c r="H34541" s="676"/>
      <c r="I34541" s="676"/>
      <c r="J34541" s="770"/>
    </row>
    <row r="34542" spans="8:10" x14ac:dyDescent="0.35">
      <c r="H34542" s="676"/>
      <c r="I34542" s="676"/>
      <c r="J34542" s="770"/>
    </row>
    <row r="34543" spans="8:10" x14ac:dyDescent="0.35">
      <c r="H34543" s="676"/>
      <c r="I34543" s="676"/>
      <c r="J34543" s="770"/>
    </row>
    <row r="34544" spans="8:10" x14ac:dyDescent="0.35">
      <c r="H34544" s="676"/>
      <c r="I34544" s="676"/>
      <c r="J34544" s="770"/>
    </row>
    <row r="34545" spans="8:10" x14ac:dyDescent="0.35">
      <c r="H34545" s="676"/>
      <c r="I34545" s="676"/>
      <c r="J34545" s="770"/>
    </row>
    <row r="34546" spans="8:10" x14ac:dyDescent="0.35">
      <c r="H34546" s="676"/>
      <c r="I34546" s="676"/>
      <c r="J34546" s="770"/>
    </row>
    <row r="34547" spans="8:10" x14ac:dyDescent="0.35">
      <c r="H34547" s="676"/>
      <c r="I34547" s="676"/>
      <c r="J34547" s="770"/>
    </row>
    <row r="34548" spans="8:10" x14ac:dyDescent="0.35">
      <c r="H34548" s="676"/>
      <c r="I34548" s="676"/>
      <c r="J34548" s="770"/>
    </row>
    <row r="34549" spans="8:10" x14ac:dyDescent="0.35">
      <c r="H34549" s="676"/>
      <c r="I34549" s="676"/>
      <c r="J34549" s="770"/>
    </row>
    <row r="34550" spans="8:10" x14ac:dyDescent="0.35">
      <c r="H34550" s="676"/>
      <c r="I34550" s="676"/>
      <c r="J34550" s="770"/>
    </row>
    <row r="34551" spans="8:10" x14ac:dyDescent="0.35">
      <c r="H34551" s="676"/>
      <c r="I34551" s="676"/>
      <c r="J34551" s="770"/>
    </row>
    <row r="34552" spans="8:10" x14ac:dyDescent="0.35">
      <c r="H34552" s="676"/>
      <c r="I34552" s="676"/>
      <c r="J34552" s="770"/>
    </row>
    <row r="34553" spans="8:10" x14ac:dyDescent="0.35">
      <c r="H34553" s="676"/>
      <c r="I34553" s="676"/>
      <c r="J34553" s="770"/>
    </row>
    <row r="34554" spans="8:10" x14ac:dyDescent="0.35">
      <c r="H34554" s="676"/>
      <c r="I34554" s="676"/>
      <c r="J34554" s="770"/>
    </row>
    <row r="34555" spans="8:10" x14ac:dyDescent="0.35">
      <c r="H34555" s="676"/>
      <c r="I34555" s="676"/>
      <c r="J34555" s="770"/>
    </row>
    <row r="34556" spans="8:10" x14ac:dyDescent="0.35">
      <c r="H34556" s="676"/>
      <c r="I34556" s="676"/>
      <c r="J34556" s="770"/>
    </row>
    <row r="34557" spans="8:10" x14ac:dyDescent="0.35">
      <c r="H34557" s="676"/>
      <c r="I34557" s="676"/>
      <c r="J34557" s="770"/>
    </row>
    <row r="34558" spans="8:10" x14ac:dyDescent="0.35">
      <c r="H34558" s="676"/>
      <c r="I34558" s="676"/>
      <c r="J34558" s="770"/>
    </row>
    <row r="34559" spans="8:10" x14ac:dyDescent="0.35">
      <c r="H34559" s="676"/>
      <c r="I34559" s="676"/>
      <c r="J34559" s="770"/>
    </row>
    <row r="34560" spans="8:10" x14ac:dyDescent="0.35">
      <c r="H34560" s="676"/>
      <c r="I34560" s="676"/>
      <c r="J34560" s="770"/>
    </row>
    <row r="34561" spans="8:10" x14ac:dyDescent="0.35">
      <c r="H34561" s="676"/>
      <c r="I34561" s="676"/>
      <c r="J34561" s="770"/>
    </row>
    <row r="34562" spans="8:10" x14ac:dyDescent="0.35">
      <c r="H34562" s="676"/>
      <c r="I34562" s="676"/>
      <c r="J34562" s="770"/>
    </row>
    <row r="34563" spans="8:10" x14ac:dyDescent="0.35">
      <c r="H34563" s="676"/>
      <c r="I34563" s="676"/>
      <c r="J34563" s="770"/>
    </row>
    <row r="34564" spans="8:10" x14ac:dyDescent="0.35">
      <c r="H34564" s="676"/>
      <c r="I34564" s="676"/>
      <c r="J34564" s="770"/>
    </row>
    <row r="34565" spans="8:10" x14ac:dyDescent="0.35">
      <c r="H34565" s="676"/>
      <c r="I34565" s="676"/>
      <c r="J34565" s="770"/>
    </row>
    <row r="34566" spans="8:10" x14ac:dyDescent="0.35">
      <c r="H34566" s="676"/>
      <c r="I34566" s="676"/>
      <c r="J34566" s="770"/>
    </row>
    <row r="34567" spans="8:10" x14ac:dyDescent="0.35">
      <c r="H34567" s="676"/>
      <c r="I34567" s="676"/>
      <c r="J34567" s="770"/>
    </row>
    <row r="34568" spans="8:10" x14ac:dyDescent="0.35">
      <c r="H34568" s="676"/>
      <c r="I34568" s="676"/>
      <c r="J34568" s="770"/>
    </row>
    <row r="34569" spans="8:10" x14ac:dyDescent="0.35">
      <c r="H34569" s="676"/>
      <c r="I34569" s="676"/>
      <c r="J34569" s="770"/>
    </row>
    <row r="34570" spans="8:10" x14ac:dyDescent="0.35">
      <c r="H34570" s="676"/>
      <c r="I34570" s="676"/>
      <c r="J34570" s="770"/>
    </row>
    <row r="34571" spans="8:10" x14ac:dyDescent="0.35">
      <c r="H34571" s="676"/>
      <c r="I34571" s="676"/>
      <c r="J34571" s="770"/>
    </row>
    <row r="34572" spans="8:10" x14ac:dyDescent="0.35">
      <c r="H34572" s="676"/>
      <c r="I34572" s="676"/>
      <c r="J34572" s="770"/>
    </row>
    <row r="34573" spans="8:10" x14ac:dyDescent="0.35">
      <c r="H34573" s="676"/>
      <c r="I34573" s="676"/>
      <c r="J34573" s="770"/>
    </row>
    <row r="34574" spans="8:10" x14ac:dyDescent="0.35">
      <c r="H34574" s="676"/>
      <c r="I34574" s="676"/>
      <c r="J34574" s="770"/>
    </row>
    <row r="34575" spans="8:10" x14ac:dyDescent="0.35">
      <c r="H34575" s="676"/>
      <c r="I34575" s="676"/>
      <c r="J34575" s="770"/>
    </row>
    <row r="34576" spans="8:10" x14ac:dyDescent="0.35">
      <c r="H34576" s="676"/>
      <c r="I34576" s="676"/>
      <c r="J34576" s="770"/>
    </row>
    <row r="34577" spans="8:10" x14ac:dyDescent="0.35">
      <c r="H34577" s="676"/>
      <c r="I34577" s="676"/>
      <c r="J34577" s="770"/>
    </row>
    <row r="34578" spans="8:10" x14ac:dyDescent="0.35">
      <c r="H34578" s="676"/>
      <c r="I34578" s="676"/>
      <c r="J34578" s="770"/>
    </row>
    <row r="34579" spans="8:10" x14ac:dyDescent="0.35">
      <c r="H34579" s="676"/>
      <c r="I34579" s="676"/>
      <c r="J34579" s="770"/>
    </row>
    <row r="34580" spans="8:10" x14ac:dyDescent="0.35">
      <c r="H34580" s="676"/>
      <c r="I34580" s="676"/>
      <c r="J34580" s="770"/>
    </row>
    <row r="34581" spans="8:10" x14ac:dyDescent="0.35">
      <c r="H34581" s="676"/>
      <c r="I34581" s="676"/>
      <c r="J34581" s="770"/>
    </row>
    <row r="34582" spans="8:10" x14ac:dyDescent="0.35">
      <c r="H34582" s="676"/>
      <c r="I34582" s="676"/>
      <c r="J34582" s="770"/>
    </row>
    <row r="34583" spans="8:10" x14ac:dyDescent="0.35">
      <c r="H34583" s="676"/>
      <c r="I34583" s="676"/>
      <c r="J34583" s="770"/>
    </row>
    <row r="34584" spans="8:10" x14ac:dyDescent="0.35">
      <c r="H34584" s="676"/>
      <c r="I34584" s="676"/>
      <c r="J34584" s="770"/>
    </row>
    <row r="34585" spans="8:10" x14ac:dyDescent="0.35">
      <c r="H34585" s="676"/>
      <c r="I34585" s="676"/>
      <c r="J34585" s="770"/>
    </row>
    <row r="34586" spans="8:10" x14ac:dyDescent="0.35">
      <c r="H34586" s="676"/>
      <c r="I34586" s="676"/>
      <c r="J34586" s="770"/>
    </row>
    <row r="34587" spans="8:10" x14ac:dyDescent="0.35">
      <c r="H34587" s="676"/>
      <c r="I34587" s="676"/>
      <c r="J34587" s="770"/>
    </row>
    <row r="34588" spans="8:10" x14ac:dyDescent="0.35">
      <c r="H34588" s="676"/>
      <c r="I34588" s="676"/>
      <c r="J34588" s="770"/>
    </row>
    <row r="34589" spans="8:10" x14ac:dyDescent="0.35">
      <c r="H34589" s="676"/>
      <c r="I34589" s="676"/>
      <c r="J34589" s="770"/>
    </row>
    <row r="34590" spans="8:10" x14ac:dyDescent="0.35">
      <c r="H34590" s="676"/>
      <c r="I34590" s="676"/>
      <c r="J34590" s="770"/>
    </row>
    <row r="34591" spans="8:10" x14ac:dyDescent="0.35">
      <c r="H34591" s="676"/>
      <c r="I34591" s="676"/>
      <c r="J34591" s="770"/>
    </row>
    <row r="34592" spans="8:10" x14ac:dyDescent="0.35">
      <c r="H34592" s="676"/>
      <c r="I34592" s="676"/>
      <c r="J34592" s="770"/>
    </row>
    <row r="34593" spans="8:10" x14ac:dyDescent="0.35">
      <c r="H34593" s="676"/>
      <c r="I34593" s="676"/>
      <c r="J34593" s="770"/>
    </row>
    <row r="34594" spans="8:10" x14ac:dyDescent="0.35">
      <c r="H34594" s="676"/>
      <c r="I34594" s="676"/>
      <c r="J34594" s="770"/>
    </row>
    <row r="34595" spans="8:10" x14ac:dyDescent="0.35">
      <c r="H34595" s="676"/>
      <c r="I34595" s="676"/>
      <c r="J34595" s="770"/>
    </row>
    <row r="34596" spans="8:10" x14ac:dyDescent="0.35">
      <c r="H34596" s="676"/>
      <c r="I34596" s="676"/>
      <c r="J34596" s="770"/>
    </row>
    <row r="34597" spans="8:10" x14ac:dyDescent="0.35">
      <c r="H34597" s="676"/>
      <c r="I34597" s="676"/>
      <c r="J34597" s="770"/>
    </row>
    <row r="34598" spans="8:10" x14ac:dyDescent="0.35">
      <c r="H34598" s="676"/>
      <c r="I34598" s="676"/>
      <c r="J34598" s="770"/>
    </row>
    <row r="34599" spans="8:10" x14ac:dyDescent="0.35">
      <c r="H34599" s="676"/>
      <c r="I34599" s="676"/>
      <c r="J34599" s="770"/>
    </row>
    <row r="34600" spans="8:10" x14ac:dyDescent="0.35">
      <c r="H34600" s="676"/>
      <c r="I34600" s="676"/>
      <c r="J34600" s="770"/>
    </row>
    <row r="34601" spans="8:10" x14ac:dyDescent="0.35">
      <c r="H34601" s="676"/>
      <c r="I34601" s="676"/>
      <c r="J34601" s="770"/>
    </row>
    <row r="34602" spans="8:10" x14ac:dyDescent="0.35">
      <c r="H34602" s="676"/>
      <c r="I34602" s="676"/>
      <c r="J34602" s="770"/>
    </row>
    <row r="34603" spans="8:10" x14ac:dyDescent="0.35">
      <c r="H34603" s="676"/>
      <c r="I34603" s="676"/>
      <c r="J34603" s="770"/>
    </row>
    <row r="34604" spans="8:10" x14ac:dyDescent="0.35">
      <c r="H34604" s="676"/>
      <c r="I34604" s="676"/>
      <c r="J34604" s="770"/>
    </row>
    <row r="34605" spans="8:10" x14ac:dyDescent="0.35">
      <c r="H34605" s="676"/>
      <c r="I34605" s="676"/>
      <c r="J34605" s="770"/>
    </row>
    <row r="34606" spans="8:10" x14ac:dyDescent="0.35">
      <c r="H34606" s="676"/>
      <c r="I34606" s="676"/>
      <c r="J34606" s="770"/>
    </row>
    <row r="34607" spans="8:10" x14ac:dyDescent="0.35">
      <c r="H34607" s="676"/>
      <c r="I34607" s="676"/>
      <c r="J34607" s="770"/>
    </row>
    <row r="34608" spans="8:10" x14ac:dyDescent="0.35">
      <c r="H34608" s="676"/>
      <c r="I34608" s="676"/>
      <c r="J34608" s="770"/>
    </row>
    <row r="34609" spans="8:10" x14ac:dyDescent="0.35">
      <c r="H34609" s="676"/>
      <c r="I34609" s="676"/>
      <c r="J34609" s="770"/>
    </row>
    <row r="34610" spans="8:10" x14ac:dyDescent="0.35">
      <c r="H34610" s="676"/>
      <c r="I34610" s="676"/>
      <c r="J34610" s="770"/>
    </row>
    <row r="34611" spans="8:10" x14ac:dyDescent="0.35">
      <c r="H34611" s="676"/>
      <c r="I34611" s="676"/>
      <c r="J34611" s="770"/>
    </row>
    <row r="34612" spans="8:10" x14ac:dyDescent="0.35">
      <c r="H34612" s="676"/>
      <c r="I34612" s="676"/>
      <c r="J34612" s="770"/>
    </row>
    <row r="34613" spans="8:10" x14ac:dyDescent="0.35">
      <c r="H34613" s="676"/>
      <c r="I34613" s="676"/>
      <c r="J34613" s="770"/>
    </row>
    <row r="34614" spans="8:10" x14ac:dyDescent="0.35">
      <c r="H34614" s="676"/>
      <c r="I34614" s="676"/>
      <c r="J34614" s="770"/>
    </row>
    <row r="34615" spans="8:10" x14ac:dyDescent="0.35">
      <c r="H34615" s="676"/>
      <c r="I34615" s="676"/>
      <c r="J34615" s="770"/>
    </row>
    <row r="34616" spans="8:10" x14ac:dyDescent="0.35">
      <c r="H34616" s="676"/>
      <c r="I34616" s="676"/>
      <c r="J34616" s="770"/>
    </row>
    <row r="34617" spans="8:10" x14ac:dyDescent="0.35">
      <c r="H34617" s="676"/>
      <c r="I34617" s="676"/>
      <c r="J34617" s="770"/>
    </row>
    <row r="34618" spans="8:10" x14ac:dyDescent="0.35">
      <c r="H34618" s="676"/>
      <c r="I34618" s="676"/>
      <c r="J34618" s="770"/>
    </row>
    <row r="34619" spans="8:10" x14ac:dyDescent="0.35">
      <c r="H34619" s="676"/>
      <c r="I34619" s="676"/>
      <c r="J34619" s="770"/>
    </row>
    <row r="34620" spans="8:10" x14ac:dyDescent="0.35">
      <c r="H34620" s="676"/>
      <c r="I34620" s="676"/>
      <c r="J34620" s="770"/>
    </row>
    <row r="34621" spans="8:10" x14ac:dyDescent="0.35">
      <c r="H34621" s="676"/>
      <c r="I34621" s="676"/>
      <c r="J34621" s="770"/>
    </row>
    <row r="34622" spans="8:10" x14ac:dyDescent="0.35">
      <c r="H34622" s="676"/>
      <c r="I34622" s="676"/>
      <c r="J34622" s="770"/>
    </row>
    <row r="34623" spans="8:10" x14ac:dyDescent="0.35">
      <c r="H34623" s="676"/>
      <c r="I34623" s="676"/>
      <c r="J34623" s="770"/>
    </row>
    <row r="34624" spans="8:10" x14ac:dyDescent="0.35">
      <c r="H34624" s="676"/>
      <c r="I34624" s="676"/>
      <c r="J34624" s="770"/>
    </row>
    <row r="34625" spans="8:10" x14ac:dyDescent="0.35">
      <c r="H34625" s="676"/>
      <c r="I34625" s="676"/>
      <c r="J34625" s="770"/>
    </row>
    <row r="34626" spans="8:10" x14ac:dyDescent="0.35">
      <c r="H34626" s="676"/>
      <c r="I34626" s="676"/>
      <c r="J34626" s="770"/>
    </row>
    <row r="34627" spans="8:10" x14ac:dyDescent="0.35">
      <c r="H34627" s="676"/>
      <c r="I34627" s="676"/>
      <c r="J34627" s="770"/>
    </row>
    <row r="34628" spans="8:10" x14ac:dyDescent="0.35">
      <c r="H34628" s="676"/>
      <c r="I34628" s="676"/>
      <c r="J34628" s="770"/>
    </row>
    <row r="34629" spans="8:10" x14ac:dyDescent="0.35">
      <c r="H34629" s="676"/>
      <c r="I34629" s="676"/>
      <c r="J34629" s="770"/>
    </row>
    <row r="34630" spans="8:10" x14ac:dyDescent="0.35">
      <c r="H34630" s="676"/>
      <c r="I34630" s="676"/>
      <c r="J34630" s="770"/>
    </row>
    <row r="34631" spans="8:10" x14ac:dyDescent="0.35">
      <c r="H34631" s="676"/>
      <c r="I34631" s="676"/>
      <c r="J34631" s="770"/>
    </row>
    <row r="34632" spans="8:10" x14ac:dyDescent="0.35">
      <c r="H34632" s="676"/>
      <c r="I34632" s="676"/>
      <c r="J34632" s="770"/>
    </row>
    <row r="34633" spans="8:10" x14ac:dyDescent="0.35">
      <c r="H34633" s="676"/>
      <c r="I34633" s="676"/>
      <c r="J34633" s="770"/>
    </row>
    <row r="34634" spans="8:10" x14ac:dyDescent="0.35">
      <c r="H34634" s="676"/>
      <c r="I34634" s="676"/>
      <c r="J34634" s="770"/>
    </row>
    <row r="34635" spans="8:10" x14ac:dyDescent="0.35">
      <c r="H34635" s="676"/>
      <c r="I34635" s="676"/>
      <c r="J34635" s="770"/>
    </row>
    <row r="34636" spans="8:10" x14ac:dyDescent="0.35">
      <c r="H34636" s="676"/>
      <c r="I34636" s="676"/>
      <c r="J34636" s="770"/>
    </row>
    <row r="34637" spans="8:10" x14ac:dyDescent="0.35">
      <c r="H34637" s="676"/>
      <c r="I34637" s="676"/>
      <c r="J34637" s="770"/>
    </row>
    <row r="34638" spans="8:10" x14ac:dyDescent="0.35">
      <c r="H34638" s="676"/>
      <c r="I34638" s="676"/>
      <c r="J34638" s="770"/>
    </row>
    <row r="34639" spans="8:10" x14ac:dyDescent="0.35">
      <c r="H34639" s="676"/>
      <c r="I34639" s="676"/>
      <c r="J34639" s="770"/>
    </row>
    <row r="34640" spans="8:10" x14ac:dyDescent="0.35">
      <c r="H34640" s="676"/>
      <c r="I34640" s="676"/>
      <c r="J34640" s="770"/>
    </row>
    <row r="34641" spans="8:10" x14ac:dyDescent="0.35">
      <c r="H34641" s="676"/>
      <c r="I34641" s="676"/>
      <c r="J34641" s="770"/>
    </row>
    <row r="34642" spans="8:10" x14ac:dyDescent="0.35">
      <c r="H34642" s="676"/>
      <c r="I34642" s="676"/>
      <c r="J34642" s="770"/>
    </row>
    <row r="34643" spans="8:10" x14ac:dyDescent="0.35">
      <c r="H34643" s="676"/>
      <c r="I34643" s="676"/>
      <c r="J34643" s="770"/>
    </row>
    <row r="34644" spans="8:10" x14ac:dyDescent="0.35">
      <c r="H34644" s="676"/>
      <c r="I34644" s="676"/>
      <c r="J34644" s="770"/>
    </row>
    <row r="34645" spans="8:10" x14ac:dyDescent="0.35">
      <c r="H34645" s="676"/>
      <c r="I34645" s="676"/>
      <c r="J34645" s="770"/>
    </row>
    <row r="34646" spans="8:10" x14ac:dyDescent="0.35">
      <c r="H34646" s="676"/>
      <c r="I34646" s="676"/>
      <c r="J34646" s="770"/>
    </row>
    <row r="34647" spans="8:10" x14ac:dyDescent="0.35">
      <c r="H34647" s="676"/>
      <c r="I34647" s="676"/>
      <c r="J34647" s="770"/>
    </row>
    <row r="34648" spans="8:10" x14ac:dyDescent="0.35">
      <c r="H34648" s="676"/>
      <c r="I34648" s="676"/>
      <c r="J34648" s="770"/>
    </row>
    <row r="34649" spans="8:10" x14ac:dyDescent="0.35">
      <c r="H34649" s="676"/>
      <c r="I34649" s="676"/>
      <c r="J34649" s="770"/>
    </row>
    <row r="34650" spans="8:10" x14ac:dyDescent="0.35">
      <c r="H34650" s="676"/>
      <c r="I34650" s="676"/>
      <c r="J34650" s="770"/>
    </row>
    <row r="34651" spans="8:10" x14ac:dyDescent="0.35">
      <c r="H34651" s="676"/>
      <c r="I34651" s="676"/>
      <c r="J34651" s="770"/>
    </row>
    <row r="34652" spans="8:10" x14ac:dyDescent="0.35">
      <c r="H34652" s="676"/>
      <c r="I34652" s="676"/>
      <c r="J34652" s="770"/>
    </row>
    <row r="34653" spans="8:10" x14ac:dyDescent="0.35">
      <c r="H34653" s="676"/>
      <c r="I34653" s="676"/>
      <c r="J34653" s="770"/>
    </row>
    <row r="34654" spans="8:10" x14ac:dyDescent="0.35">
      <c r="H34654" s="676"/>
      <c r="I34654" s="676"/>
      <c r="J34654" s="770"/>
    </row>
    <row r="34655" spans="8:10" x14ac:dyDescent="0.35">
      <c r="H34655" s="676"/>
      <c r="I34655" s="676"/>
      <c r="J34655" s="770"/>
    </row>
    <row r="34656" spans="8:10" x14ac:dyDescent="0.35">
      <c r="H34656" s="676"/>
      <c r="I34656" s="676"/>
      <c r="J34656" s="770"/>
    </row>
    <row r="34657" spans="8:10" x14ac:dyDescent="0.35">
      <c r="H34657" s="676"/>
      <c r="I34657" s="676"/>
      <c r="J34657" s="770"/>
    </row>
    <row r="34658" spans="8:10" x14ac:dyDescent="0.35">
      <c r="H34658" s="676"/>
      <c r="I34658" s="676"/>
      <c r="J34658" s="770"/>
    </row>
    <row r="34659" spans="8:10" x14ac:dyDescent="0.35">
      <c r="H34659" s="676"/>
      <c r="I34659" s="676"/>
      <c r="J34659" s="770"/>
    </row>
    <row r="34660" spans="8:10" x14ac:dyDescent="0.35">
      <c r="H34660" s="676"/>
      <c r="I34660" s="676"/>
      <c r="J34660" s="770"/>
    </row>
    <row r="34661" spans="8:10" x14ac:dyDescent="0.35">
      <c r="H34661" s="676"/>
      <c r="I34661" s="676"/>
      <c r="J34661" s="770"/>
    </row>
    <row r="34662" spans="8:10" x14ac:dyDescent="0.35">
      <c r="H34662" s="676"/>
      <c r="I34662" s="676"/>
      <c r="J34662" s="770"/>
    </row>
    <row r="34663" spans="8:10" x14ac:dyDescent="0.35">
      <c r="H34663" s="676"/>
      <c r="I34663" s="676"/>
      <c r="J34663" s="770"/>
    </row>
    <row r="34664" spans="8:10" x14ac:dyDescent="0.35">
      <c r="H34664" s="676"/>
      <c r="I34664" s="676"/>
      <c r="J34664" s="770"/>
    </row>
    <row r="34665" spans="8:10" x14ac:dyDescent="0.35">
      <c r="H34665" s="676"/>
      <c r="I34665" s="676"/>
      <c r="J34665" s="770"/>
    </row>
    <row r="34666" spans="8:10" x14ac:dyDescent="0.35">
      <c r="H34666" s="676"/>
      <c r="I34666" s="676"/>
      <c r="J34666" s="770"/>
    </row>
    <row r="34667" spans="8:10" x14ac:dyDescent="0.35">
      <c r="H34667" s="676"/>
      <c r="I34667" s="676"/>
      <c r="J34667" s="770"/>
    </row>
    <row r="34668" spans="8:10" x14ac:dyDescent="0.35">
      <c r="H34668" s="676"/>
      <c r="I34668" s="676"/>
      <c r="J34668" s="770"/>
    </row>
    <row r="34669" spans="8:10" x14ac:dyDescent="0.35">
      <c r="H34669" s="676"/>
      <c r="I34669" s="676"/>
      <c r="J34669" s="770"/>
    </row>
    <row r="34670" spans="8:10" x14ac:dyDescent="0.35">
      <c r="H34670" s="676"/>
      <c r="I34670" s="676"/>
      <c r="J34670" s="770"/>
    </row>
    <row r="34671" spans="8:10" x14ac:dyDescent="0.35">
      <c r="H34671" s="676"/>
      <c r="I34671" s="676"/>
      <c r="J34671" s="770"/>
    </row>
    <row r="34672" spans="8:10" x14ac:dyDescent="0.35">
      <c r="H34672" s="676"/>
      <c r="I34672" s="676"/>
      <c r="J34672" s="770"/>
    </row>
    <row r="34673" spans="8:10" x14ac:dyDescent="0.35">
      <c r="H34673" s="676"/>
      <c r="I34673" s="676"/>
      <c r="J34673" s="770"/>
    </row>
    <row r="34674" spans="8:10" x14ac:dyDescent="0.35">
      <c r="H34674" s="676"/>
      <c r="I34674" s="676"/>
      <c r="J34674" s="770"/>
    </row>
    <row r="34675" spans="8:10" x14ac:dyDescent="0.35">
      <c r="H34675" s="676"/>
      <c r="I34675" s="676"/>
      <c r="J34675" s="770"/>
    </row>
    <row r="34676" spans="8:10" x14ac:dyDescent="0.35">
      <c r="H34676" s="676"/>
      <c r="I34676" s="676"/>
      <c r="J34676" s="770"/>
    </row>
    <row r="34677" spans="8:10" x14ac:dyDescent="0.35">
      <c r="H34677" s="676"/>
      <c r="I34677" s="676"/>
      <c r="J34677" s="770"/>
    </row>
    <row r="34678" spans="8:10" x14ac:dyDescent="0.35">
      <c r="H34678" s="676"/>
      <c r="I34678" s="676"/>
      <c r="J34678" s="770"/>
    </row>
    <row r="34679" spans="8:10" x14ac:dyDescent="0.35">
      <c r="H34679" s="676"/>
      <c r="I34679" s="676"/>
      <c r="J34679" s="770"/>
    </row>
    <row r="34680" spans="8:10" x14ac:dyDescent="0.35">
      <c r="H34680" s="676"/>
      <c r="I34680" s="676"/>
      <c r="J34680" s="770"/>
    </row>
    <row r="34681" spans="8:10" x14ac:dyDescent="0.35">
      <c r="H34681" s="676"/>
      <c r="I34681" s="676"/>
      <c r="J34681" s="770"/>
    </row>
    <row r="34682" spans="8:10" x14ac:dyDescent="0.35">
      <c r="H34682" s="676"/>
      <c r="I34682" s="676"/>
      <c r="J34682" s="770"/>
    </row>
    <row r="34683" spans="8:10" x14ac:dyDescent="0.35">
      <c r="H34683" s="676"/>
      <c r="I34683" s="676"/>
      <c r="J34683" s="770"/>
    </row>
    <row r="34684" spans="8:10" x14ac:dyDescent="0.35">
      <c r="H34684" s="676"/>
      <c r="I34684" s="676"/>
      <c r="J34684" s="770"/>
    </row>
    <row r="34685" spans="8:10" x14ac:dyDescent="0.35">
      <c r="H34685" s="676"/>
      <c r="I34685" s="676"/>
      <c r="J34685" s="770"/>
    </row>
    <row r="34686" spans="8:10" x14ac:dyDescent="0.35">
      <c r="H34686" s="676"/>
      <c r="I34686" s="676"/>
      <c r="J34686" s="770"/>
    </row>
    <row r="34687" spans="8:10" x14ac:dyDescent="0.35">
      <c r="H34687" s="676"/>
      <c r="I34687" s="676"/>
      <c r="J34687" s="770"/>
    </row>
    <row r="34688" spans="8:10" x14ac:dyDescent="0.35">
      <c r="H34688" s="676"/>
      <c r="I34688" s="676"/>
      <c r="J34688" s="770"/>
    </row>
    <row r="34689" spans="8:10" x14ac:dyDescent="0.35">
      <c r="H34689" s="676"/>
      <c r="I34689" s="676"/>
      <c r="J34689" s="770"/>
    </row>
    <row r="34690" spans="8:10" x14ac:dyDescent="0.35">
      <c r="H34690" s="676"/>
      <c r="I34690" s="676"/>
      <c r="J34690" s="770"/>
    </row>
    <row r="34691" spans="8:10" x14ac:dyDescent="0.35">
      <c r="H34691" s="676"/>
      <c r="I34691" s="676"/>
      <c r="J34691" s="770"/>
    </row>
    <row r="34692" spans="8:10" x14ac:dyDescent="0.35">
      <c r="H34692" s="676"/>
      <c r="I34692" s="676"/>
      <c r="J34692" s="770"/>
    </row>
    <row r="34693" spans="8:10" x14ac:dyDescent="0.35">
      <c r="H34693" s="676"/>
      <c r="I34693" s="676"/>
      <c r="J34693" s="770"/>
    </row>
    <row r="34694" spans="8:10" x14ac:dyDescent="0.35">
      <c r="H34694" s="676"/>
      <c r="I34694" s="676"/>
      <c r="J34694" s="770"/>
    </row>
    <row r="34695" spans="8:10" x14ac:dyDescent="0.35">
      <c r="H34695" s="676"/>
      <c r="I34695" s="676"/>
      <c r="J34695" s="770"/>
    </row>
    <row r="34696" spans="8:10" x14ac:dyDescent="0.35">
      <c r="H34696" s="676"/>
      <c r="I34696" s="676"/>
      <c r="J34696" s="770"/>
    </row>
    <row r="34697" spans="8:10" x14ac:dyDescent="0.35">
      <c r="H34697" s="676"/>
      <c r="I34697" s="676"/>
      <c r="J34697" s="770"/>
    </row>
    <row r="34698" spans="8:10" x14ac:dyDescent="0.35">
      <c r="H34698" s="676"/>
      <c r="I34698" s="676"/>
      <c r="J34698" s="770"/>
    </row>
    <row r="34699" spans="8:10" x14ac:dyDescent="0.35">
      <c r="H34699" s="676"/>
      <c r="I34699" s="676"/>
      <c r="J34699" s="770"/>
    </row>
    <row r="34700" spans="8:10" x14ac:dyDescent="0.35">
      <c r="H34700" s="676"/>
      <c r="I34700" s="676"/>
      <c r="J34700" s="770"/>
    </row>
    <row r="34701" spans="8:10" x14ac:dyDescent="0.35">
      <c r="H34701" s="676"/>
      <c r="I34701" s="676"/>
      <c r="J34701" s="770"/>
    </row>
    <row r="34702" spans="8:10" x14ac:dyDescent="0.35">
      <c r="H34702" s="676"/>
      <c r="I34702" s="676"/>
      <c r="J34702" s="770"/>
    </row>
    <row r="34703" spans="8:10" x14ac:dyDescent="0.35">
      <c r="H34703" s="676"/>
      <c r="I34703" s="676"/>
      <c r="J34703" s="770"/>
    </row>
    <row r="34704" spans="8:10" x14ac:dyDescent="0.35">
      <c r="H34704" s="676"/>
      <c r="I34704" s="676"/>
      <c r="J34704" s="770"/>
    </row>
    <row r="34705" spans="8:10" x14ac:dyDescent="0.35">
      <c r="H34705" s="676"/>
      <c r="I34705" s="676"/>
      <c r="J34705" s="770"/>
    </row>
    <row r="34706" spans="8:10" x14ac:dyDescent="0.35">
      <c r="H34706" s="676"/>
      <c r="I34706" s="676"/>
      <c r="J34706" s="770"/>
    </row>
    <row r="34707" spans="8:10" x14ac:dyDescent="0.35">
      <c r="H34707" s="676"/>
      <c r="I34707" s="676"/>
      <c r="J34707" s="770"/>
    </row>
    <row r="34708" spans="8:10" x14ac:dyDescent="0.35">
      <c r="H34708" s="676"/>
      <c r="I34708" s="676"/>
      <c r="J34708" s="770"/>
    </row>
    <row r="34709" spans="8:10" x14ac:dyDescent="0.35">
      <c r="H34709" s="676"/>
      <c r="I34709" s="676"/>
      <c r="J34709" s="770"/>
    </row>
    <row r="34710" spans="8:10" x14ac:dyDescent="0.35">
      <c r="H34710" s="676"/>
      <c r="I34710" s="676"/>
      <c r="J34710" s="770"/>
    </row>
    <row r="34711" spans="8:10" x14ac:dyDescent="0.35">
      <c r="H34711" s="676"/>
      <c r="I34711" s="676"/>
      <c r="J34711" s="770"/>
    </row>
    <row r="34712" spans="8:10" x14ac:dyDescent="0.35">
      <c r="H34712" s="676"/>
      <c r="I34712" s="676"/>
      <c r="J34712" s="770"/>
    </row>
    <row r="34713" spans="8:10" x14ac:dyDescent="0.35">
      <c r="H34713" s="676"/>
      <c r="I34713" s="676"/>
      <c r="J34713" s="770"/>
    </row>
    <row r="34714" spans="8:10" x14ac:dyDescent="0.35">
      <c r="H34714" s="676"/>
      <c r="I34714" s="676"/>
      <c r="J34714" s="770"/>
    </row>
    <row r="34715" spans="8:10" x14ac:dyDescent="0.35">
      <c r="H34715" s="676"/>
      <c r="I34715" s="676"/>
      <c r="J34715" s="770"/>
    </row>
    <row r="34716" spans="8:10" x14ac:dyDescent="0.35">
      <c r="H34716" s="676"/>
      <c r="I34716" s="676"/>
      <c r="J34716" s="770"/>
    </row>
    <row r="34717" spans="8:10" x14ac:dyDescent="0.35">
      <c r="H34717" s="676"/>
      <c r="I34717" s="676"/>
      <c r="J34717" s="770"/>
    </row>
    <row r="34718" spans="8:10" x14ac:dyDescent="0.35">
      <c r="H34718" s="676"/>
      <c r="I34718" s="676"/>
      <c r="J34718" s="770"/>
    </row>
    <row r="34719" spans="8:10" x14ac:dyDescent="0.35">
      <c r="H34719" s="676"/>
      <c r="I34719" s="676"/>
      <c r="J34719" s="770"/>
    </row>
    <row r="34720" spans="8:10" x14ac:dyDescent="0.35">
      <c r="H34720" s="676"/>
      <c r="I34720" s="676"/>
      <c r="J34720" s="770"/>
    </row>
    <row r="34721" spans="8:10" x14ac:dyDescent="0.35">
      <c r="H34721" s="676"/>
      <c r="I34721" s="676"/>
      <c r="J34721" s="770"/>
    </row>
    <row r="34722" spans="8:10" x14ac:dyDescent="0.35">
      <c r="H34722" s="676"/>
      <c r="I34722" s="676"/>
      <c r="J34722" s="770"/>
    </row>
    <row r="34723" spans="8:10" x14ac:dyDescent="0.35">
      <c r="H34723" s="676"/>
      <c r="I34723" s="676"/>
      <c r="J34723" s="770"/>
    </row>
    <row r="34724" spans="8:10" x14ac:dyDescent="0.35">
      <c r="H34724" s="676"/>
      <c r="I34724" s="676"/>
      <c r="J34724" s="770"/>
    </row>
    <row r="34725" spans="8:10" x14ac:dyDescent="0.35">
      <c r="H34725" s="676"/>
      <c r="I34725" s="676"/>
      <c r="J34725" s="770"/>
    </row>
    <row r="34726" spans="8:10" x14ac:dyDescent="0.35">
      <c r="H34726" s="676"/>
      <c r="I34726" s="676"/>
      <c r="J34726" s="770"/>
    </row>
    <row r="34727" spans="8:10" x14ac:dyDescent="0.35">
      <c r="H34727" s="676"/>
      <c r="I34727" s="676"/>
      <c r="J34727" s="770"/>
    </row>
    <row r="34728" spans="8:10" x14ac:dyDescent="0.35">
      <c r="H34728" s="676"/>
      <c r="I34728" s="676"/>
      <c r="J34728" s="770"/>
    </row>
    <row r="34729" spans="8:10" x14ac:dyDescent="0.35">
      <c r="H34729" s="676"/>
      <c r="I34729" s="676"/>
      <c r="J34729" s="770"/>
    </row>
    <row r="34730" spans="8:10" x14ac:dyDescent="0.35">
      <c r="H34730" s="676"/>
      <c r="I34730" s="676"/>
      <c r="J34730" s="770"/>
    </row>
    <row r="34731" spans="8:10" x14ac:dyDescent="0.35">
      <c r="H34731" s="676"/>
      <c r="I34731" s="676"/>
      <c r="J34731" s="770"/>
    </row>
    <row r="34732" spans="8:10" x14ac:dyDescent="0.35">
      <c r="H34732" s="676"/>
      <c r="I34732" s="676"/>
      <c r="J34732" s="770"/>
    </row>
    <row r="34733" spans="8:10" x14ac:dyDescent="0.35">
      <c r="H34733" s="676"/>
      <c r="I34733" s="676"/>
      <c r="J34733" s="770"/>
    </row>
    <row r="34734" spans="8:10" x14ac:dyDescent="0.35">
      <c r="H34734" s="676"/>
      <c r="I34734" s="676"/>
      <c r="J34734" s="770"/>
    </row>
    <row r="34735" spans="8:10" x14ac:dyDescent="0.35">
      <c r="H34735" s="676"/>
      <c r="I34735" s="676"/>
      <c r="J34735" s="770"/>
    </row>
    <row r="34736" spans="8:10" x14ac:dyDescent="0.35">
      <c r="H34736" s="676"/>
      <c r="I34736" s="676"/>
      <c r="J34736" s="770"/>
    </row>
    <row r="34737" spans="8:10" x14ac:dyDescent="0.35">
      <c r="H34737" s="676"/>
      <c r="I34737" s="676"/>
      <c r="J34737" s="770"/>
    </row>
    <row r="34738" spans="8:10" x14ac:dyDescent="0.35">
      <c r="H34738" s="676"/>
      <c r="I34738" s="676"/>
      <c r="J34738" s="770"/>
    </row>
    <row r="34739" spans="8:10" x14ac:dyDescent="0.35">
      <c r="H34739" s="676"/>
      <c r="I34739" s="676"/>
      <c r="J34739" s="770"/>
    </row>
    <row r="34740" spans="8:10" x14ac:dyDescent="0.35">
      <c r="H34740" s="676"/>
      <c r="I34740" s="676"/>
      <c r="J34740" s="770"/>
    </row>
    <row r="34741" spans="8:10" x14ac:dyDescent="0.35">
      <c r="H34741" s="676"/>
      <c r="I34741" s="676"/>
      <c r="J34741" s="770"/>
    </row>
    <row r="34742" spans="8:10" x14ac:dyDescent="0.35">
      <c r="H34742" s="676"/>
      <c r="I34742" s="676"/>
      <c r="J34742" s="770"/>
    </row>
    <row r="34743" spans="8:10" x14ac:dyDescent="0.35">
      <c r="H34743" s="676"/>
      <c r="I34743" s="676"/>
      <c r="J34743" s="770"/>
    </row>
    <row r="34744" spans="8:10" x14ac:dyDescent="0.35">
      <c r="H34744" s="676"/>
      <c r="I34744" s="676"/>
      <c r="J34744" s="770"/>
    </row>
    <row r="34745" spans="8:10" x14ac:dyDescent="0.35">
      <c r="H34745" s="676"/>
      <c r="I34745" s="676"/>
      <c r="J34745" s="770"/>
    </row>
    <row r="34746" spans="8:10" x14ac:dyDescent="0.35">
      <c r="H34746" s="676"/>
      <c r="I34746" s="676"/>
      <c r="J34746" s="770"/>
    </row>
    <row r="34747" spans="8:10" x14ac:dyDescent="0.35">
      <c r="H34747" s="676"/>
      <c r="I34747" s="676"/>
      <c r="J34747" s="770"/>
    </row>
    <row r="34748" spans="8:10" x14ac:dyDescent="0.35">
      <c r="H34748" s="676"/>
      <c r="I34748" s="676"/>
      <c r="J34748" s="770"/>
    </row>
    <row r="34749" spans="8:10" x14ac:dyDescent="0.35">
      <c r="H34749" s="676"/>
      <c r="I34749" s="676"/>
      <c r="J34749" s="770"/>
    </row>
    <row r="34750" spans="8:10" x14ac:dyDescent="0.35">
      <c r="H34750" s="676"/>
      <c r="I34750" s="676"/>
      <c r="J34750" s="770"/>
    </row>
    <row r="34751" spans="8:10" x14ac:dyDescent="0.35">
      <c r="H34751" s="676"/>
      <c r="I34751" s="676"/>
      <c r="J34751" s="770"/>
    </row>
    <row r="34752" spans="8:10" x14ac:dyDescent="0.35">
      <c r="H34752" s="676"/>
      <c r="I34752" s="676"/>
      <c r="J34752" s="770"/>
    </row>
    <row r="34753" spans="8:10" x14ac:dyDescent="0.35">
      <c r="H34753" s="676"/>
      <c r="I34753" s="676"/>
      <c r="J34753" s="770"/>
    </row>
    <row r="34754" spans="8:10" x14ac:dyDescent="0.35">
      <c r="H34754" s="676"/>
      <c r="I34754" s="676"/>
      <c r="J34754" s="770"/>
    </row>
    <row r="34755" spans="8:10" x14ac:dyDescent="0.35">
      <c r="H34755" s="676"/>
      <c r="I34755" s="676"/>
      <c r="J34755" s="770"/>
    </row>
    <row r="34756" spans="8:10" x14ac:dyDescent="0.35">
      <c r="H34756" s="676"/>
      <c r="I34756" s="676"/>
      <c r="J34756" s="770"/>
    </row>
    <row r="34757" spans="8:10" x14ac:dyDescent="0.35">
      <c r="H34757" s="676"/>
      <c r="I34757" s="676"/>
      <c r="J34757" s="770"/>
    </row>
    <row r="34758" spans="8:10" x14ac:dyDescent="0.35">
      <c r="H34758" s="676"/>
      <c r="I34758" s="676"/>
      <c r="J34758" s="770"/>
    </row>
    <row r="34759" spans="8:10" x14ac:dyDescent="0.35">
      <c r="H34759" s="676"/>
      <c r="I34759" s="676"/>
      <c r="J34759" s="770"/>
    </row>
    <row r="34760" spans="8:10" x14ac:dyDescent="0.35">
      <c r="H34760" s="676"/>
      <c r="I34760" s="676"/>
      <c r="J34760" s="770"/>
    </row>
    <row r="34761" spans="8:10" x14ac:dyDescent="0.35">
      <c r="H34761" s="676"/>
      <c r="I34761" s="676"/>
      <c r="J34761" s="770"/>
    </row>
    <row r="34762" spans="8:10" x14ac:dyDescent="0.35">
      <c r="H34762" s="676"/>
      <c r="I34762" s="676"/>
      <c r="J34762" s="770"/>
    </row>
    <row r="34763" spans="8:10" x14ac:dyDescent="0.35">
      <c r="H34763" s="676"/>
      <c r="I34763" s="676"/>
      <c r="J34763" s="770"/>
    </row>
    <row r="34764" spans="8:10" x14ac:dyDescent="0.35">
      <c r="H34764" s="676"/>
      <c r="I34764" s="676"/>
      <c r="J34764" s="770"/>
    </row>
    <row r="34765" spans="8:10" x14ac:dyDescent="0.35">
      <c r="H34765" s="676"/>
      <c r="I34765" s="676"/>
      <c r="J34765" s="770"/>
    </row>
    <row r="34766" spans="8:10" x14ac:dyDescent="0.35">
      <c r="H34766" s="676"/>
      <c r="I34766" s="676"/>
      <c r="J34766" s="770"/>
    </row>
    <row r="34767" spans="8:10" x14ac:dyDescent="0.35">
      <c r="H34767" s="676"/>
      <c r="I34767" s="676"/>
      <c r="J34767" s="770"/>
    </row>
    <row r="34768" spans="8:10" x14ac:dyDescent="0.35">
      <c r="H34768" s="676"/>
      <c r="I34768" s="676"/>
      <c r="J34768" s="770"/>
    </row>
    <row r="34769" spans="8:10" x14ac:dyDescent="0.35">
      <c r="H34769" s="676"/>
      <c r="I34769" s="676"/>
      <c r="J34769" s="770"/>
    </row>
    <row r="34770" spans="8:10" x14ac:dyDescent="0.35">
      <c r="H34770" s="676"/>
      <c r="I34770" s="676"/>
      <c r="J34770" s="770"/>
    </row>
    <row r="34771" spans="8:10" x14ac:dyDescent="0.35">
      <c r="H34771" s="676"/>
      <c r="I34771" s="676"/>
      <c r="J34771" s="770"/>
    </row>
    <row r="34772" spans="8:10" x14ac:dyDescent="0.35">
      <c r="H34772" s="676"/>
      <c r="I34772" s="676"/>
      <c r="J34772" s="770"/>
    </row>
    <row r="34773" spans="8:10" x14ac:dyDescent="0.35">
      <c r="H34773" s="676"/>
      <c r="I34773" s="676"/>
      <c r="J34773" s="770"/>
    </row>
    <row r="34774" spans="8:10" x14ac:dyDescent="0.35">
      <c r="H34774" s="676"/>
      <c r="I34774" s="676"/>
      <c r="J34774" s="770"/>
    </row>
    <row r="34775" spans="8:10" x14ac:dyDescent="0.35">
      <c r="H34775" s="676"/>
      <c r="I34775" s="676"/>
      <c r="J34775" s="770"/>
    </row>
    <row r="34776" spans="8:10" x14ac:dyDescent="0.35">
      <c r="H34776" s="676"/>
      <c r="I34776" s="676"/>
      <c r="J34776" s="770"/>
    </row>
    <row r="34777" spans="8:10" x14ac:dyDescent="0.35">
      <c r="H34777" s="676"/>
      <c r="I34777" s="676"/>
      <c r="J34777" s="770"/>
    </row>
    <row r="34778" spans="8:10" x14ac:dyDescent="0.35">
      <c r="H34778" s="676"/>
      <c r="I34778" s="676"/>
      <c r="J34778" s="770"/>
    </row>
    <row r="34779" spans="8:10" x14ac:dyDescent="0.35">
      <c r="H34779" s="676"/>
      <c r="I34779" s="676"/>
      <c r="J34779" s="770"/>
    </row>
    <row r="34780" spans="8:10" x14ac:dyDescent="0.35">
      <c r="H34780" s="676"/>
      <c r="I34780" s="676"/>
      <c r="J34780" s="770"/>
    </row>
    <row r="34781" spans="8:10" x14ac:dyDescent="0.35">
      <c r="H34781" s="676"/>
      <c r="I34781" s="676"/>
      <c r="J34781" s="770"/>
    </row>
    <row r="34782" spans="8:10" x14ac:dyDescent="0.35">
      <c r="H34782" s="676"/>
      <c r="I34782" s="676"/>
      <c r="J34782" s="770"/>
    </row>
    <row r="34783" spans="8:10" x14ac:dyDescent="0.35">
      <c r="H34783" s="676"/>
      <c r="I34783" s="676"/>
      <c r="J34783" s="770"/>
    </row>
    <row r="34784" spans="8:10" x14ac:dyDescent="0.35">
      <c r="H34784" s="676"/>
      <c r="I34784" s="676"/>
      <c r="J34784" s="770"/>
    </row>
    <row r="34785" spans="8:10" x14ac:dyDescent="0.35">
      <c r="H34785" s="676"/>
      <c r="I34785" s="676"/>
      <c r="J34785" s="770"/>
    </row>
    <row r="34786" spans="8:10" x14ac:dyDescent="0.35">
      <c r="H34786" s="676"/>
      <c r="I34786" s="676"/>
      <c r="J34786" s="770"/>
    </row>
    <row r="34787" spans="8:10" x14ac:dyDescent="0.35">
      <c r="H34787" s="676"/>
      <c r="I34787" s="676"/>
      <c r="J34787" s="770"/>
    </row>
    <row r="34788" spans="8:10" x14ac:dyDescent="0.35">
      <c r="H34788" s="676"/>
      <c r="I34788" s="676"/>
      <c r="J34788" s="770"/>
    </row>
    <row r="34789" spans="8:10" x14ac:dyDescent="0.35">
      <c r="H34789" s="676"/>
      <c r="I34789" s="676"/>
      <c r="J34789" s="770"/>
    </row>
    <row r="34790" spans="8:10" x14ac:dyDescent="0.35">
      <c r="H34790" s="676"/>
      <c r="I34790" s="676"/>
      <c r="J34790" s="770"/>
    </row>
    <row r="34791" spans="8:10" x14ac:dyDescent="0.35">
      <c r="H34791" s="676"/>
      <c r="I34791" s="676"/>
      <c r="J34791" s="770"/>
    </row>
    <row r="34792" spans="8:10" x14ac:dyDescent="0.35">
      <c r="H34792" s="676"/>
      <c r="I34792" s="676"/>
      <c r="J34792" s="770"/>
    </row>
    <row r="34793" spans="8:10" x14ac:dyDescent="0.35">
      <c r="H34793" s="676"/>
      <c r="I34793" s="676"/>
      <c r="J34793" s="770"/>
    </row>
    <row r="34794" spans="8:10" x14ac:dyDescent="0.35">
      <c r="H34794" s="676"/>
      <c r="I34794" s="676"/>
      <c r="J34794" s="770"/>
    </row>
    <row r="34795" spans="8:10" x14ac:dyDescent="0.35">
      <c r="H34795" s="676"/>
      <c r="I34795" s="676"/>
      <c r="J34795" s="770"/>
    </row>
    <row r="34796" spans="8:10" x14ac:dyDescent="0.35">
      <c r="H34796" s="676"/>
      <c r="I34796" s="676"/>
      <c r="J34796" s="770"/>
    </row>
    <row r="34797" spans="8:10" x14ac:dyDescent="0.35">
      <c r="H34797" s="676"/>
      <c r="I34797" s="676"/>
      <c r="J34797" s="770"/>
    </row>
    <row r="34798" spans="8:10" x14ac:dyDescent="0.35">
      <c r="H34798" s="676"/>
      <c r="I34798" s="676"/>
      <c r="J34798" s="770"/>
    </row>
    <row r="34799" spans="8:10" x14ac:dyDescent="0.35">
      <c r="H34799" s="676"/>
      <c r="I34799" s="676"/>
      <c r="J34799" s="770"/>
    </row>
    <row r="34800" spans="8:10" x14ac:dyDescent="0.35">
      <c r="H34800" s="676"/>
      <c r="I34800" s="676"/>
      <c r="J34800" s="770"/>
    </row>
    <row r="34801" spans="8:10" x14ac:dyDescent="0.35">
      <c r="H34801" s="676"/>
      <c r="I34801" s="676"/>
      <c r="J34801" s="770"/>
    </row>
    <row r="34802" spans="8:10" x14ac:dyDescent="0.35">
      <c r="H34802" s="676"/>
      <c r="I34802" s="676"/>
      <c r="J34802" s="770"/>
    </row>
    <row r="34803" spans="8:10" x14ac:dyDescent="0.35">
      <c r="H34803" s="676"/>
      <c r="I34803" s="676"/>
      <c r="J34803" s="770"/>
    </row>
    <row r="34804" spans="8:10" x14ac:dyDescent="0.35">
      <c r="H34804" s="676"/>
      <c r="I34804" s="676"/>
      <c r="J34804" s="770"/>
    </row>
    <row r="34805" spans="8:10" x14ac:dyDescent="0.35">
      <c r="H34805" s="676"/>
      <c r="I34805" s="676"/>
      <c r="J34805" s="770"/>
    </row>
    <row r="34806" spans="8:10" x14ac:dyDescent="0.35">
      <c r="H34806" s="676"/>
      <c r="I34806" s="676"/>
      <c r="J34806" s="770"/>
    </row>
    <row r="34807" spans="8:10" x14ac:dyDescent="0.35">
      <c r="H34807" s="676"/>
      <c r="I34807" s="676"/>
      <c r="J34807" s="770"/>
    </row>
    <row r="34808" spans="8:10" x14ac:dyDescent="0.35">
      <c r="H34808" s="676"/>
      <c r="I34808" s="676"/>
      <c r="J34808" s="770"/>
    </row>
    <row r="34809" spans="8:10" x14ac:dyDescent="0.35">
      <c r="H34809" s="676"/>
      <c r="I34809" s="676"/>
      <c r="J34809" s="770"/>
    </row>
    <row r="34810" spans="8:10" x14ac:dyDescent="0.35">
      <c r="H34810" s="676"/>
      <c r="I34810" s="676"/>
      <c r="J34810" s="770"/>
    </row>
    <row r="34811" spans="8:10" x14ac:dyDescent="0.35">
      <c r="H34811" s="676"/>
      <c r="I34811" s="676"/>
      <c r="J34811" s="770"/>
    </row>
    <row r="34812" spans="8:10" x14ac:dyDescent="0.35">
      <c r="H34812" s="676"/>
      <c r="I34812" s="676"/>
      <c r="J34812" s="770"/>
    </row>
    <row r="34813" spans="8:10" x14ac:dyDescent="0.35">
      <c r="H34813" s="676"/>
      <c r="I34813" s="676"/>
      <c r="J34813" s="770"/>
    </row>
    <row r="34814" spans="8:10" x14ac:dyDescent="0.35">
      <c r="H34814" s="676"/>
      <c r="I34814" s="676"/>
      <c r="J34814" s="770"/>
    </row>
    <row r="34815" spans="8:10" x14ac:dyDescent="0.35">
      <c r="H34815" s="676"/>
      <c r="I34815" s="676"/>
      <c r="J34815" s="770"/>
    </row>
    <row r="34816" spans="8:10" x14ac:dyDescent="0.35">
      <c r="H34816" s="676"/>
      <c r="I34816" s="676"/>
      <c r="J34816" s="770"/>
    </row>
    <row r="34817" spans="8:10" x14ac:dyDescent="0.35">
      <c r="H34817" s="676"/>
      <c r="I34817" s="676"/>
      <c r="J34817" s="770"/>
    </row>
    <row r="34818" spans="8:10" x14ac:dyDescent="0.35">
      <c r="H34818" s="676"/>
      <c r="I34818" s="676"/>
      <c r="J34818" s="770"/>
    </row>
    <row r="34819" spans="8:10" x14ac:dyDescent="0.35">
      <c r="H34819" s="676"/>
      <c r="I34819" s="676"/>
      <c r="J34819" s="770"/>
    </row>
    <row r="34820" spans="8:10" x14ac:dyDescent="0.35">
      <c r="H34820" s="676"/>
      <c r="I34820" s="676"/>
      <c r="J34820" s="770"/>
    </row>
    <row r="34821" spans="8:10" x14ac:dyDescent="0.35">
      <c r="H34821" s="676"/>
      <c r="I34821" s="676"/>
      <c r="J34821" s="770"/>
    </row>
    <row r="34822" spans="8:10" x14ac:dyDescent="0.35">
      <c r="H34822" s="676"/>
      <c r="I34822" s="676"/>
      <c r="J34822" s="770"/>
    </row>
    <row r="34823" spans="8:10" x14ac:dyDescent="0.35">
      <c r="H34823" s="676"/>
      <c r="I34823" s="676"/>
      <c r="J34823" s="770"/>
    </row>
    <row r="34824" spans="8:10" x14ac:dyDescent="0.35">
      <c r="H34824" s="676"/>
      <c r="I34824" s="676"/>
      <c r="J34824" s="770"/>
    </row>
    <row r="34825" spans="8:10" x14ac:dyDescent="0.35">
      <c r="H34825" s="676"/>
      <c r="I34825" s="676"/>
      <c r="J34825" s="770"/>
    </row>
    <row r="34826" spans="8:10" x14ac:dyDescent="0.35">
      <c r="H34826" s="676"/>
      <c r="I34826" s="676"/>
      <c r="J34826" s="770"/>
    </row>
    <row r="34827" spans="8:10" x14ac:dyDescent="0.35">
      <c r="H34827" s="676"/>
      <c r="I34827" s="676"/>
      <c r="J34827" s="770"/>
    </row>
    <row r="34828" spans="8:10" x14ac:dyDescent="0.35">
      <c r="H34828" s="676"/>
      <c r="I34828" s="676"/>
      <c r="J34828" s="770"/>
    </row>
    <row r="34829" spans="8:10" x14ac:dyDescent="0.35">
      <c r="H34829" s="676"/>
      <c r="I34829" s="676"/>
      <c r="J34829" s="770"/>
    </row>
    <row r="34830" spans="8:10" x14ac:dyDescent="0.35">
      <c r="H34830" s="676"/>
      <c r="I34830" s="676"/>
      <c r="J34830" s="770"/>
    </row>
    <row r="34831" spans="8:10" x14ac:dyDescent="0.35">
      <c r="H34831" s="676"/>
      <c r="I34831" s="676"/>
      <c r="J34831" s="770"/>
    </row>
    <row r="34832" spans="8:10" x14ac:dyDescent="0.35">
      <c r="H34832" s="676"/>
      <c r="I34832" s="676"/>
      <c r="J34832" s="770"/>
    </row>
    <row r="34833" spans="8:10" x14ac:dyDescent="0.35">
      <c r="H34833" s="676"/>
      <c r="I34833" s="676"/>
      <c r="J34833" s="770"/>
    </row>
    <row r="34834" spans="8:10" x14ac:dyDescent="0.35">
      <c r="H34834" s="676"/>
      <c r="I34834" s="676"/>
      <c r="J34834" s="770"/>
    </row>
    <row r="34835" spans="8:10" x14ac:dyDescent="0.35">
      <c r="H34835" s="676"/>
      <c r="I34835" s="676"/>
      <c r="J34835" s="770"/>
    </row>
    <row r="34836" spans="8:10" x14ac:dyDescent="0.35">
      <c r="H34836" s="676"/>
      <c r="I34836" s="676"/>
      <c r="J34836" s="770"/>
    </row>
    <row r="34837" spans="8:10" x14ac:dyDescent="0.35">
      <c r="H34837" s="676"/>
      <c r="I34837" s="676"/>
      <c r="J34837" s="770"/>
    </row>
    <row r="34838" spans="8:10" x14ac:dyDescent="0.35">
      <c r="H34838" s="676"/>
      <c r="I34838" s="676"/>
      <c r="J34838" s="770"/>
    </row>
    <row r="34839" spans="8:10" x14ac:dyDescent="0.35">
      <c r="H34839" s="676"/>
      <c r="I34839" s="676"/>
      <c r="J34839" s="770"/>
    </row>
    <row r="34840" spans="8:10" x14ac:dyDescent="0.35">
      <c r="H34840" s="676"/>
      <c r="I34840" s="676"/>
      <c r="J34840" s="770"/>
    </row>
    <row r="34841" spans="8:10" x14ac:dyDescent="0.35">
      <c r="H34841" s="676"/>
      <c r="I34841" s="676"/>
      <c r="J34841" s="770"/>
    </row>
    <row r="34842" spans="8:10" x14ac:dyDescent="0.35">
      <c r="H34842" s="676"/>
      <c r="I34842" s="676"/>
      <c r="J34842" s="770"/>
    </row>
    <row r="34843" spans="8:10" x14ac:dyDescent="0.35">
      <c r="H34843" s="676"/>
      <c r="I34843" s="676"/>
      <c r="J34843" s="770"/>
    </row>
    <row r="34844" spans="8:10" x14ac:dyDescent="0.35">
      <c r="H34844" s="676"/>
      <c r="I34844" s="676"/>
      <c r="J34844" s="770"/>
    </row>
    <row r="34845" spans="8:10" x14ac:dyDescent="0.35">
      <c r="H34845" s="676"/>
      <c r="I34845" s="676"/>
      <c r="J34845" s="770"/>
    </row>
    <row r="34846" spans="8:10" x14ac:dyDescent="0.35">
      <c r="H34846" s="676"/>
      <c r="I34846" s="676"/>
      <c r="J34846" s="770"/>
    </row>
    <row r="34847" spans="8:10" x14ac:dyDescent="0.35">
      <c r="H34847" s="676"/>
      <c r="I34847" s="676"/>
      <c r="J34847" s="770"/>
    </row>
    <row r="34848" spans="8:10" x14ac:dyDescent="0.35">
      <c r="H34848" s="676"/>
      <c r="I34848" s="676"/>
      <c r="J34848" s="770"/>
    </row>
    <row r="34849" spans="8:10" x14ac:dyDescent="0.35">
      <c r="H34849" s="676"/>
      <c r="I34849" s="676"/>
      <c r="J34849" s="770"/>
    </row>
    <row r="34850" spans="8:10" x14ac:dyDescent="0.35">
      <c r="H34850" s="676"/>
      <c r="I34850" s="676"/>
      <c r="J34850" s="770"/>
    </row>
    <row r="34851" spans="8:10" x14ac:dyDescent="0.35">
      <c r="H34851" s="676"/>
      <c r="I34851" s="676"/>
      <c r="J34851" s="770"/>
    </row>
    <row r="34852" spans="8:10" x14ac:dyDescent="0.35">
      <c r="H34852" s="676"/>
      <c r="I34852" s="676"/>
      <c r="J34852" s="770"/>
    </row>
    <row r="34853" spans="8:10" x14ac:dyDescent="0.35">
      <c r="H34853" s="676"/>
      <c r="I34853" s="676"/>
      <c r="J34853" s="770"/>
    </row>
    <row r="34854" spans="8:10" x14ac:dyDescent="0.35">
      <c r="H34854" s="676"/>
      <c r="I34854" s="676"/>
      <c r="J34854" s="770"/>
    </row>
    <row r="34855" spans="8:10" x14ac:dyDescent="0.35">
      <c r="H34855" s="676"/>
      <c r="I34855" s="676"/>
      <c r="J34855" s="770"/>
    </row>
    <row r="34856" spans="8:10" x14ac:dyDescent="0.35">
      <c r="H34856" s="676"/>
      <c r="I34856" s="676"/>
      <c r="J34856" s="770"/>
    </row>
    <row r="34857" spans="8:10" x14ac:dyDescent="0.35">
      <c r="H34857" s="676"/>
      <c r="I34857" s="676"/>
      <c r="J34857" s="770"/>
    </row>
    <row r="34858" spans="8:10" x14ac:dyDescent="0.35">
      <c r="H34858" s="676"/>
      <c r="I34858" s="676"/>
      <c r="J34858" s="770"/>
    </row>
    <row r="34859" spans="8:10" x14ac:dyDescent="0.35">
      <c r="H34859" s="676"/>
      <c r="I34859" s="676"/>
      <c r="J34859" s="770"/>
    </row>
    <row r="34860" spans="8:10" x14ac:dyDescent="0.35">
      <c r="H34860" s="676"/>
      <c r="I34860" s="676"/>
      <c r="J34860" s="770"/>
    </row>
    <row r="34861" spans="8:10" x14ac:dyDescent="0.35">
      <c r="H34861" s="676"/>
      <c r="I34861" s="676"/>
      <c r="J34861" s="770"/>
    </row>
    <row r="34862" spans="8:10" x14ac:dyDescent="0.35">
      <c r="H34862" s="676"/>
      <c r="I34862" s="676"/>
      <c r="J34862" s="770"/>
    </row>
    <row r="34863" spans="8:10" x14ac:dyDescent="0.35">
      <c r="H34863" s="676"/>
      <c r="I34863" s="676"/>
      <c r="J34863" s="770"/>
    </row>
    <row r="34864" spans="8:10" x14ac:dyDescent="0.35">
      <c r="H34864" s="676"/>
      <c r="I34864" s="676"/>
      <c r="J34864" s="770"/>
    </row>
    <row r="34865" spans="8:10" x14ac:dyDescent="0.35">
      <c r="H34865" s="676"/>
      <c r="I34865" s="676"/>
      <c r="J34865" s="770"/>
    </row>
    <row r="34866" spans="8:10" x14ac:dyDescent="0.35">
      <c r="H34866" s="676"/>
      <c r="I34866" s="676"/>
      <c r="J34866" s="770"/>
    </row>
    <row r="34867" spans="8:10" x14ac:dyDescent="0.35">
      <c r="H34867" s="676"/>
      <c r="I34867" s="676"/>
      <c r="J34867" s="770"/>
    </row>
    <row r="34868" spans="8:10" x14ac:dyDescent="0.35">
      <c r="H34868" s="676"/>
      <c r="I34868" s="676"/>
      <c r="J34868" s="770"/>
    </row>
    <row r="34869" spans="8:10" x14ac:dyDescent="0.35">
      <c r="H34869" s="676"/>
      <c r="I34869" s="676"/>
      <c r="J34869" s="770"/>
    </row>
    <row r="34870" spans="8:10" x14ac:dyDescent="0.35">
      <c r="H34870" s="676"/>
      <c r="I34870" s="676"/>
      <c r="J34870" s="770"/>
    </row>
    <row r="34871" spans="8:10" x14ac:dyDescent="0.35">
      <c r="H34871" s="676"/>
      <c r="I34871" s="676"/>
      <c r="J34871" s="770"/>
    </row>
    <row r="34872" spans="8:10" x14ac:dyDescent="0.35">
      <c r="H34872" s="676"/>
      <c r="I34872" s="676"/>
      <c r="J34872" s="770"/>
    </row>
    <row r="34873" spans="8:10" x14ac:dyDescent="0.35">
      <c r="H34873" s="676"/>
      <c r="I34873" s="676"/>
      <c r="J34873" s="770"/>
    </row>
    <row r="34874" spans="8:10" x14ac:dyDescent="0.35">
      <c r="H34874" s="676"/>
      <c r="I34874" s="676"/>
      <c r="J34874" s="770"/>
    </row>
    <row r="34875" spans="8:10" x14ac:dyDescent="0.35">
      <c r="H34875" s="676"/>
      <c r="I34875" s="676"/>
      <c r="J34875" s="770"/>
    </row>
    <row r="34876" spans="8:10" x14ac:dyDescent="0.35">
      <c r="H34876" s="676"/>
      <c r="I34876" s="676"/>
      <c r="J34876" s="770"/>
    </row>
    <row r="34877" spans="8:10" x14ac:dyDescent="0.35">
      <c r="H34877" s="676"/>
      <c r="I34877" s="676"/>
      <c r="J34877" s="770"/>
    </row>
    <row r="34878" spans="8:10" x14ac:dyDescent="0.35">
      <c r="H34878" s="676"/>
      <c r="I34878" s="676"/>
      <c r="J34878" s="770"/>
    </row>
    <row r="34879" spans="8:10" x14ac:dyDescent="0.35">
      <c r="H34879" s="676"/>
      <c r="I34879" s="676"/>
      <c r="J34879" s="770"/>
    </row>
    <row r="34880" spans="8:10" x14ac:dyDescent="0.35">
      <c r="H34880" s="676"/>
      <c r="I34880" s="676"/>
      <c r="J34880" s="770"/>
    </row>
    <row r="34881" spans="8:10" x14ac:dyDescent="0.35">
      <c r="H34881" s="676"/>
      <c r="I34881" s="676"/>
      <c r="J34881" s="770"/>
    </row>
    <row r="34882" spans="8:10" x14ac:dyDescent="0.35">
      <c r="H34882" s="676"/>
      <c r="I34882" s="676"/>
      <c r="J34882" s="770"/>
    </row>
    <row r="34883" spans="8:10" x14ac:dyDescent="0.35">
      <c r="H34883" s="676"/>
      <c r="I34883" s="676"/>
      <c r="J34883" s="770"/>
    </row>
    <row r="34884" spans="8:10" x14ac:dyDescent="0.35">
      <c r="H34884" s="676"/>
      <c r="I34884" s="676"/>
      <c r="J34884" s="770"/>
    </row>
    <row r="34885" spans="8:10" x14ac:dyDescent="0.35">
      <c r="H34885" s="676"/>
      <c r="I34885" s="676"/>
      <c r="J34885" s="770"/>
    </row>
    <row r="34886" spans="8:10" x14ac:dyDescent="0.35">
      <c r="H34886" s="676"/>
      <c r="I34886" s="676"/>
      <c r="J34886" s="770"/>
    </row>
    <row r="34887" spans="8:10" x14ac:dyDescent="0.35">
      <c r="H34887" s="676"/>
      <c r="I34887" s="676"/>
      <c r="J34887" s="770"/>
    </row>
    <row r="34888" spans="8:10" x14ac:dyDescent="0.35">
      <c r="H34888" s="676"/>
      <c r="I34888" s="676"/>
      <c r="J34888" s="770"/>
    </row>
    <row r="34889" spans="8:10" x14ac:dyDescent="0.35">
      <c r="H34889" s="676"/>
      <c r="I34889" s="676"/>
      <c r="J34889" s="770"/>
    </row>
    <row r="34890" spans="8:10" x14ac:dyDescent="0.35">
      <c r="H34890" s="676"/>
      <c r="I34890" s="676"/>
      <c r="J34890" s="770"/>
    </row>
    <row r="34891" spans="8:10" x14ac:dyDescent="0.35">
      <c r="H34891" s="676"/>
      <c r="I34891" s="676"/>
      <c r="J34891" s="770"/>
    </row>
    <row r="34892" spans="8:10" x14ac:dyDescent="0.35">
      <c r="H34892" s="676"/>
      <c r="I34892" s="676"/>
      <c r="J34892" s="770"/>
    </row>
    <row r="34893" spans="8:10" x14ac:dyDescent="0.35">
      <c r="H34893" s="676"/>
      <c r="I34893" s="676"/>
      <c r="J34893" s="770"/>
    </row>
    <row r="34894" spans="8:10" x14ac:dyDescent="0.35">
      <c r="H34894" s="676"/>
      <c r="I34894" s="676"/>
      <c r="J34894" s="770"/>
    </row>
    <row r="34895" spans="8:10" x14ac:dyDescent="0.35">
      <c r="H34895" s="676"/>
      <c r="I34895" s="676"/>
      <c r="J34895" s="770"/>
    </row>
    <row r="34896" spans="8:10" x14ac:dyDescent="0.35">
      <c r="H34896" s="676"/>
      <c r="I34896" s="676"/>
      <c r="J34896" s="770"/>
    </row>
    <row r="34897" spans="8:10" x14ac:dyDescent="0.35">
      <c r="H34897" s="676"/>
      <c r="I34897" s="676"/>
      <c r="J34897" s="770"/>
    </row>
    <row r="34898" spans="8:10" x14ac:dyDescent="0.35">
      <c r="H34898" s="676"/>
      <c r="I34898" s="676"/>
      <c r="J34898" s="770"/>
    </row>
    <row r="34899" spans="8:10" x14ac:dyDescent="0.35">
      <c r="H34899" s="676"/>
      <c r="I34899" s="676"/>
      <c r="J34899" s="770"/>
    </row>
    <row r="34900" spans="8:10" x14ac:dyDescent="0.35">
      <c r="H34900" s="676"/>
      <c r="I34900" s="676"/>
      <c r="J34900" s="770"/>
    </row>
    <row r="34901" spans="8:10" x14ac:dyDescent="0.35">
      <c r="H34901" s="676"/>
      <c r="I34901" s="676"/>
      <c r="J34901" s="770"/>
    </row>
    <row r="34902" spans="8:10" x14ac:dyDescent="0.35">
      <c r="H34902" s="676"/>
      <c r="I34902" s="676"/>
      <c r="J34902" s="770"/>
    </row>
    <row r="34903" spans="8:10" x14ac:dyDescent="0.35">
      <c r="H34903" s="676"/>
      <c r="I34903" s="676"/>
      <c r="J34903" s="770"/>
    </row>
    <row r="34904" spans="8:10" x14ac:dyDescent="0.35">
      <c r="H34904" s="676"/>
      <c r="I34904" s="676"/>
      <c r="J34904" s="770"/>
    </row>
    <row r="34905" spans="8:10" x14ac:dyDescent="0.35">
      <c r="H34905" s="676"/>
      <c r="I34905" s="676"/>
      <c r="J34905" s="770"/>
    </row>
    <row r="34906" spans="8:10" x14ac:dyDescent="0.35">
      <c r="H34906" s="676"/>
      <c r="I34906" s="676"/>
      <c r="J34906" s="770"/>
    </row>
    <row r="34907" spans="8:10" x14ac:dyDescent="0.35">
      <c r="H34907" s="676"/>
      <c r="I34907" s="676"/>
      <c r="J34907" s="770"/>
    </row>
    <row r="34908" spans="8:10" x14ac:dyDescent="0.35">
      <c r="H34908" s="676"/>
      <c r="I34908" s="676"/>
      <c r="J34908" s="770"/>
    </row>
    <row r="34909" spans="8:10" x14ac:dyDescent="0.35">
      <c r="H34909" s="676"/>
      <c r="I34909" s="676"/>
      <c r="J34909" s="770"/>
    </row>
    <row r="34910" spans="8:10" x14ac:dyDescent="0.35">
      <c r="H34910" s="676"/>
      <c r="I34910" s="676"/>
      <c r="J34910" s="770"/>
    </row>
    <row r="34911" spans="8:10" x14ac:dyDescent="0.35">
      <c r="H34911" s="676"/>
      <c r="I34911" s="676"/>
      <c r="J34911" s="770"/>
    </row>
    <row r="34912" spans="8:10" x14ac:dyDescent="0.35">
      <c r="H34912" s="676"/>
      <c r="I34912" s="676"/>
      <c r="J34912" s="770"/>
    </row>
    <row r="34913" spans="8:10" x14ac:dyDescent="0.35">
      <c r="H34913" s="676"/>
      <c r="I34913" s="676"/>
      <c r="J34913" s="770"/>
    </row>
    <row r="34914" spans="8:10" x14ac:dyDescent="0.35">
      <c r="H34914" s="676"/>
      <c r="I34914" s="676"/>
      <c r="J34914" s="770"/>
    </row>
    <row r="34915" spans="8:10" x14ac:dyDescent="0.35">
      <c r="H34915" s="676"/>
      <c r="I34915" s="676"/>
      <c r="J34915" s="770"/>
    </row>
    <row r="34916" spans="8:10" x14ac:dyDescent="0.35">
      <c r="H34916" s="676"/>
      <c r="I34916" s="676"/>
      <c r="J34916" s="770"/>
    </row>
    <row r="34917" spans="8:10" x14ac:dyDescent="0.35">
      <c r="H34917" s="676"/>
      <c r="I34917" s="676"/>
      <c r="J34917" s="770"/>
    </row>
    <row r="34918" spans="8:10" x14ac:dyDescent="0.35">
      <c r="H34918" s="676"/>
      <c r="I34918" s="676"/>
      <c r="J34918" s="770"/>
    </row>
    <row r="34919" spans="8:10" x14ac:dyDescent="0.35">
      <c r="H34919" s="676"/>
      <c r="I34919" s="676"/>
      <c r="J34919" s="770"/>
    </row>
    <row r="34920" spans="8:10" x14ac:dyDescent="0.35">
      <c r="H34920" s="676"/>
      <c r="I34920" s="676"/>
      <c r="J34920" s="770"/>
    </row>
    <row r="34921" spans="8:10" x14ac:dyDescent="0.35">
      <c r="H34921" s="676"/>
      <c r="I34921" s="676"/>
      <c r="J34921" s="770"/>
    </row>
    <row r="34922" spans="8:10" x14ac:dyDescent="0.35">
      <c r="H34922" s="676"/>
      <c r="I34922" s="676"/>
      <c r="J34922" s="770"/>
    </row>
    <row r="34923" spans="8:10" x14ac:dyDescent="0.35">
      <c r="H34923" s="676"/>
      <c r="I34923" s="676"/>
      <c r="J34923" s="770"/>
    </row>
    <row r="34924" spans="8:10" x14ac:dyDescent="0.35">
      <c r="H34924" s="676"/>
      <c r="I34924" s="676"/>
      <c r="J34924" s="770"/>
    </row>
    <row r="34925" spans="8:10" x14ac:dyDescent="0.35">
      <c r="H34925" s="676"/>
      <c r="I34925" s="676"/>
      <c r="J34925" s="770"/>
    </row>
    <row r="34926" spans="8:10" x14ac:dyDescent="0.35">
      <c r="H34926" s="676"/>
      <c r="I34926" s="676"/>
      <c r="J34926" s="770"/>
    </row>
    <row r="34927" spans="8:10" x14ac:dyDescent="0.35">
      <c r="H34927" s="676"/>
      <c r="I34927" s="676"/>
      <c r="J34927" s="770"/>
    </row>
    <row r="34928" spans="8:10" x14ac:dyDescent="0.35">
      <c r="H34928" s="676"/>
      <c r="I34928" s="676"/>
      <c r="J34928" s="770"/>
    </row>
    <row r="34929" spans="8:10" x14ac:dyDescent="0.35">
      <c r="H34929" s="676"/>
      <c r="I34929" s="676"/>
      <c r="J34929" s="770"/>
    </row>
    <row r="34930" spans="8:10" x14ac:dyDescent="0.35">
      <c r="H34930" s="676"/>
      <c r="I34930" s="676"/>
      <c r="J34930" s="770"/>
    </row>
    <row r="34931" spans="8:10" x14ac:dyDescent="0.35">
      <c r="H34931" s="676"/>
      <c r="I34931" s="676"/>
      <c r="J34931" s="770"/>
    </row>
    <row r="34932" spans="8:10" x14ac:dyDescent="0.35">
      <c r="H34932" s="676"/>
      <c r="I34932" s="676"/>
      <c r="J34932" s="770"/>
    </row>
    <row r="34933" spans="8:10" x14ac:dyDescent="0.35">
      <c r="H34933" s="676"/>
      <c r="I34933" s="676"/>
      <c r="J34933" s="770"/>
    </row>
    <row r="34934" spans="8:10" x14ac:dyDescent="0.35">
      <c r="H34934" s="676"/>
      <c r="I34934" s="676"/>
      <c r="J34934" s="770"/>
    </row>
    <row r="34935" spans="8:10" x14ac:dyDescent="0.35">
      <c r="H34935" s="676"/>
      <c r="I34935" s="676"/>
      <c r="J34935" s="770"/>
    </row>
    <row r="34936" spans="8:10" x14ac:dyDescent="0.35">
      <c r="H34936" s="676"/>
      <c r="I34936" s="676"/>
      <c r="J34936" s="770"/>
    </row>
    <row r="34937" spans="8:10" x14ac:dyDescent="0.35">
      <c r="H34937" s="676"/>
      <c r="I34937" s="676"/>
      <c r="J34937" s="770"/>
    </row>
    <row r="34938" spans="8:10" x14ac:dyDescent="0.35">
      <c r="H34938" s="676"/>
      <c r="I34938" s="676"/>
      <c r="J34938" s="770"/>
    </row>
    <row r="34939" spans="8:10" x14ac:dyDescent="0.35">
      <c r="H34939" s="676"/>
      <c r="I34939" s="676"/>
      <c r="J34939" s="770"/>
    </row>
    <row r="34940" spans="8:10" x14ac:dyDescent="0.35">
      <c r="H34940" s="676"/>
      <c r="I34940" s="676"/>
      <c r="J34940" s="770"/>
    </row>
    <row r="34941" spans="8:10" x14ac:dyDescent="0.35">
      <c r="H34941" s="676"/>
      <c r="I34941" s="676"/>
      <c r="J34941" s="770"/>
    </row>
    <row r="34942" spans="8:10" x14ac:dyDescent="0.35">
      <c r="H34942" s="676"/>
      <c r="I34942" s="676"/>
      <c r="J34942" s="770"/>
    </row>
    <row r="34943" spans="8:10" x14ac:dyDescent="0.35">
      <c r="H34943" s="676"/>
      <c r="I34943" s="676"/>
      <c r="J34943" s="770"/>
    </row>
    <row r="34944" spans="8:10" x14ac:dyDescent="0.35">
      <c r="H34944" s="676"/>
      <c r="I34944" s="676"/>
      <c r="J34944" s="770"/>
    </row>
    <row r="34945" spans="8:10" x14ac:dyDescent="0.35">
      <c r="H34945" s="676"/>
      <c r="I34945" s="676"/>
      <c r="J34945" s="770"/>
    </row>
    <row r="34946" spans="8:10" x14ac:dyDescent="0.35">
      <c r="H34946" s="676"/>
      <c r="I34946" s="676"/>
      <c r="J34946" s="770"/>
    </row>
    <row r="34947" spans="8:10" x14ac:dyDescent="0.35">
      <c r="H34947" s="676"/>
      <c r="I34947" s="676"/>
      <c r="J34947" s="770"/>
    </row>
    <row r="34948" spans="8:10" x14ac:dyDescent="0.35">
      <c r="H34948" s="676"/>
      <c r="I34948" s="676"/>
      <c r="J34948" s="770"/>
    </row>
    <row r="34949" spans="8:10" x14ac:dyDescent="0.35">
      <c r="H34949" s="676"/>
      <c r="I34949" s="676"/>
      <c r="J34949" s="770"/>
    </row>
    <row r="34950" spans="8:10" x14ac:dyDescent="0.35">
      <c r="H34950" s="676"/>
      <c r="I34950" s="676"/>
      <c r="J34950" s="770"/>
    </row>
    <row r="34951" spans="8:10" x14ac:dyDescent="0.35">
      <c r="H34951" s="676"/>
      <c r="I34951" s="676"/>
      <c r="J34951" s="770"/>
    </row>
    <row r="34952" spans="8:10" x14ac:dyDescent="0.35">
      <c r="H34952" s="676"/>
      <c r="I34952" s="676"/>
      <c r="J34952" s="770"/>
    </row>
    <row r="34953" spans="8:10" x14ac:dyDescent="0.35">
      <c r="H34953" s="676"/>
      <c r="I34953" s="676"/>
      <c r="J34953" s="770"/>
    </row>
    <row r="34954" spans="8:10" x14ac:dyDescent="0.35">
      <c r="H34954" s="676"/>
      <c r="I34954" s="676"/>
      <c r="J34954" s="770"/>
    </row>
    <row r="34955" spans="8:10" x14ac:dyDescent="0.35">
      <c r="H34955" s="676"/>
      <c r="I34955" s="676"/>
      <c r="J34955" s="770"/>
    </row>
    <row r="34956" spans="8:10" x14ac:dyDescent="0.35">
      <c r="H34956" s="676"/>
      <c r="I34956" s="676"/>
      <c r="J34956" s="770"/>
    </row>
    <row r="34957" spans="8:10" x14ac:dyDescent="0.35">
      <c r="H34957" s="676"/>
      <c r="I34957" s="676"/>
      <c r="J34957" s="770"/>
    </row>
    <row r="34958" spans="8:10" x14ac:dyDescent="0.35">
      <c r="H34958" s="676"/>
      <c r="I34958" s="676"/>
      <c r="J34958" s="770"/>
    </row>
    <row r="34959" spans="8:10" x14ac:dyDescent="0.35">
      <c r="H34959" s="676"/>
      <c r="I34959" s="676"/>
      <c r="J34959" s="770"/>
    </row>
    <row r="34960" spans="8:10" x14ac:dyDescent="0.35">
      <c r="H34960" s="676"/>
      <c r="I34960" s="676"/>
      <c r="J34960" s="770"/>
    </row>
    <row r="34961" spans="8:10" x14ac:dyDescent="0.35">
      <c r="H34961" s="676"/>
      <c r="I34961" s="676"/>
      <c r="J34961" s="770"/>
    </row>
    <row r="34962" spans="8:10" x14ac:dyDescent="0.35">
      <c r="H34962" s="676"/>
      <c r="I34962" s="676"/>
      <c r="J34962" s="770"/>
    </row>
    <row r="34963" spans="8:10" x14ac:dyDescent="0.35">
      <c r="H34963" s="676"/>
      <c r="I34963" s="676"/>
      <c r="J34963" s="770"/>
    </row>
    <row r="34964" spans="8:10" x14ac:dyDescent="0.35">
      <c r="H34964" s="676"/>
      <c r="I34964" s="676"/>
      <c r="J34964" s="770"/>
    </row>
    <row r="34965" spans="8:10" x14ac:dyDescent="0.35">
      <c r="H34965" s="676"/>
      <c r="I34965" s="676"/>
      <c r="J34965" s="770"/>
    </row>
    <row r="34966" spans="8:10" x14ac:dyDescent="0.35">
      <c r="H34966" s="676"/>
      <c r="I34966" s="676"/>
      <c r="J34966" s="770"/>
    </row>
    <row r="34967" spans="8:10" x14ac:dyDescent="0.35">
      <c r="H34967" s="676"/>
      <c r="I34967" s="676"/>
      <c r="J34967" s="770"/>
    </row>
    <row r="34968" spans="8:10" x14ac:dyDescent="0.35">
      <c r="H34968" s="676"/>
      <c r="I34968" s="676"/>
      <c r="J34968" s="770"/>
    </row>
    <row r="34969" spans="8:10" x14ac:dyDescent="0.35">
      <c r="H34969" s="676"/>
      <c r="I34969" s="676"/>
      <c r="J34969" s="770"/>
    </row>
    <row r="34970" spans="8:10" x14ac:dyDescent="0.35">
      <c r="H34970" s="676"/>
      <c r="I34970" s="676"/>
      <c r="J34970" s="770"/>
    </row>
    <row r="34971" spans="8:10" x14ac:dyDescent="0.35">
      <c r="H34971" s="676"/>
      <c r="I34971" s="676"/>
      <c r="J34971" s="770"/>
    </row>
    <row r="34972" spans="8:10" x14ac:dyDescent="0.35">
      <c r="H34972" s="676"/>
      <c r="I34972" s="676"/>
      <c r="J34972" s="770"/>
    </row>
    <row r="34973" spans="8:10" x14ac:dyDescent="0.35">
      <c r="H34973" s="676"/>
      <c r="I34973" s="676"/>
      <c r="J34973" s="770"/>
    </row>
    <row r="34974" spans="8:10" x14ac:dyDescent="0.35">
      <c r="H34974" s="676"/>
      <c r="I34974" s="676"/>
      <c r="J34974" s="770"/>
    </row>
    <row r="34975" spans="8:10" x14ac:dyDescent="0.35">
      <c r="H34975" s="676"/>
      <c r="I34975" s="676"/>
      <c r="J34975" s="770"/>
    </row>
    <row r="34976" spans="8:10" x14ac:dyDescent="0.35">
      <c r="H34976" s="676"/>
      <c r="I34976" s="676"/>
      <c r="J34976" s="770"/>
    </row>
    <row r="34977" spans="8:10" x14ac:dyDescent="0.35">
      <c r="H34977" s="676"/>
      <c r="I34977" s="676"/>
      <c r="J34977" s="770"/>
    </row>
    <row r="34978" spans="8:10" x14ac:dyDescent="0.35">
      <c r="H34978" s="676"/>
      <c r="I34978" s="676"/>
      <c r="J34978" s="770"/>
    </row>
    <row r="34979" spans="8:10" x14ac:dyDescent="0.35">
      <c r="H34979" s="676"/>
      <c r="I34979" s="676"/>
      <c r="J34979" s="770"/>
    </row>
    <row r="34980" spans="8:10" x14ac:dyDescent="0.35">
      <c r="H34980" s="676"/>
      <c r="I34980" s="676"/>
      <c r="J34980" s="770"/>
    </row>
    <row r="34981" spans="8:10" x14ac:dyDescent="0.35">
      <c r="H34981" s="676"/>
      <c r="I34981" s="676"/>
      <c r="J34981" s="770"/>
    </row>
    <row r="34982" spans="8:10" x14ac:dyDescent="0.35">
      <c r="H34982" s="676"/>
      <c r="I34982" s="676"/>
      <c r="J34982" s="770"/>
    </row>
    <row r="34983" spans="8:10" x14ac:dyDescent="0.35">
      <c r="H34983" s="676"/>
      <c r="I34983" s="676"/>
      <c r="J34983" s="770"/>
    </row>
    <row r="34984" spans="8:10" x14ac:dyDescent="0.35">
      <c r="H34984" s="676"/>
      <c r="I34984" s="676"/>
      <c r="J34984" s="770"/>
    </row>
    <row r="34985" spans="8:10" x14ac:dyDescent="0.35">
      <c r="H34985" s="676"/>
      <c r="I34985" s="676"/>
      <c r="J34985" s="770"/>
    </row>
    <row r="34986" spans="8:10" x14ac:dyDescent="0.35">
      <c r="H34986" s="676"/>
      <c r="I34986" s="676"/>
      <c r="J34986" s="770"/>
    </row>
    <row r="34987" spans="8:10" x14ac:dyDescent="0.35">
      <c r="H34987" s="676"/>
      <c r="I34987" s="676"/>
      <c r="J34987" s="770"/>
    </row>
    <row r="34988" spans="8:10" x14ac:dyDescent="0.35">
      <c r="H34988" s="676"/>
      <c r="I34988" s="676"/>
      <c r="J34988" s="770"/>
    </row>
    <row r="34989" spans="8:10" x14ac:dyDescent="0.35">
      <c r="H34989" s="676"/>
      <c r="I34989" s="676"/>
      <c r="J34989" s="770"/>
    </row>
    <row r="34990" spans="8:10" x14ac:dyDescent="0.35">
      <c r="H34990" s="676"/>
      <c r="I34990" s="676"/>
      <c r="J34990" s="770"/>
    </row>
    <row r="34991" spans="8:10" x14ac:dyDescent="0.35">
      <c r="H34991" s="676"/>
      <c r="I34991" s="676"/>
      <c r="J34991" s="770"/>
    </row>
    <row r="34992" spans="8:10" x14ac:dyDescent="0.35">
      <c r="H34992" s="676"/>
      <c r="I34992" s="676"/>
      <c r="J34992" s="770"/>
    </row>
    <row r="34993" spans="8:10" x14ac:dyDescent="0.35">
      <c r="H34993" s="676"/>
      <c r="I34993" s="676"/>
      <c r="J34993" s="770"/>
    </row>
    <row r="34994" spans="8:10" x14ac:dyDescent="0.35">
      <c r="H34994" s="676"/>
      <c r="I34994" s="676"/>
      <c r="J34994" s="770"/>
    </row>
    <row r="34995" spans="8:10" x14ac:dyDescent="0.35">
      <c r="H34995" s="676"/>
      <c r="I34995" s="676"/>
      <c r="J34995" s="770"/>
    </row>
    <row r="34996" spans="8:10" x14ac:dyDescent="0.35">
      <c r="H34996" s="676"/>
      <c r="I34996" s="676"/>
      <c r="J34996" s="770"/>
    </row>
    <row r="34997" spans="8:10" x14ac:dyDescent="0.35">
      <c r="H34997" s="676"/>
      <c r="I34997" s="676"/>
      <c r="J34997" s="770"/>
    </row>
    <row r="34998" spans="8:10" x14ac:dyDescent="0.35">
      <c r="H34998" s="676"/>
      <c r="I34998" s="676"/>
      <c r="J34998" s="770"/>
    </row>
    <row r="34999" spans="8:10" x14ac:dyDescent="0.35">
      <c r="H34999" s="676"/>
      <c r="I34999" s="676"/>
      <c r="J34999" s="770"/>
    </row>
    <row r="35000" spans="8:10" x14ac:dyDescent="0.35">
      <c r="H35000" s="676"/>
      <c r="I35000" s="676"/>
      <c r="J35000" s="770"/>
    </row>
    <row r="35001" spans="8:10" x14ac:dyDescent="0.35">
      <c r="H35001" s="676"/>
      <c r="I35001" s="676"/>
      <c r="J35001" s="770"/>
    </row>
    <row r="35002" spans="8:10" x14ac:dyDescent="0.35">
      <c r="H35002" s="676"/>
      <c r="I35002" s="676"/>
      <c r="J35002" s="770"/>
    </row>
    <row r="35003" spans="8:10" x14ac:dyDescent="0.35">
      <c r="H35003" s="676"/>
      <c r="I35003" s="676"/>
      <c r="J35003" s="770"/>
    </row>
    <row r="35004" spans="8:10" x14ac:dyDescent="0.35">
      <c r="H35004" s="676"/>
      <c r="I35004" s="676"/>
      <c r="J35004" s="770"/>
    </row>
    <row r="35005" spans="8:10" x14ac:dyDescent="0.35">
      <c r="H35005" s="676"/>
      <c r="I35005" s="676"/>
      <c r="J35005" s="770"/>
    </row>
    <row r="35006" spans="8:10" x14ac:dyDescent="0.35">
      <c r="H35006" s="676"/>
      <c r="I35006" s="676"/>
      <c r="J35006" s="770"/>
    </row>
    <row r="35007" spans="8:10" x14ac:dyDescent="0.35">
      <c r="H35007" s="676"/>
      <c r="I35007" s="676"/>
      <c r="J35007" s="770"/>
    </row>
    <row r="35008" spans="8:10" x14ac:dyDescent="0.35">
      <c r="H35008" s="676"/>
      <c r="I35008" s="676"/>
      <c r="J35008" s="770"/>
    </row>
    <row r="35009" spans="8:10" x14ac:dyDescent="0.35">
      <c r="H35009" s="676"/>
      <c r="I35009" s="676"/>
      <c r="J35009" s="770"/>
    </row>
    <row r="35010" spans="8:10" x14ac:dyDescent="0.35">
      <c r="H35010" s="676"/>
      <c r="I35010" s="676"/>
      <c r="J35010" s="770"/>
    </row>
    <row r="35011" spans="8:10" x14ac:dyDescent="0.35">
      <c r="H35011" s="676"/>
      <c r="I35011" s="676"/>
      <c r="J35011" s="770"/>
    </row>
    <row r="35012" spans="8:10" x14ac:dyDescent="0.35">
      <c r="H35012" s="676"/>
      <c r="I35012" s="676"/>
      <c r="J35012" s="770"/>
    </row>
    <row r="35013" spans="8:10" x14ac:dyDescent="0.35">
      <c r="H35013" s="676"/>
      <c r="I35013" s="676"/>
      <c r="J35013" s="770"/>
    </row>
    <row r="35014" spans="8:10" x14ac:dyDescent="0.35">
      <c r="H35014" s="676"/>
      <c r="I35014" s="676"/>
      <c r="J35014" s="770"/>
    </row>
    <row r="35015" spans="8:10" x14ac:dyDescent="0.35">
      <c r="H35015" s="676"/>
      <c r="I35015" s="676"/>
      <c r="J35015" s="770"/>
    </row>
    <row r="35016" spans="8:10" x14ac:dyDescent="0.35">
      <c r="H35016" s="676"/>
      <c r="I35016" s="676"/>
      <c r="J35016" s="770"/>
    </row>
    <row r="35017" spans="8:10" x14ac:dyDescent="0.35">
      <c r="H35017" s="676"/>
      <c r="I35017" s="676"/>
      <c r="J35017" s="770"/>
    </row>
    <row r="35018" spans="8:10" x14ac:dyDescent="0.35">
      <c r="H35018" s="676"/>
      <c r="I35018" s="676"/>
      <c r="J35018" s="770"/>
    </row>
    <row r="35019" spans="8:10" x14ac:dyDescent="0.35">
      <c r="H35019" s="676"/>
      <c r="I35019" s="676"/>
      <c r="J35019" s="770"/>
    </row>
    <row r="35020" spans="8:10" x14ac:dyDescent="0.35">
      <c r="H35020" s="676"/>
      <c r="I35020" s="676"/>
      <c r="J35020" s="770"/>
    </row>
    <row r="35021" spans="8:10" x14ac:dyDescent="0.35">
      <c r="H35021" s="676"/>
      <c r="I35021" s="676"/>
      <c r="J35021" s="770"/>
    </row>
    <row r="35022" spans="8:10" x14ac:dyDescent="0.35">
      <c r="H35022" s="676"/>
      <c r="I35022" s="676"/>
      <c r="J35022" s="770"/>
    </row>
    <row r="35023" spans="8:10" x14ac:dyDescent="0.35">
      <c r="H35023" s="676"/>
      <c r="I35023" s="676"/>
      <c r="J35023" s="770"/>
    </row>
    <row r="35024" spans="8:10" x14ac:dyDescent="0.35">
      <c r="H35024" s="676"/>
      <c r="I35024" s="676"/>
      <c r="J35024" s="770"/>
    </row>
    <row r="35025" spans="8:10" x14ac:dyDescent="0.35">
      <c r="H35025" s="676"/>
      <c r="I35025" s="676"/>
      <c r="J35025" s="770"/>
    </row>
    <row r="35026" spans="8:10" x14ac:dyDescent="0.35">
      <c r="H35026" s="676"/>
      <c r="I35026" s="676"/>
      <c r="J35026" s="770"/>
    </row>
    <row r="35027" spans="8:10" x14ac:dyDescent="0.35">
      <c r="H35027" s="676"/>
      <c r="I35027" s="676"/>
      <c r="J35027" s="770"/>
    </row>
    <row r="35028" spans="8:10" x14ac:dyDescent="0.35">
      <c r="H35028" s="676"/>
      <c r="I35028" s="676"/>
      <c r="J35028" s="770"/>
    </row>
    <row r="35029" spans="8:10" x14ac:dyDescent="0.35">
      <c r="H35029" s="676"/>
      <c r="I35029" s="676"/>
      <c r="J35029" s="770"/>
    </row>
    <row r="35030" spans="8:10" x14ac:dyDescent="0.35">
      <c r="H35030" s="676"/>
      <c r="I35030" s="676"/>
      <c r="J35030" s="770"/>
    </row>
    <row r="35031" spans="8:10" x14ac:dyDescent="0.35">
      <c r="H35031" s="676"/>
      <c r="I35031" s="676"/>
      <c r="J35031" s="770"/>
    </row>
    <row r="35032" spans="8:10" x14ac:dyDescent="0.35">
      <c r="H35032" s="676"/>
      <c r="I35032" s="676"/>
      <c r="J35032" s="770"/>
    </row>
    <row r="35033" spans="8:10" x14ac:dyDescent="0.35">
      <c r="H35033" s="676"/>
      <c r="I35033" s="676"/>
      <c r="J35033" s="770"/>
    </row>
    <row r="35034" spans="8:10" x14ac:dyDescent="0.35">
      <c r="H35034" s="676"/>
      <c r="I35034" s="676"/>
      <c r="J35034" s="770"/>
    </row>
    <row r="35035" spans="8:10" x14ac:dyDescent="0.35">
      <c r="H35035" s="676"/>
      <c r="I35035" s="676"/>
      <c r="J35035" s="770"/>
    </row>
    <row r="35036" spans="8:10" x14ac:dyDescent="0.35">
      <c r="H35036" s="676"/>
      <c r="I35036" s="676"/>
      <c r="J35036" s="770"/>
    </row>
    <row r="35037" spans="8:10" x14ac:dyDescent="0.35">
      <c r="H35037" s="676"/>
      <c r="I35037" s="676"/>
      <c r="J35037" s="770"/>
    </row>
    <row r="35038" spans="8:10" x14ac:dyDescent="0.35">
      <c r="H35038" s="676"/>
      <c r="I35038" s="676"/>
      <c r="J35038" s="770"/>
    </row>
    <row r="35039" spans="8:10" x14ac:dyDescent="0.35">
      <c r="H35039" s="676"/>
      <c r="I35039" s="676"/>
      <c r="J35039" s="770"/>
    </row>
    <row r="35040" spans="8:10" x14ac:dyDescent="0.35">
      <c r="H35040" s="676"/>
      <c r="I35040" s="676"/>
      <c r="J35040" s="770"/>
    </row>
    <row r="35041" spans="8:10" x14ac:dyDescent="0.35">
      <c r="H35041" s="676"/>
      <c r="I35041" s="676"/>
      <c r="J35041" s="770"/>
    </row>
    <row r="35042" spans="8:10" x14ac:dyDescent="0.35">
      <c r="H35042" s="676"/>
      <c r="I35042" s="676"/>
      <c r="J35042" s="770"/>
    </row>
    <row r="35043" spans="8:10" x14ac:dyDescent="0.35">
      <c r="H35043" s="676"/>
      <c r="I35043" s="676"/>
      <c r="J35043" s="770"/>
    </row>
    <row r="35044" spans="8:10" x14ac:dyDescent="0.35">
      <c r="H35044" s="676"/>
      <c r="I35044" s="676"/>
      <c r="J35044" s="770"/>
    </row>
    <row r="35045" spans="8:10" x14ac:dyDescent="0.35">
      <c r="H35045" s="676"/>
      <c r="I35045" s="676"/>
      <c r="J35045" s="770"/>
    </row>
    <row r="35046" spans="8:10" x14ac:dyDescent="0.35">
      <c r="H35046" s="676"/>
      <c r="I35046" s="676"/>
      <c r="J35046" s="770"/>
    </row>
    <row r="35047" spans="8:10" x14ac:dyDescent="0.35">
      <c r="H35047" s="676"/>
      <c r="I35047" s="676"/>
      <c r="J35047" s="770"/>
    </row>
    <row r="35048" spans="8:10" x14ac:dyDescent="0.35">
      <c r="H35048" s="676"/>
      <c r="I35048" s="676"/>
      <c r="J35048" s="770"/>
    </row>
    <row r="35049" spans="8:10" x14ac:dyDescent="0.35">
      <c r="H35049" s="676"/>
      <c r="I35049" s="676"/>
      <c r="J35049" s="770"/>
    </row>
    <row r="35050" spans="8:10" x14ac:dyDescent="0.35">
      <c r="H35050" s="676"/>
      <c r="I35050" s="676"/>
      <c r="J35050" s="770"/>
    </row>
    <row r="35051" spans="8:10" x14ac:dyDescent="0.35">
      <c r="H35051" s="676"/>
      <c r="I35051" s="676"/>
      <c r="J35051" s="770"/>
    </row>
    <row r="35052" spans="8:10" x14ac:dyDescent="0.35">
      <c r="H35052" s="676"/>
      <c r="I35052" s="676"/>
      <c r="J35052" s="770"/>
    </row>
    <row r="35053" spans="8:10" x14ac:dyDescent="0.35">
      <c r="H35053" s="676"/>
      <c r="I35053" s="676"/>
      <c r="J35053" s="770"/>
    </row>
    <row r="35054" spans="8:10" x14ac:dyDescent="0.35">
      <c r="H35054" s="676"/>
      <c r="I35054" s="676"/>
      <c r="J35054" s="770"/>
    </row>
    <row r="35055" spans="8:10" x14ac:dyDescent="0.35">
      <c r="H35055" s="676"/>
      <c r="I35055" s="676"/>
      <c r="J35055" s="770"/>
    </row>
    <row r="35056" spans="8:10" x14ac:dyDescent="0.35">
      <c r="H35056" s="676"/>
      <c r="I35056" s="676"/>
      <c r="J35056" s="770"/>
    </row>
    <row r="35057" spans="8:10" x14ac:dyDescent="0.35">
      <c r="H35057" s="676"/>
      <c r="I35057" s="676"/>
      <c r="J35057" s="770"/>
    </row>
    <row r="35058" spans="8:10" x14ac:dyDescent="0.35">
      <c r="H35058" s="676"/>
      <c r="I35058" s="676"/>
      <c r="J35058" s="770"/>
    </row>
    <row r="35059" spans="8:10" x14ac:dyDescent="0.35">
      <c r="H35059" s="676"/>
      <c r="I35059" s="676"/>
      <c r="J35059" s="770"/>
    </row>
    <row r="35060" spans="8:10" x14ac:dyDescent="0.35">
      <c r="H35060" s="676"/>
      <c r="I35060" s="676"/>
      <c r="J35060" s="770"/>
    </row>
    <row r="35061" spans="8:10" x14ac:dyDescent="0.35">
      <c r="H35061" s="676"/>
      <c r="I35061" s="676"/>
      <c r="J35061" s="770"/>
    </row>
    <row r="35062" spans="8:10" x14ac:dyDescent="0.35">
      <c r="H35062" s="676"/>
      <c r="I35062" s="676"/>
      <c r="J35062" s="770"/>
    </row>
    <row r="35063" spans="8:10" x14ac:dyDescent="0.35">
      <c r="H35063" s="676"/>
      <c r="I35063" s="676"/>
      <c r="J35063" s="770"/>
    </row>
    <row r="35064" spans="8:10" x14ac:dyDescent="0.35">
      <c r="H35064" s="676"/>
      <c r="I35064" s="676"/>
      <c r="J35064" s="770"/>
    </row>
    <row r="35065" spans="8:10" x14ac:dyDescent="0.35">
      <c r="H35065" s="676"/>
      <c r="I35065" s="676"/>
      <c r="J35065" s="770"/>
    </row>
    <row r="35066" spans="8:10" x14ac:dyDescent="0.35">
      <c r="H35066" s="676"/>
      <c r="I35066" s="676"/>
      <c r="J35066" s="770"/>
    </row>
    <row r="35067" spans="8:10" x14ac:dyDescent="0.35">
      <c r="H35067" s="676"/>
      <c r="I35067" s="676"/>
      <c r="J35067" s="770"/>
    </row>
    <row r="35068" spans="8:10" x14ac:dyDescent="0.35">
      <c r="H35068" s="676"/>
      <c r="I35068" s="676"/>
      <c r="J35068" s="770"/>
    </row>
    <row r="35069" spans="8:10" x14ac:dyDescent="0.35">
      <c r="H35069" s="676"/>
      <c r="I35069" s="676"/>
      <c r="J35069" s="770"/>
    </row>
    <row r="35070" spans="8:10" x14ac:dyDescent="0.35">
      <c r="H35070" s="676"/>
      <c r="I35070" s="676"/>
      <c r="J35070" s="770"/>
    </row>
    <row r="35071" spans="8:10" x14ac:dyDescent="0.35">
      <c r="H35071" s="676"/>
      <c r="I35071" s="676"/>
      <c r="J35071" s="770"/>
    </row>
    <row r="35072" spans="8:10" x14ac:dyDescent="0.35">
      <c r="H35072" s="676"/>
      <c r="I35072" s="676"/>
      <c r="J35072" s="770"/>
    </row>
    <row r="35073" spans="8:10" x14ac:dyDescent="0.35">
      <c r="H35073" s="676"/>
      <c r="I35073" s="676"/>
      <c r="J35073" s="770"/>
    </row>
    <row r="35074" spans="8:10" x14ac:dyDescent="0.35">
      <c r="H35074" s="676"/>
      <c r="I35074" s="676"/>
      <c r="J35074" s="770"/>
    </row>
    <row r="35075" spans="8:10" x14ac:dyDescent="0.35">
      <c r="H35075" s="676"/>
      <c r="I35075" s="676"/>
      <c r="J35075" s="770"/>
    </row>
    <row r="35076" spans="8:10" x14ac:dyDescent="0.35">
      <c r="H35076" s="676"/>
      <c r="I35076" s="676"/>
      <c r="J35076" s="770"/>
    </row>
    <row r="35077" spans="8:10" x14ac:dyDescent="0.35">
      <c r="H35077" s="676"/>
      <c r="I35077" s="676"/>
      <c r="J35077" s="770"/>
    </row>
    <row r="35078" spans="8:10" x14ac:dyDescent="0.35">
      <c r="H35078" s="676"/>
      <c r="I35078" s="676"/>
      <c r="J35078" s="770"/>
    </row>
    <row r="35079" spans="8:10" x14ac:dyDescent="0.35">
      <c r="H35079" s="676"/>
      <c r="I35079" s="676"/>
      <c r="J35079" s="770"/>
    </row>
    <row r="35080" spans="8:10" x14ac:dyDescent="0.35">
      <c r="H35080" s="676"/>
      <c r="I35080" s="676"/>
      <c r="J35080" s="770"/>
    </row>
    <row r="35081" spans="8:10" x14ac:dyDescent="0.35">
      <c r="H35081" s="676"/>
      <c r="I35081" s="676"/>
      <c r="J35081" s="770"/>
    </row>
    <row r="35082" spans="8:10" x14ac:dyDescent="0.35">
      <c r="H35082" s="676"/>
      <c r="I35082" s="676"/>
      <c r="J35082" s="770"/>
    </row>
    <row r="35083" spans="8:10" x14ac:dyDescent="0.35">
      <c r="H35083" s="676"/>
      <c r="I35083" s="676"/>
      <c r="J35083" s="770"/>
    </row>
    <row r="35084" spans="8:10" x14ac:dyDescent="0.35">
      <c r="H35084" s="676"/>
      <c r="I35084" s="676"/>
      <c r="J35084" s="770"/>
    </row>
    <row r="35085" spans="8:10" x14ac:dyDescent="0.35">
      <c r="H35085" s="676"/>
      <c r="I35085" s="676"/>
      <c r="J35085" s="770"/>
    </row>
  </sheetData>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47829A"/>
  </sheetPr>
  <dimension ref="A1:L106"/>
  <sheetViews>
    <sheetView zoomScale="70" zoomScaleNormal="70" workbookViewId="0">
      <selection activeCell="F48" sqref="F48"/>
    </sheetView>
  </sheetViews>
  <sheetFormatPr defaultRowHeight="14.5" x14ac:dyDescent="0.35"/>
  <cols>
    <col min="1" max="1" width="54.26953125" bestFit="1" customWidth="1"/>
    <col min="3" max="3" width="34.1796875" bestFit="1" customWidth="1"/>
    <col min="4" max="4" width="57.36328125" bestFit="1" customWidth="1"/>
    <col min="5" max="5" width="53.7265625" bestFit="1" customWidth="1"/>
    <col min="6" max="6" width="31" bestFit="1" customWidth="1"/>
    <col min="7" max="7" width="30.26953125" bestFit="1" customWidth="1"/>
    <col min="8" max="8" width="51.26953125" bestFit="1" customWidth="1"/>
  </cols>
  <sheetData>
    <row r="1" spans="1:8" s="89" customFormat="1" x14ac:dyDescent="0.35">
      <c r="B1" s="89" t="s">
        <v>517</v>
      </c>
      <c r="C1" s="89" t="s">
        <v>129</v>
      </c>
      <c r="D1" s="89" t="s">
        <v>518</v>
      </c>
      <c r="E1" s="89" t="s">
        <v>520</v>
      </c>
      <c r="F1" s="89" t="s">
        <v>521</v>
      </c>
      <c r="G1" s="89" t="s">
        <v>113</v>
      </c>
      <c r="H1" s="89" t="s">
        <v>522</v>
      </c>
    </row>
    <row r="2" spans="1:8" x14ac:dyDescent="0.35">
      <c r="A2" t="s">
        <v>553</v>
      </c>
      <c r="D2" s="331">
        <v>28934</v>
      </c>
      <c r="E2" s="347">
        <v>0</v>
      </c>
      <c r="F2" s="347">
        <v>1181028012</v>
      </c>
      <c r="G2" s="347">
        <v>118102801.2</v>
      </c>
      <c r="H2" s="698">
        <v>1299130813.2</v>
      </c>
    </row>
    <row r="3" spans="1:8" x14ac:dyDescent="0.35">
      <c r="A3" t="s">
        <v>554</v>
      </c>
      <c r="D3" s="331">
        <v>57868</v>
      </c>
      <c r="E3" s="347">
        <v>0</v>
      </c>
      <c r="F3" s="347">
        <v>1083925508</v>
      </c>
      <c r="G3" s="347">
        <v>108392550.80000001</v>
      </c>
      <c r="H3" s="698">
        <v>1192318058.8</v>
      </c>
    </row>
    <row r="4" spans="1:8" x14ac:dyDescent="0.35">
      <c r="A4" t="s">
        <v>555</v>
      </c>
      <c r="D4" s="331">
        <v>3000000</v>
      </c>
      <c r="E4" s="347">
        <v>0</v>
      </c>
      <c r="F4" s="347">
        <v>124200000</v>
      </c>
      <c r="G4" s="347">
        <v>12420000</v>
      </c>
      <c r="H4" s="698">
        <v>136620000</v>
      </c>
    </row>
    <row r="5" spans="1:8" x14ac:dyDescent="0.35">
      <c r="A5" t="s">
        <v>556</v>
      </c>
      <c r="D5" s="331">
        <v>0</v>
      </c>
      <c r="E5" s="347">
        <v>62775380</v>
      </c>
      <c r="F5" s="347">
        <v>0</v>
      </c>
      <c r="G5" s="347">
        <v>6277538</v>
      </c>
      <c r="H5" s="698">
        <v>69052918</v>
      </c>
    </row>
    <row r="6" spans="1:8" x14ac:dyDescent="0.35">
      <c r="A6" t="s">
        <v>547</v>
      </c>
      <c r="D6" s="331"/>
      <c r="E6" s="347"/>
      <c r="F6" s="347"/>
      <c r="G6" s="347"/>
      <c r="H6" s="698">
        <v>2697121790</v>
      </c>
    </row>
    <row r="7" spans="1:8" x14ac:dyDescent="0.35">
      <c r="D7" s="331"/>
      <c r="E7" s="347"/>
      <c r="F7" s="347"/>
      <c r="G7" s="347"/>
      <c r="H7" s="698"/>
    </row>
    <row r="8" spans="1:8" x14ac:dyDescent="0.35">
      <c r="A8" t="s">
        <v>557</v>
      </c>
      <c r="D8" s="331">
        <v>43402</v>
      </c>
      <c r="E8" s="347">
        <v>0</v>
      </c>
      <c r="F8" s="347">
        <v>8269730276</v>
      </c>
      <c r="G8" s="347">
        <v>826973027.60000002</v>
      </c>
      <c r="H8" s="698">
        <v>9096703303.6000004</v>
      </c>
    </row>
    <row r="9" spans="1:8" x14ac:dyDescent="0.35">
      <c r="A9" t="s">
        <v>558</v>
      </c>
      <c r="D9" s="331">
        <v>86802</v>
      </c>
      <c r="E9" s="347">
        <v>0</v>
      </c>
      <c r="F9" s="347">
        <v>7599862308</v>
      </c>
      <c r="G9" s="347">
        <v>759986230.80000007</v>
      </c>
      <c r="H9" s="698">
        <v>8359848538.8000002</v>
      </c>
    </row>
    <row r="10" spans="1:8" x14ac:dyDescent="0.35">
      <c r="A10" t="s">
        <v>555</v>
      </c>
      <c r="D10" s="331">
        <v>3000000</v>
      </c>
      <c r="E10" s="347">
        <v>0</v>
      </c>
      <c r="F10" s="347">
        <v>90600000</v>
      </c>
      <c r="G10" s="347">
        <v>9060000</v>
      </c>
      <c r="H10" s="698">
        <v>99660000</v>
      </c>
    </row>
    <row r="11" spans="1:8" x14ac:dyDescent="0.35">
      <c r="A11" t="s">
        <v>556</v>
      </c>
      <c r="D11" s="331">
        <v>0</v>
      </c>
      <c r="E11" s="347">
        <v>107811800</v>
      </c>
      <c r="F11" s="347">
        <v>0</v>
      </c>
      <c r="G11" s="347">
        <v>10781180</v>
      </c>
      <c r="H11" s="698">
        <v>118592980</v>
      </c>
    </row>
    <row r="12" spans="1:8" x14ac:dyDescent="0.35">
      <c r="A12" t="s">
        <v>547</v>
      </c>
      <c r="D12" s="331"/>
      <c r="E12" s="347"/>
      <c r="F12" s="347"/>
      <c r="G12" s="347"/>
      <c r="H12" s="698">
        <v>17674804822.400002</v>
      </c>
    </row>
    <row r="13" spans="1:8" x14ac:dyDescent="0.35">
      <c r="D13" s="331"/>
      <c r="E13" s="347"/>
      <c r="F13" s="347"/>
      <c r="G13" s="347"/>
      <c r="H13" s="698"/>
    </row>
    <row r="14" spans="1:8" x14ac:dyDescent="0.35">
      <c r="A14" t="s">
        <v>559</v>
      </c>
      <c r="D14" s="331">
        <v>28934</v>
      </c>
      <c r="E14" s="347">
        <v>0</v>
      </c>
      <c r="F14" s="347">
        <v>96523824</v>
      </c>
      <c r="G14" s="347">
        <v>9652382.4000000004</v>
      </c>
      <c r="H14" s="698">
        <v>106176206.40000001</v>
      </c>
    </row>
    <row r="15" spans="1:8" x14ac:dyDescent="0.35">
      <c r="A15" t="s">
        <v>560</v>
      </c>
      <c r="D15" s="331">
        <v>57868</v>
      </c>
      <c r="E15" s="347">
        <v>0</v>
      </c>
      <c r="F15" s="347">
        <v>161741060</v>
      </c>
      <c r="G15" s="347">
        <v>16174106</v>
      </c>
      <c r="H15" s="698">
        <v>177915166</v>
      </c>
    </row>
    <row r="16" spans="1:8" x14ac:dyDescent="0.35">
      <c r="A16" t="s">
        <v>555</v>
      </c>
      <c r="D16" s="331">
        <v>3000000</v>
      </c>
      <c r="E16" s="347">
        <v>0</v>
      </c>
      <c r="F16" s="347">
        <v>0</v>
      </c>
      <c r="G16" s="347">
        <v>0</v>
      </c>
      <c r="H16" s="698">
        <v>0</v>
      </c>
    </row>
    <row r="17" spans="1:8" x14ac:dyDescent="0.35">
      <c r="A17" t="s">
        <v>556</v>
      </c>
      <c r="D17" s="331">
        <v>0</v>
      </c>
      <c r="E17" s="347">
        <v>6347440</v>
      </c>
      <c r="F17" s="347"/>
      <c r="G17" s="347">
        <v>634744</v>
      </c>
      <c r="H17" s="698">
        <v>6982184</v>
      </c>
    </row>
    <row r="18" spans="1:8" x14ac:dyDescent="0.35">
      <c r="A18" t="s">
        <v>547</v>
      </c>
      <c r="D18" s="331"/>
      <c r="E18" s="347"/>
      <c r="F18" s="347"/>
      <c r="G18" s="347"/>
      <c r="H18" s="698">
        <v>291073556.39999998</v>
      </c>
    </row>
    <row r="19" spans="1:8" x14ac:dyDescent="0.35">
      <c r="D19" s="331"/>
      <c r="E19" s="347"/>
      <c r="F19" s="347"/>
      <c r="G19" s="347"/>
      <c r="H19" s="698"/>
    </row>
    <row r="20" spans="1:8" x14ac:dyDescent="0.35">
      <c r="A20" t="s">
        <v>527</v>
      </c>
      <c r="D20" s="331">
        <v>28934</v>
      </c>
      <c r="E20" s="347">
        <v>0</v>
      </c>
      <c r="F20" s="347">
        <v>144496396</v>
      </c>
      <c r="G20" s="347">
        <v>14449639.600000001</v>
      </c>
      <c r="H20" s="698">
        <v>158946035.59999999</v>
      </c>
    </row>
    <row r="21" spans="1:8" x14ac:dyDescent="0.35">
      <c r="A21" t="s">
        <v>528</v>
      </c>
      <c r="D21" s="331">
        <v>57868</v>
      </c>
      <c r="E21" s="347">
        <v>0</v>
      </c>
      <c r="F21" s="347">
        <v>1635754756</v>
      </c>
      <c r="G21" s="347">
        <v>163575475.60000002</v>
      </c>
      <c r="H21" s="698">
        <v>1799330231.5999999</v>
      </c>
    </row>
    <row r="22" spans="1:8" x14ac:dyDescent="0.35">
      <c r="A22" t="s">
        <v>555</v>
      </c>
      <c r="D22" s="331">
        <v>3000000</v>
      </c>
      <c r="E22" s="347">
        <v>0</v>
      </c>
      <c r="F22" s="347">
        <v>885000000</v>
      </c>
      <c r="G22" s="347">
        <v>88500000</v>
      </c>
      <c r="H22" s="698">
        <v>973500000</v>
      </c>
    </row>
    <row r="23" spans="1:8" x14ac:dyDescent="0.35">
      <c r="A23" t="s">
        <v>556</v>
      </c>
      <c r="D23" s="331">
        <v>0</v>
      </c>
      <c r="E23" s="347">
        <v>27142560</v>
      </c>
      <c r="F23" s="347">
        <v>0</v>
      </c>
      <c r="G23" s="347">
        <v>2714256</v>
      </c>
      <c r="H23" s="698">
        <v>29856816</v>
      </c>
    </row>
    <row r="24" spans="1:8" x14ac:dyDescent="0.35">
      <c r="A24" t="s">
        <v>547</v>
      </c>
      <c r="D24" s="331"/>
      <c r="E24" s="347"/>
      <c r="F24" s="347"/>
      <c r="G24" s="347"/>
      <c r="H24" s="698">
        <v>2961633083.1999998</v>
      </c>
    </row>
    <row r="25" spans="1:8" x14ac:dyDescent="0.35">
      <c r="D25" s="331"/>
      <c r="E25" s="347"/>
      <c r="F25" s="347"/>
      <c r="G25" s="347"/>
      <c r="H25" s="698"/>
    </row>
    <row r="26" spans="1:8" x14ac:dyDescent="0.35">
      <c r="A26" t="s">
        <v>561</v>
      </c>
      <c r="D26" s="331">
        <v>28934</v>
      </c>
      <c r="E26" s="347">
        <v>0</v>
      </c>
      <c r="F26" s="347">
        <v>2054314</v>
      </c>
      <c r="G26" s="347">
        <v>205431.40000000002</v>
      </c>
      <c r="H26" s="698">
        <v>2259745.4</v>
      </c>
    </row>
    <row r="27" spans="1:8" x14ac:dyDescent="0.35">
      <c r="A27" t="s">
        <v>562</v>
      </c>
      <c r="D27" s="331">
        <v>57868</v>
      </c>
      <c r="E27" s="347">
        <v>0</v>
      </c>
      <c r="F27" s="347">
        <v>40160392</v>
      </c>
      <c r="G27" s="347">
        <v>4016039.2</v>
      </c>
      <c r="H27" s="698">
        <v>44176431.200000003</v>
      </c>
    </row>
    <row r="28" spans="1:8" x14ac:dyDescent="0.35">
      <c r="A28" t="s">
        <v>563</v>
      </c>
      <c r="D28" s="331">
        <v>3000000</v>
      </c>
      <c r="E28" s="347">
        <v>0</v>
      </c>
      <c r="F28" s="347">
        <v>832200000</v>
      </c>
      <c r="G28" s="347">
        <v>83220000</v>
      </c>
      <c r="H28" s="698">
        <v>915420000</v>
      </c>
    </row>
    <row r="29" spans="1:8" x14ac:dyDescent="0.35">
      <c r="A29" t="s">
        <v>556</v>
      </c>
      <c r="D29" s="331">
        <v>0</v>
      </c>
      <c r="E29" s="347">
        <v>992420</v>
      </c>
      <c r="F29" s="347">
        <v>0</v>
      </c>
      <c r="G29" s="347">
        <v>99242</v>
      </c>
      <c r="H29" s="698">
        <v>1091662</v>
      </c>
    </row>
    <row r="30" spans="1:8" x14ac:dyDescent="0.35">
      <c r="A30" t="s">
        <v>547</v>
      </c>
      <c r="H30" s="698">
        <v>962947838.60000002</v>
      </c>
    </row>
    <row r="31" spans="1:8" x14ac:dyDescent="0.35">
      <c r="H31" s="698">
        <v>24587581090.600002</v>
      </c>
    </row>
    <row r="32" spans="1:8" x14ac:dyDescent="0.35">
      <c r="A32" t="s">
        <v>564</v>
      </c>
    </row>
    <row r="33" spans="1:12" x14ac:dyDescent="0.35">
      <c r="A33" t="s">
        <v>565</v>
      </c>
    </row>
    <row r="34" spans="1:12" x14ac:dyDescent="0.35">
      <c r="A34" t="s">
        <v>566</v>
      </c>
    </row>
    <row r="35" spans="1:12" x14ac:dyDescent="0.35">
      <c r="A35" t="s">
        <v>556</v>
      </c>
    </row>
    <row r="38" spans="1:12" x14ac:dyDescent="0.35">
      <c r="A38" t="s">
        <v>567</v>
      </c>
    </row>
    <row r="39" spans="1:12" x14ac:dyDescent="0.35">
      <c r="A39" t="s">
        <v>568</v>
      </c>
    </row>
    <row r="40" spans="1:12" x14ac:dyDescent="0.35">
      <c r="A40" t="s">
        <v>569</v>
      </c>
    </row>
    <row r="41" spans="1:12" x14ac:dyDescent="0.35">
      <c r="A41" t="s">
        <v>570</v>
      </c>
    </row>
    <row r="43" spans="1:12" x14ac:dyDescent="0.35">
      <c r="A43" t="s">
        <v>531</v>
      </c>
    </row>
    <row r="44" spans="1:12" x14ac:dyDescent="0.35">
      <c r="A44" t="s">
        <v>532</v>
      </c>
    </row>
    <row r="47" spans="1:12" s="89" customFormat="1" x14ac:dyDescent="0.35">
      <c r="A47" s="89" t="s">
        <v>7</v>
      </c>
      <c r="B47" s="89" t="s">
        <v>63</v>
      </c>
      <c r="C47" s="89" t="s">
        <v>571</v>
      </c>
      <c r="D47" s="89" t="s">
        <v>999</v>
      </c>
      <c r="E47" s="89" t="s">
        <v>1000</v>
      </c>
      <c r="F47" s="89" t="s">
        <v>67</v>
      </c>
      <c r="G47" s="89" t="s">
        <v>68</v>
      </c>
      <c r="H47" s="89" t="s">
        <v>69</v>
      </c>
      <c r="I47" s="89" t="s">
        <v>70</v>
      </c>
      <c r="J47" s="89" t="s">
        <v>71</v>
      </c>
      <c r="K47" s="89" t="s">
        <v>513</v>
      </c>
      <c r="L47" s="89" t="s">
        <v>514</v>
      </c>
    </row>
    <row r="48" spans="1:12" x14ac:dyDescent="0.35">
      <c r="A48" t="s">
        <v>8</v>
      </c>
      <c r="B48" t="s">
        <v>74</v>
      </c>
      <c r="C48">
        <v>36197</v>
      </c>
      <c r="D48">
        <v>11107700</v>
      </c>
      <c r="E48">
        <v>1718435722</v>
      </c>
      <c r="L48">
        <v>11336359.200000001</v>
      </c>
    </row>
    <row r="49" spans="1:12" x14ac:dyDescent="0.35">
      <c r="A49" t="s">
        <v>9</v>
      </c>
      <c r="B49" t="s">
        <v>74</v>
      </c>
      <c r="C49">
        <v>21320</v>
      </c>
      <c r="D49">
        <v>6179000</v>
      </c>
      <c r="E49">
        <v>1209920144</v>
      </c>
      <c r="L49">
        <v>10207931.600000001</v>
      </c>
    </row>
    <row r="50" spans="1:12" x14ac:dyDescent="0.35">
      <c r="A50" t="s">
        <v>61</v>
      </c>
      <c r="B50" t="s">
        <v>74</v>
      </c>
      <c r="C50">
        <v>0</v>
      </c>
      <c r="D50">
        <v>0</v>
      </c>
      <c r="E50">
        <v>0</v>
      </c>
      <c r="L50">
        <v>0</v>
      </c>
    </row>
    <row r="51" spans="1:12" x14ac:dyDescent="0.35">
      <c r="A51" t="s">
        <v>62</v>
      </c>
      <c r="B51" t="s">
        <v>74</v>
      </c>
      <c r="C51">
        <v>10008</v>
      </c>
      <c r="D51">
        <v>2000</v>
      </c>
      <c r="E51">
        <v>6394468</v>
      </c>
      <c r="L51">
        <v>31827.600000000002</v>
      </c>
    </row>
    <row r="52" spans="1:12" x14ac:dyDescent="0.35">
      <c r="A52" t="s">
        <v>10</v>
      </c>
      <c r="B52" t="s">
        <v>76</v>
      </c>
      <c r="C52">
        <v>14787</v>
      </c>
      <c r="D52">
        <v>11340520</v>
      </c>
      <c r="E52">
        <v>761818236</v>
      </c>
      <c r="L52">
        <v>5086601.6000000006</v>
      </c>
    </row>
    <row r="53" spans="1:12" x14ac:dyDescent="0.35">
      <c r="A53" t="s">
        <v>11</v>
      </c>
      <c r="B53" t="s">
        <v>75</v>
      </c>
      <c r="C53">
        <v>6895</v>
      </c>
      <c r="D53">
        <v>1459240</v>
      </c>
      <c r="E53">
        <v>132577142</v>
      </c>
      <c r="L53">
        <v>674167.60000000009</v>
      </c>
    </row>
    <row r="54" spans="1:12" x14ac:dyDescent="0.35">
      <c r="A54" t="s">
        <v>12</v>
      </c>
      <c r="B54" t="s">
        <v>77</v>
      </c>
      <c r="C54">
        <v>8059</v>
      </c>
      <c r="D54">
        <v>4800960</v>
      </c>
      <c r="E54">
        <v>300447770</v>
      </c>
      <c r="L54">
        <v>3153046.4000000004</v>
      </c>
    </row>
    <row r="55" spans="1:12" x14ac:dyDescent="0.35">
      <c r="A55" t="s">
        <v>13</v>
      </c>
      <c r="B55" t="s">
        <v>75</v>
      </c>
      <c r="C55">
        <v>5609</v>
      </c>
      <c r="D55">
        <v>2338980</v>
      </c>
      <c r="E55">
        <v>79699166</v>
      </c>
      <c r="L55">
        <v>734928.4</v>
      </c>
    </row>
    <row r="56" spans="1:12" x14ac:dyDescent="0.35">
      <c r="A56" t="s">
        <v>60</v>
      </c>
      <c r="B56" t="s">
        <v>74</v>
      </c>
      <c r="C56">
        <v>46226</v>
      </c>
      <c r="D56">
        <v>44760</v>
      </c>
      <c r="E56">
        <v>21107392</v>
      </c>
      <c r="L56">
        <v>231472.40000000002</v>
      </c>
    </row>
    <row r="57" spans="1:12" x14ac:dyDescent="0.35">
      <c r="A57" t="s">
        <v>14</v>
      </c>
      <c r="B57" t="s">
        <v>75</v>
      </c>
      <c r="C57">
        <v>4761</v>
      </c>
      <c r="D57">
        <v>1237640</v>
      </c>
      <c r="E57">
        <v>113307298</v>
      </c>
      <c r="L57">
        <v>393506.80000000005</v>
      </c>
    </row>
    <row r="58" spans="1:12" x14ac:dyDescent="0.35">
      <c r="A58" t="s">
        <v>15</v>
      </c>
      <c r="B58" t="s">
        <v>76</v>
      </c>
      <c r="C58">
        <v>7107</v>
      </c>
      <c r="D58">
        <v>2105280</v>
      </c>
      <c r="E58">
        <v>267856808</v>
      </c>
      <c r="L58">
        <v>5789544.4000000004</v>
      </c>
    </row>
    <row r="59" spans="1:12" x14ac:dyDescent="0.35">
      <c r="A59" t="s">
        <v>16</v>
      </c>
      <c r="B59" t="s">
        <v>75</v>
      </c>
      <c r="C59">
        <v>3492</v>
      </c>
      <c r="D59">
        <v>751300</v>
      </c>
      <c r="E59">
        <v>48074320</v>
      </c>
      <c r="L59">
        <v>384825.60000000003</v>
      </c>
    </row>
    <row r="60" spans="1:12" x14ac:dyDescent="0.35">
      <c r="A60" t="s">
        <v>17</v>
      </c>
      <c r="B60" t="s">
        <v>75</v>
      </c>
      <c r="C60">
        <v>360</v>
      </c>
      <c r="D60">
        <v>313280</v>
      </c>
      <c r="E60">
        <v>12586430</v>
      </c>
      <c r="L60">
        <v>107056.8</v>
      </c>
    </row>
    <row r="61" spans="1:12" x14ac:dyDescent="0.35">
      <c r="A61" t="s">
        <v>18</v>
      </c>
      <c r="B61" t="s">
        <v>78</v>
      </c>
      <c r="C61">
        <v>3369</v>
      </c>
      <c r="D61">
        <v>2533760</v>
      </c>
      <c r="E61">
        <v>139244908</v>
      </c>
      <c r="L61">
        <v>1495888</v>
      </c>
    </row>
    <row r="62" spans="1:12" x14ac:dyDescent="0.35">
      <c r="A62" t="s">
        <v>19</v>
      </c>
      <c r="B62" t="s">
        <v>74</v>
      </c>
      <c r="C62">
        <v>26670</v>
      </c>
      <c r="D62">
        <v>4491380</v>
      </c>
      <c r="E62">
        <v>723789942</v>
      </c>
      <c r="L62">
        <v>14820977.600000001</v>
      </c>
    </row>
    <row r="63" spans="1:12" x14ac:dyDescent="0.35">
      <c r="A63" t="s">
        <v>20</v>
      </c>
      <c r="B63" t="s">
        <v>76</v>
      </c>
      <c r="C63">
        <v>20833</v>
      </c>
      <c r="D63">
        <v>9332540</v>
      </c>
      <c r="E63">
        <v>863434492</v>
      </c>
      <c r="L63">
        <v>6489144.8000000007</v>
      </c>
    </row>
    <row r="64" spans="1:12" x14ac:dyDescent="0.35">
      <c r="A64" t="s">
        <v>21</v>
      </c>
      <c r="B64" t="s">
        <v>74</v>
      </c>
      <c r="C64">
        <v>8687</v>
      </c>
      <c r="D64">
        <v>2458740</v>
      </c>
      <c r="E64">
        <v>105840572</v>
      </c>
      <c r="L64">
        <v>1041624</v>
      </c>
    </row>
    <row r="65" spans="1:12" x14ac:dyDescent="0.35">
      <c r="A65" t="s">
        <v>22</v>
      </c>
      <c r="B65" t="s">
        <v>77</v>
      </c>
      <c r="C65">
        <v>1030</v>
      </c>
      <c r="D65">
        <v>569300</v>
      </c>
      <c r="E65">
        <v>24362428</v>
      </c>
      <c r="L65">
        <v>300913.60000000003</v>
      </c>
    </row>
    <row r="66" spans="1:12" x14ac:dyDescent="0.35">
      <c r="A66" t="s">
        <v>23</v>
      </c>
      <c r="B66" t="s">
        <v>76</v>
      </c>
      <c r="C66">
        <v>16382</v>
      </c>
      <c r="D66">
        <v>9251060</v>
      </c>
      <c r="E66">
        <v>720977920</v>
      </c>
      <c r="L66">
        <v>6842144</v>
      </c>
    </row>
    <row r="67" spans="1:12" x14ac:dyDescent="0.35">
      <c r="A67" t="s">
        <v>24</v>
      </c>
      <c r="B67" t="s">
        <v>76</v>
      </c>
      <c r="C67">
        <v>5721</v>
      </c>
      <c r="D67">
        <v>4350080</v>
      </c>
      <c r="E67">
        <v>193149778</v>
      </c>
      <c r="L67">
        <v>2702444.4000000004</v>
      </c>
    </row>
    <row r="68" spans="1:12" x14ac:dyDescent="0.35">
      <c r="A68" t="s">
        <v>25</v>
      </c>
      <c r="B68" t="s">
        <v>76</v>
      </c>
      <c r="C68">
        <v>11740</v>
      </c>
      <c r="D68">
        <v>5695460</v>
      </c>
      <c r="E68">
        <v>465982944</v>
      </c>
      <c r="L68">
        <v>5394374.8000000007</v>
      </c>
    </row>
    <row r="69" spans="1:12" x14ac:dyDescent="0.35">
      <c r="A69" t="s">
        <v>26</v>
      </c>
      <c r="B69" t="s">
        <v>74</v>
      </c>
      <c r="C69">
        <v>4958</v>
      </c>
      <c r="D69">
        <v>2563580</v>
      </c>
      <c r="E69">
        <v>300031746</v>
      </c>
      <c r="L69">
        <v>3498133.6</v>
      </c>
    </row>
    <row r="70" spans="1:12" x14ac:dyDescent="0.35">
      <c r="A70" t="s">
        <v>27</v>
      </c>
      <c r="B70" t="s">
        <v>76</v>
      </c>
      <c r="C70">
        <v>13715</v>
      </c>
      <c r="D70">
        <v>8185580</v>
      </c>
      <c r="E70">
        <v>424073140</v>
      </c>
      <c r="L70">
        <v>5225514.4000000004</v>
      </c>
    </row>
    <row r="71" spans="1:12" x14ac:dyDescent="0.35">
      <c r="A71" t="s">
        <v>28</v>
      </c>
      <c r="B71" t="s">
        <v>75</v>
      </c>
      <c r="C71">
        <v>505</v>
      </c>
      <c r="D71">
        <v>195160</v>
      </c>
      <c r="E71">
        <v>21918010</v>
      </c>
      <c r="L71">
        <v>34721.599999999999</v>
      </c>
    </row>
    <row r="72" spans="1:12" x14ac:dyDescent="0.35">
      <c r="A72" t="s">
        <v>29</v>
      </c>
      <c r="B72" t="s">
        <v>76</v>
      </c>
      <c r="C72">
        <v>7887</v>
      </c>
      <c r="D72">
        <v>10250100</v>
      </c>
      <c r="E72">
        <v>332756306</v>
      </c>
      <c r="L72">
        <v>2520156.8000000003</v>
      </c>
    </row>
    <row r="73" spans="1:12" x14ac:dyDescent="0.35">
      <c r="A73" t="s">
        <v>30</v>
      </c>
      <c r="B73" t="s">
        <v>74</v>
      </c>
      <c r="C73">
        <v>19149</v>
      </c>
      <c r="D73">
        <v>613600</v>
      </c>
      <c r="E73">
        <v>484362554</v>
      </c>
      <c r="L73">
        <v>3295619.6</v>
      </c>
    </row>
    <row r="74" spans="1:12" x14ac:dyDescent="0.35">
      <c r="A74" t="s">
        <v>31</v>
      </c>
      <c r="B74" t="s">
        <v>78</v>
      </c>
      <c r="C74">
        <v>8387</v>
      </c>
      <c r="D74">
        <v>5785700</v>
      </c>
      <c r="E74">
        <v>288935186</v>
      </c>
      <c r="L74">
        <v>4490559.6000000006</v>
      </c>
    </row>
    <row r="75" spans="1:12" x14ac:dyDescent="0.35">
      <c r="A75" t="s">
        <v>32</v>
      </c>
      <c r="B75" t="s">
        <v>75</v>
      </c>
      <c r="C75">
        <v>17087</v>
      </c>
      <c r="D75">
        <v>7715980</v>
      </c>
      <c r="E75">
        <v>151498678</v>
      </c>
      <c r="L75">
        <v>4323359.6000000006</v>
      </c>
    </row>
    <row r="76" spans="1:12" x14ac:dyDescent="0.35">
      <c r="A76" t="s">
        <v>33</v>
      </c>
      <c r="B76" t="s">
        <v>77</v>
      </c>
      <c r="C76">
        <v>2584</v>
      </c>
      <c r="D76">
        <v>1951480</v>
      </c>
      <c r="E76">
        <v>88480266</v>
      </c>
      <c r="L76">
        <v>2102741.6</v>
      </c>
    </row>
    <row r="77" spans="1:12" x14ac:dyDescent="0.35">
      <c r="A77" t="s">
        <v>34</v>
      </c>
      <c r="B77" t="s">
        <v>78</v>
      </c>
      <c r="C77">
        <v>8999</v>
      </c>
      <c r="D77">
        <v>6572020</v>
      </c>
      <c r="E77">
        <v>138001126</v>
      </c>
      <c r="L77">
        <v>1362794.4000000001</v>
      </c>
    </row>
    <row r="78" spans="1:12" x14ac:dyDescent="0.35">
      <c r="A78" t="s">
        <v>35</v>
      </c>
      <c r="B78" t="s">
        <v>78</v>
      </c>
      <c r="C78">
        <v>3492</v>
      </c>
      <c r="D78">
        <v>1311620</v>
      </c>
      <c r="E78">
        <v>31306608</v>
      </c>
      <c r="L78">
        <v>222792</v>
      </c>
    </row>
    <row r="79" spans="1:12" x14ac:dyDescent="0.35">
      <c r="A79" t="s">
        <v>36</v>
      </c>
      <c r="B79" t="s">
        <v>77</v>
      </c>
      <c r="C79">
        <v>453</v>
      </c>
      <c r="D79">
        <v>32400</v>
      </c>
      <c r="E79">
        <v>26127402</v>
      </c>
      <c r="L79">
        <v>92588.800000000003</v>
      </c>
    </row>
    <row r="80" spans="1:12" x14ac:dyDescent="0.35">
      <c r="A80" t="s">
        <v>37</v>
      </c>
      <c r="B80" t="s">
        <v>80</v>
      </c>
      <c r="C80">
        <v>13719</v>
      </c>
      <c r="D80">
        <v>5516480</v>
      </c>
      <c r="E80">
        <v>219334482</v>
      </c>
      <c r="L80">
        <v>1229696.8</v>
      </c>
    </row>
    <row r="81" spans="1:12" x14ac:dyDescent="0.35">
      <c r="A81" t="s">
        <v>38</v>
      </c>
      <c r="B81" t="s">
        <v>77</v>
      </c>
      <c r="C81">
        <v>27187</v>
      </c>
      <c r="D81">
        <v>13146240</v>
      </c>
      <c r="E81">
        <v>819529046</v>
      </c>
      <c r="L81">
        <v>9690033.2000000011</v>
      </c>
    </row>
    <row r="82" spans="1:12" x14ac:dyDescent="0.35">
      <c r="A82" t="s">
        <v>39</v>
      </c>
      <c r="B82" t="s">
        <v>75</v>
      </c>
      <c r="C82">
        <v>40505</v>
      </c>
      <c r="D82">
        <v>669920</v>
      </c>
      <c r="E82">
        <v>94138110</v>
      </c>
      <c r="L82">
        <v>271982.8</v>
      </c>
    </row>
    <row r="83" spans="1:12" x14ac:dyDescent="0.35">
      <c r="A83" t="s">
        <v>40</v>
      </c>
      <c r="B83" t="s">
        <v>77</v>
      </c>
      <c r="C83">
        <v>634</v>
      </c>
      <c r="D83">
        <v>928020</v>
      </c>
      <c r="E83">
        <v>25809264</v>
      </c>
      <c r="L83">
        <v>176498</v>
      </c>
    </row>
    <row r="84" spans="1:12" x14ac:dyDescent="0.35">
      <c r="A84" t="s">
        <v>41</v>
      </c>
      <c r="B84" t="s">
        <v>74</v>
      </c>
      <c r="C84">
        <v>5165</v>
      </c>
      <c r="D84">
        <v>1072740</v>
      </c>
      <c r="E84">
        <v>81767562</v>
      </c>
      <c r="L84">
        <v>1018477.6000000001</v>
      </c>
    </row>
    <row r="85" spans="1:12" x14ac:dyDescent="0.35">
      <c r="A85" t="s">
        <v>42</v>
      </c>
      <c r="B85" t="s">
        <v>78</v>
      </c>
      <c r="C85">
        <v>28684</v>
      </c>
      <c r="D85">
        <v>23822860</v>
      </c>
      <c r="E85">
        <v>962967622</v>
      </c>
      <c r="L85">
        <v>9507720.8000000007</v>
      </c>
    </row>
    <row r="86" spans="1:12" x14ac:dyDescent="0.35">
      <c r="A86" t="s">
        <v>43</v>
      </c>
      <c r="B86" t="s">
        <v>74</v>
      </c>
      <c r="C86">
        <v>143175</v>
      </c>
      <c r="D86">
        <v>2558460</v>
      </c>
      <c r="E86">
        <v>3649811764</v>
      </c>
      <c r="L86">
        <v>18150672.400000002</v>
      </c>
    </row>
    <row r="87" spans="1:12" x14ac:dyDescent="0.35">
      <c r="A87" t="s">
        <v>44</v>
      </c>
      <c r="B87" t="s">
        <v>80</v>
      </c>
      <c r="C87">
        <v>5623</v>
      </c>
      <c r="D87">
        <v>4566820</v>
      </c>
      <c r="E87">
        <v>58012764</v>
      </c>
      <c r="L87">
        <v>419544</v>
      </c>
    </row>
    <row r="88" spans="1:12" x14ac:dyDescent="0.35">
      <c r="A88" t="s">
        <v>45</v>
      </c>
      <c r="B88" t="s">
        <v>78</v>
      </c>
      <c r="C88">
        <v>3874</v>
      </c>
      <c r="D88">
        <v>2054080</v>
      </c>
      <c r="E88">
        <v>988158236</v>
      </c>
      <c r="L88">
        <v>25451726.800000001</v>
      </c>
    </row>
    <row r="89" spans="1:12" x14ac:dyDescent="0.35">
      <c r="A89" t="s">
        <v>46</v>
      </c>
      <c r="B89" t="s">
        <v>76</v>
      </c>
      <c r="C89">
        <v>8796</v>
      </c>
      <c r="D89">
        <v>1666180</v>
      </c>
      <c r="E89">
        <v>205677406</v>
      </c>
      <c r="L89">
        <v>1918326</v>
      </c>
    </row>
    <row r="90" spans="1:12" x14ac:dyDescent="0.35">
      <c r="A90" t="s">
        <v>47</v>
      </c>
      <c r="B90" t="s">
        <v>78</v>
      </c>
      <c r="C90">
        <v>103777</v>
      </c>
      <c r="D90">
        <v>2111480</v>
      </c>
      <c r="E90">
        <v>1241184632</v>
      </c>
      <c r="L90">
        <v>9720158.4000000004</v>
      </c>
    </row>
    <row r="91" spans="1:12" x14ac:dyDescent="0.35">
      <c r="A91" t="s">
        <v>48</v>
      </c>
      <c r="B91" t="s">
        <v>76</v>
      </c>
      <c r="C91">
        <v>8413</v>
      </c>
      <c r="D91">
        <v>3814500</v>
      </c>
      <c r="E91">
        <v>117602584</v>
      </c>
      <c r="L91">
        <v>1154471.2</v>
      </c>
    </row>
    <row r="92" spans="1:12" x14ac:dyDescent="0.35">
      <c r="A92" t="s">
        <v>49</v>
      </c>
      <c r="B92" t="s">
        <v>75</v>
      </c>
      <c r="C92">
        <v>5478</v>
      </c>
      <c r="D92">
        <v>955860</v>
      </c>
      <c r="E92">
        <v>58679238</v>
      </c>
      <c r="L92">
        <v>526608.4</v>
      </c>
    </row>
    <row r="93" spans="1:12" x14ac:dyDescent="0.35">
      <c r="A93" t="s">
        <v>50</v>
      </c>
      <c r="B93" t="s">
        <v>74</v>
      </c>
      <c r="C93">
        <v>825</v>
      </c>
      <c r="D93">
        <v>241520</v>
      </c>
      <c r="E93">
        <v>21324358</v>
      </c>
      <c r="L93">
        <v>196751.2</v>
      </c>
    </row>
    <row r="94" spans="1:12" x14ac:dyDescent="0.35">
      <c r="A94" t="s">
        <v>51</v>
      </c>
      <c r="B94" t="s">
        <v>80</v>
      </c>
      <c r="C94">
        <v>22608</v>
      </c>
      <c r="D94">
        <v>7892460</v>
      </c>
      <c r="E94">
        <v>437046306</v>
      </c>
      <c r="L94">
        <v>3357718</v>
      </c>
    </row>
    <row r="95" spans="1:12" x14ac:dyDescent="0.35">
      <c r="A95" t="s">
        <v>52</v>
      </c>
      <c r="B95" t="s">
        <v>52</v>
      </c>
      <c r="C95">
        <v>117</v>
      </c>
      <c r="D95">
        <v>23400</v>
      </c>
      <c r="E95">
        <v>0</v>
      </c>
      <c r="L95">
        <v>0</v>
      </c>
    </row>
    <row r="96" spans="1:12" x14ac:dyDescent="0.35">
      <c r="A96" t="s">
        <v>53</v>
      </c>
      <c r="B96" t="s">
        <v>77</v>
      </c>
      <c r="C96">
        <v>32541</v>
      </c>
      <c r="D96">
        <v>107740</v>
      </c>
      <c r="E96">
        <v>534016606</v>
      </c>
      <c r="L96">
        <v>2424718.4</v>
      </c>
    </row>
    <row r="97" spans="1:12" x14ac:dyDescent="0.35">
      <c r="A97" t="s">
        <v>54</v>
      </c>
      <c r="B97" t="s">
        <v>79</v>
      </c>
      <c r="C97">
        <v>190556</v>
      </c>
      <c r="D97">
        <v>320880</v>
      </c>
      <c r="E97">
        <v>1034073920</v>
      </c>
      <c r="L97">
        <v>6047288.8000000007</v>
      </c>
    </row>
    <row r="98" spans="1:12" x14ac:dyDescent="0.35">
      <c r="A98" t="s">
        <v>55</v>
      </c>
      <c r="B98" t="s">
        <v>74</v>
      </c>
      <c r="C98">
        <v>1936</v>
      </c>
      <c r="D98">
        <v>101520</v>
      </c>
      <c r="E98">
        <v>50706836</v>
      </c>
      <c r="L98">
        <v>1438020</v>
      </c>
    </row>
    <row r="99" spans="1:12" x14ac:dyDescent="0.35">
      <c r="A99" t="s">
        <v>56</v>
      </c>
      <c r="B99" t="s">
        <v>75</v>
      </c>
      <c r="C99">
        <v>7541</v>
      </c>
      <c r="D99">
        <v>-237080</v>
      </c>
      <c r="E99">
        <v>48768548</v>
      </c>
      <c r="L99">
        <v>1034013.2000000001</v>
      </c>
    </row>
    <row r="100" spans="1:12" x14ac:dyDescent="0.35">
      <c r="A100" t="s">
        <v>57</v>
      </c>
      <c r="B100" t="s">
        <v>74</v>
      </c>
      <c r="C100">
        <v>47824</v>
      </c>
      <c r="D100">
        <v>2949760</v>
      </c>
      <c r="E100">
        <v>867908830</v>
      </c>
      <c r="L100">
        <v>6119675.2000000002</v>
      </c>
    </row>
    <row r="101" spans="1:12" x14ac:dyDescent="0.35">
      <c r="A101" t="s">
        <v>515</v>
      </c>
      <c r="B101" t="s">
        <v>74</v>
      </c>
      <c r="C101">
        <v>74812</v>
      </c>
      <c r="D101">
        <v>1661980</v>
      </c>
      <c r="E101">
        <v>216444362</v>
      </c>
      <c r="L101">
        <v>1785254.8</v>
      </c>
    </row>
    <row r="102" spans="1:12" x14ac:dyDescent="0.35">
      <c r="A102" t="s">
        <v>58</v>
      </c>
      <c r="B102" t="s">
        <v>77</v>
      </c>
      <c r="C102">
        <v>395</v>
      </c>
      <c r="D102">
        <v>36240</v>
      </c>
      <c r="E102">
        <v>0</v>
      </c>
      <c r="L102">
        <v>0</v>
      </c>
    </row>
    <row r="103" spans="1:12" x14ac:dyDescent="0.35">
      <c r="A103" t="s">
        <v>59</v>
      </c>
      <c r="B103" t="s">
        <v>75</v>
      </c>
      <c r="C103">
        <v>7751</v>
      </c>
      <c r="D103">
        <v>202680</v>
      </c>
      <c r="E103">
        <v>55384364</v>
      </c>
      <c r="L103">
        <v>6237260.4000000004</v>
      </c>
    </row>
    <row r="104" spans="1:12" x14ac:dyDescent="0.35">
      <c r="A104" s="67"/>
      <c r="B104" s="67"/>
      <c r="C104" s="750">
        <f>SUM(C48:C103)</f>
        <v>1128405</v>
      </c>
      <c r="D104" s="803">
        <v>201724940</v>
      </c>
      <c r="E104" s="803">
        <v>21984845742</v>
      </c>
      <c r="L104">
        <v>212264377.99999997</v>
      </c>
    </row>
    <row r="105" spans="1:12" x14ac:dyDescent="0.35">
      <c r="D105" s="198"/>
      <c r="E105" s="198"/>
    </row>
    <row r="106" spans="1:12" x14ac:dyDescent="0.35">
      <c r="D106" s="198"/>
      <c r="E106" s="198"/>
    </row>
  </sheetData>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4B586D-A579-4086-8FD8-2A104291B72A}">
  <sheetPr>
    <tabColor rgb="FF47829A"/>
  </sheetPr>
  <dimension ref="B2:M40"/>
  <sheetViews>
    <sheetView zoomScale="70" zoomScaleNormal="70" workbookViewId="0">
      <selection activeCell="E39" sqref="E39"/>
    </sheetView>
  </sheetViews>
  <sheetFormatPr defaultRowHeight="14.5" x14ac:dyDescent="0.35"/>
  <cols>
    <col min="3" max="12" width="18.08984375" customWidth="1"/>
    <col min="13" max="13" width="17.7265625" bestFit="1" customWidth="1"/>
  </cols>
  <sheetData>
    <row r="2" spans="2:13" x14ac:dyDescent="0.35">
      <c r="B2" t="s">
        <v>1308</v>
      </c>
    </row>
    <row r="4" spans="2:13" ht="14.5" customHeight="1" x14ac:dyDescent="0.35">
      <c r="B4" s="1272" t="s">
        <v>993</v>
      </c>
      <c r="C4" s="1280" t="s">
        <v>1248</v>
      </c>
      <c r="D4" s="1280"/>
      <c r="E4" s="1280"/>
      <c r="F4" s="1281"/>
      <c r="G4" s="33"/>
      <c r="H4" s="33"/>
      <c r="I4" s="33"/>
      <c r="J4" s="33"/>
      <c r="K4" s="33"/>
      <c r="L4" s="33"/>
    </row>
    <row r="5" spans="2:13" s="399" customFormat="1" ht="31" customHeight="1" x14ac:dyDescent="0.35">
      <c r="B5" s="1057" t="s">
        <v>1125</v>
      </c>
      <c r="C5" s="1058"/>
      <c r="D5" s="1668" t="s">
        <v>1305</v>
      </c>
      <c r="E5" s="1668"/>
      <c r="F5" s="1668"/>
      <c r="G5" s="1668" t="s">
        <v>1306</v>
      </c>
      <c r="H5" s="1668"/>
      <c r="I5" s="1668"/>
      <c r="J5" s="1668" t="s">
        <v>1307</v>
      </c>
      <c r="K5" s="1668"/>
      <c r="L5" s="1668"/>
      <c r="M5" s="1279" t="s">
        <v>0</v>
      </c>
    </row>
    <row r="6" spans="2:13" s="399" customFormat="1" ht="58" x14ac:dyDescent="0.35">
      <c r="B6" s="1037" t="s">
        <v>1123</v>
      </c>
      <c r="C6" s="1037"/>
      <c r="D6" s="1037" t="s">
        <v>1115</v>
      </c>
      <c r="E6" s="1037" t="s">
        <v>1126</v>
      </c>
      <c r="F6" s="1037" t="s">
        <v>1124</v>
      </c>
      <c r="G6" s="1037" t="s">
        <v>1115</v>
      </c>
      <c r="H6" s="1037" t="s">
        <v>1126</v>
      </c>
      <c r="I6" s="1037" t="s">
        <v>1124</v>
      </c>
      <c r="J6" s="1037" t="s">
        <v>1115</v>
      </c>
      <c r="K6" s="1037" t="s">
        <v>1126</v>
      </c>
      <c r="L6" s="1037" t="s">
        <v>1124</v>
      </c>
      <c r="M6" s="1278" t="s">
        <v>1124</v>
      </c>
    </row>
    <row r="7" spans="2:13" x14ac:dyDescent="0.35">
      <c r="B7" s="33">
        <v>2023</v>
      </c>
      <c r="C7">
        <v>1</v>
      </c>
      <c r="D7" s="697">
        <f>'Inland Water'!$F$87*C7</f>
        <v>50614.019240034846</v>
      </c>
      <c r="E7" s="697">
        <f>'Inland Water'!$F$88*'Inflation Rates'!C23*(1+Assumptions!$C$6)</f>
        <v>5.4148700000000005</v>
      </c>
      <c r="F7" s="697">
        <f t="shared" ref="F7:F36" si="0">D7*E7</f>
        <v>274068.33436228754</v>
      </c>
      <c r="G7" s="697">
        <f>'Inland Water'!$F$91*C7</f>
        <v>37613.5</v>
      </c>
      <c r="H7" s="697">
        <f>'Inland Water'!$F$92*'Inflation Rates'!C23*(1+Assumptions!$C$6)</f>
        <v>5.4148700000000005</v>
      </c>
      <c r="I7" s="697">
        <f t="shared" ref="I7:I36" si="1">G7*H7</f>
        <v>203672.21274500003</v>
      </c>
      <c r="J7" s="697">
        <f>'Inland Water'!$F$95*C7</f>
        <v>514932</v>
      </c>
      <c r="K7" s="697">
        <f>'Inland Water'!$F$96*'Inflation Rates'!C23*(1+Assumptions!$C$6)</f>
        <v>5.4148700000000005</v>
      </c>
      <c r="L7" s="697">
        <f>J7*K7</f>
        <v>2788289.8388400003</v>
      </c>
      <c r="M7" s="697">
        <f>SUM(F7,I7,L7)</f>
        <v>3266030.385947288</v>
      </c>
    </row>
    <row r="8" spans="2:13" x14ac:dyDescent="0.35">
      <c r="B8" s="33">
        <v>2024</v>
      </c>
      <c r="C8">
        <v>2</v>
      </c>
      <c r="D8" s="697">
        <f>'Inland Water'!$F$87*C8</f>
        <v>101228.03848006969</v>
      </c>
      <c r="E8" s="697">
        <f>E7*(1+Assumptions!$C$6)</f>
        <v>5.5502417499999996</v>
      </c>
      <c r="F8" s="697">
        <f t="shared" si="0"/>
        <v>561840.08544268936</v>
      </c>
      <c r="G8" s="697">
        <f>'Inland Water'!$F$91*C8</f>
        <v>75227</v>
      </c>
      <c r="H8" s="697">
        <f>H7*(1+Assumptions!$C$6)</f>
        <v>5.5502417499999996</v>
      </c>
      <c r="I8" s="697">
        <f t="shared" si="1"/>
        <v>417528.03612725</v>
      </c>
      <c r="J8" s="697">
        <f>'Inland Water'!$F$95*C8</f>
        <v>1029864</v>
      </c>
      <c r="K8" s="697">
        <f>K7*(1+Assumptions!$C$6)</f>
        <v>5.5502417499999996</v>
      </c>
      <c r="L8" s="697">
        <f t="shared" ref="L8:L36" si="2">J8*K8</f>
        <v>5715994.1696219994</v>
      </c>
      <c r="M8" s="697">
        <f t="shared" ref="M8:M36" si="3">SUM(F8,I8,L8)</f>
        <v>6695362.2911919393</v>
      </c>
    </row>
    <row r="9" spans="2:13" x14ac:dyDescent="0.35">
      <c r="B9" s="33">
        <v>2025</v>
      </c>
      <c r="C9">
        <v>3</v>
      </c>
      <c r="D9" s="697">
        <f>'Inland Water'!$F$87*C9</f>
        <v>151842.05772010452</v>
      </c>
      <c r="E9" s="697">
        <f>E8*(1+Assumptions!$C$6)</f>
        <v>5.6889977937499987</v>
      </c>
      <c r="F9" s="697">
        <f t="shared" si="0"/>
        <v>863829.13136813464</v>
      </c>
      <c r="G9" s="697">
        <f>'Inland Water'!$F$91*C9</f>
        <v>112840.5</v>
      </c>
      <c r="H9" s="697">
        <f>H8*(1+Assumptions!$C$6)</f>
        <v>5.6889977937499987</v>
      </c>
      <c r="I9" s="697">
        <f t="shared" si="1"/>
        <v>641949.35554564674</v>
      </c>
      <c r="J9" s="697">
        <f>'Inland Water'!$F$95*C9</f>
        <v>1544796</v>
      </c>
      <c r="K9" s="697">
        <f>K8*(1+Assumptions!$C$6)</f>
        <v>5.6889977937499987</v>
      </c>
      <c r="L9" s="697">
        <f t="shared" si="2"/>
        <v>8788341.0357938223</v>
      </c>
      <c r="M9" s="697">
        <f t="shared" si="3"/>
        <v>10294119.522707604</v>
      </c>
    </row>
    <row r="10" spans="2:13" x14ac:dyDescent="0.35">
      <c r="B10" s="33">
        <v>2026</v>
      </c>
      <c r="C10">
        <v>4</v>
      </c>
      <c r="D10" s="697">
        <f>'Inland Water'!$F$87*C10</f>
        <v>202456.07696013938</v>
      </c>
      <c r="E10" s="697">
        <f>E9*(1+Assumptions!$C$6)</f>
        <v>5.8312227385937483</v>
      </c>
      <c r="F10" s="697">
        <f t="shared" si="0"/>
        <v>1180566.4795364507</v>
      </c>
      <c r="G10" s="697">
        <f>'Inland Water'!$F$91*C10</f>
        <v>150454</v>
      </c>
      <c r="H10" s="697">
        <f>H9*(1+Assumptions!$C$6)</f>
        <v>5.8312227385937483</v>
      </c>
      <c r="I10" s="697">
        <f t="shared" si="1"/>
        <v>877330.78591238381</v>
      </c>
      <c r="J10" s="697">
        <f>'Inland Water'!$F$95*C10</f>
        <v>2059728</v>
      </c>
      <c r="K10" s="697">
        <f>K9*(1+Assumptions!$C$6)</f>
        <v>5.8312227385937483</v>
      </c>
      <c r="L10" s="697">
        <f t="shared" si="2"/>
        <v>12010732.748918224</v>
      </c>
      <c r="M10" s="697">
        <f t="shared" si="3"/>
        <v>14068630.014367059</v>
      </c>
    </row>
    <row r="11" spans="2:13" x14ac:dyDescent="0.35">
      <c r="B11" s="33">
        <v>2027</v>
      </c>
      <c r="C11">
        <v>5</v>
      </c>
      <c r="D11" s="697">
        <f>'Inland Water'!$F$87*C11</f>
        <v>253070.09620017424</v>
      </c>
      <c r="E11" s="697">
        <f>E10*(1+Assumptions!$C$6)</f>
        <v>5.9770033070585917</v>
      </c>
      <c r="F11" s="697">
        <f t="shared" si="0"/>
        <v>1512600.8019060774</v>
      </c>
      <c r="G11" s="697">
        <f>'Inland Water'!$F$91*C11</f>
        <v>188067.5</v>
      </c>
      <c r="H11" s="697">
        <f>H10*(1+Assumptions!$C$6)</f>
        <v>5.9770033070585917</v>
      </c>
      <c r="I11" s="697">
        <f t="shared" si="1"/>
        <v>1124080.0694502417</v>
      </c>
      <c r="J11" s="697">
        <f>'Inland Water'!$F$95*C11</f>
        <v>2574660</v>
      </c>
      <c r="K11" s="697">
        <f>K10*(1+Assumptions!$C$6)</f>
        <v>5.9770033070585917</v>
      </c>
      <c r="L11" s="697">
        <f t="shared" si="2"/>
        <v>15388751.334551474</v>
      </c>
      <c r="M11" s="697">
        <f t="shared" si="3"/>
        <v>18025432.205907792</v>
      </c>
    </row>
    <row r="12" spans="2:13" x14ac:dyDescent="0.35">
      <c r="B12" s="33">
        <v>2028</v>
      </c>
      <c r="C12">
        <v>6</v>
      </c>
      <c r="D12" s="697">
        <f>'Inland Water'!$F$87*C12</f>
        <v>303684.11544020905</v>
      </c>
      <c r="E12" s="697">
        <f>E11*(1+Assumptions!$C$6)</f>
        <v>6.1264283897350564</v>
      </c>
      <c r="F12" s="697">
        <f t="shared" si="0"/>
        <v>1860498.9863444748</v>
      </c>
      <c r="G12" s="697">
        <f>'Inland Water'!$F$91*C12</f>
        <v>225681</v>
      </c>
      <c r="H12" s="697">
        <f>H11*(1+Assumptions!$C$6)</f>
        <v>6.1264283897350564</v>
      </c>
      <c r="I12" s="697">
        <f t="shared" si="1"/>
        <v>1382618.4854237973</v>
      </c>
      <c r="J12" s="697">
        <f>'Inland Water'!$F$95*C12</f>
        <v>3089592</v>
      </c>
      <c r="K12" s="697">
        <f>K11*(1+Assumptions!$C$6)</f>
        <v>6.1264283897350564</v>
      </c>
      <c r="L12" s="697">
        <f t="shared" si="2"/>
        <v>18928164.141498312</v>
      </c>
      <c r="M12" s="697">
        <f t="shared" si="3"/>
        <v>22171281.613266584</v>
      </c>
    </row>
    <row r="13" spans="2:13" x14ac:dyDescent="0.35">
      <c r="B13" s="33">
        <v>2029</v>
      </c>
      <c r="C13">
        <v>7</v>
      </c>
      <c r="D13" s="697">
        <f>'Inland Water'!$F$87*C13</f>
        <v>354298.13468024391</v>
      </c>
      <c r="E13" s="697">
        <f>E12*(1+Assumptions!$C$6)</f>
        <v>6.2795890994784322</v>
      </c>
      <c r="F13" s="697">
        <f t="shared" si="0"/>
        <v>2224846.704503601</v>
      </c>
      <c r="G13" s="697">
        <f>'Inland Water'!$F$91*C13</f>
        <v>263294.5</v>
      </c>
      <c r="H13" s="697">
        <f>H12*(1+Assumptions!$C$6)</f>
        <v>6.2795890994784322</v>
      </c>
      <c r="I13" s="697">
        <f t="shared" si="1"/>
        <v>1653381.2721526241</v>
      </c>
      <c r="J13" s="697">
        <f>'Inland Water'!$F$95*C13</f>
        <v>3604524</v>
      </c>
      <c r="K13" s="697">
        <f>K12*(1+Assumptions!$C$6)</f>
        <v>6.2795890994784322</v>
      </c>
      <c r="L13" s="697">
        <f t="shared" si="2"/>
        <v>22634929.619208395</v>
      </c>
      <c r="M13" s="697">
        <f t="shared" si="3"/>
        <v>26513157.59586462</v>
      </c>
    </row>
    <row r="14" spans="2:13" x14ac:dyDescent="0.35">
      <c r="B14" s="33">
        <v>2030</v>
      </c>
      <c r="C14">
        <v>8</v>
      </c>
      <c r="D14" s="697">
        <f>'Inland Water'!$F$87*C14</f>
        <v>404912.15392027877</v>
      </c>
      <c r="E14" s="697">
        <f>E13*(1+Assumptions!$C$6)</f>
        <v>6.4365788269653921</v>
      </c>
      <c r="F14" s="697">
        <f t="shared" si="0"/>
        <v>2606248.996704218</v>
      </c>
      <c r="G14" s="697">
        <f>'Inland Water'!$F$91*C14</f>
        <v>300908</v>
      </c>
      <c r="H14" s="697">
        <f>H13*(1+Assumptions!$C$6)</f>
        <v>6.4365788269653921</v>
      </c>
      <c r="I14" s="697">
        <f t="shared" si="1"/>
        <v>1936818.0616645021</v>
      </c>
      <c r="J14" s="697">
        <f>'Inland Water'!$F$95*C14</f>
        <v>4119456</v>
      </c>
      <c r="K14" s="697">
        <f>K13*(1+Assumptions!$C$6)</f>
        <v>6.4365788269653921</v>
      </c>
      <c r="L14" s="697">
        <f t="shared" si="2"/>
        <v>26515203.268215545</v>
      </c>
      <c r="M14" s="697">
        <f t="shared" si="3"/>
        <v>31058270.326584265</v>
      </c>
    </row>
    <row r="15" spans="2:13" x14ac:dyDescent="0.35">
      <c r="B15" s="33">
        <v>2031</v>
      </c>
      <c r="C15">
        <v>9</v>
      </c>
      <c r="D15" s="697">
        <f>'Inland Water'!$F$87*C15</f>
        <v>455526.17316031363</v>
      </c>
      <c r="E15" s="697">
        <f>E14*(1+Assumptions!$C$6)</f>
        <v>6.5974932976395264</v>
      </c>
      <c r="F15" s="697">
        <f t="shared" si="0"/>
        <v>3005330.8743245513</v>
      </c>
      <c r="G15" s="697">
        <f>'Inland Water'!$F$91*C15</f>
        <v>338521.5</v>
      </c>
      <c r="H15" s="697">
        <f>H14*(1+Assumptions!$C$6)</f>
        <v>6.5974932976395264</v>
      </c>
      <c r="I15" s="697">
        <f t="shared" si="1"/>
        <v>2233393.3273568791</v>
      </c>
      <c r="J15" s="697">
        <f>'Inland Water'!$F$95*C15</f>
        <v>4634388</v>
      </c>
      <c r="K15" s="697">
        <f>K14*(1+Assumptions!$C$6)</f>
        <v>6.5974932976395264</v>
      </c>
      <c r="L15" s="697">
        <f t="shared" si="2"/>
        <v>30575343.768661048</v>
      </c>
      <c r="M15" s="697">
        <f t="shared" si="3"/>
        <v>35814067.97034248</v>
      </c>
    </row>
    <row r="16" spans="2:13" x14ac:dyDescent="0.35">
      <c r="B16" s="33">
        <v>2032</v>
      </c>
      <c r="C16">
        <v>10</v>
      </c>
      <c r="D16" s="697">
        <f>'Inland Water'!$F$87*C16</f>
        <v>506140.19240034849</v>
      </c>
      <c r="E16" s="697">
        <f>E15*(1+Assumptions!$C$6)</f>
        <v>6.7624306300805141</v>
      </c>
      <c r="F16" s="697">
        <f t="shared" si="0"/>
        <v>3422737.9402029612</v>
      </c>
      <c r="G16" s="697">
        <f>'Inland Water'!$F$91*C16</f>
        <v>376135</v>
      </c>
      <c r="H16" s="697">
        <f>H15*(1+Assumptions!$C$6)</f>
        <v>6.7624306300805141</v>
      </c>
      <c r="I16" s="697">
        <f t="shared" si="1"/>
        <v>2543586.8450453342</v>
      </c>
      <c r="J16" s="697">
        <f>'Inland Water'!$F$95*C16</f>
        <v>5149320</v>
      </c>
      <c r="K16" s="697">
        <f>K15*(1+Assumptions!$C$6)</f>
        <v>6.7624306300805141</v>
      </c>
      <c r="L16" s="697">
        <f t="shared" si="2"/>
        <v>34821919.292086191</v>
      </c>
      <c r="M16" s="697">
        <f t="shared" si="3"/>
        <v>40788244.077334486</v>
      </c>
    </row>
    <row r="17" spans="2:13" x14ac:dyDescent="0.35">
      <c r="B17" s="33">
        <v>2033</v>
      </c>
      <c r="C17">
        <v>11</v>
      </c>
      <c r="D17" s="697">
        <f>'Inland Water'!$F$87*C17</f>
        <v>556754.21164038335</v>
      </c>
      <c r="E17" s="697">
        <f>E16*(1+Assumptions!$C$6)</f>
        <v>6.9314913958325262</v>
      </c>
      <c r="F17" s="697">
        <f t="shared" si="0"/>
        <v>3859137.0275788386</v>
      </c>
      <c r="G17" s="697">
        <f>'Inland Water'!$F$91*C17</f>
        <v>413748.5</v>
      </c>
      <c r="H17" s="697">
        <f>H16*(1+Assumptions!$C$6)</f>
        <v>6.9314913958325262</v>
      </c>
      <c r="I17" s="697">
        <f t="shared" si="1"/>
        <v>2867894.1677886141</v>
      </c>
      <c r="J17" s="697">
        <f>'Inland Water'!$F$95*C17</f>
        <v>5664252</v>
      </c>
      <c r="K17" s="697">
        <f>K16*(1+Assumptions!$C$6)</f>
        <v>6.9314913958325262</v>
      </c>
      <c r="L17" s="697">
        <f t="shared" si="2"/>
        <v>39261714.00182718</v>
      </c>
      <c r="M17" s="697">
        <f t="shared" si="3"/>
        <v>45988745.197194636</v>
      </c>
    </row>
    <row r="18" spans="2:13" x14ac:dyDescent="0.35">
      <c r="B18" s="33">
        <v>2034</v>
      </c>
      <c r="C18">
        <v>12</v>
      </c>
      <c r="D18" s="697">
        <f>'Inland Water'!$F$87*C18</f>
        <v>607368.23088041809</v>
      </c>
      <c r="E18" s="697">
        <f>E17*(1+Assumptions!$C$6)</f>
        <v>7.1047786807283391</v>
      </c>
      <c r="F18" s="697">
        <f t="shared" si="0"/>
        <v>4315216.8581108823</v>
      </c>
      <c r="G18" s="697">
        <f>'Inland Water'!$F$91*C18</f>
        <v>451362</v>
      </c>
      <c r="H18" s="697">
        <f>H17*(1+Assumptions!$C$6)</f>
        <v>7.1047786807283391</v>
      </c>
      <c r="I18" s="697">
        <f t="shared" si="1"/>
        <v>3206827.1148909046</v>
      </c>
      <c r="J18" s="697">
        <f>'Inland Water'!$F$95*C18</f>
        <v>6179184</v>
      </c>
      <c r="K18" s="697">
        <f>K17*(1+Assumptions!$C$6)</f>
        <v>7.1047786807283391</v>
      </c>
      <c r="L18" s="697">
        <f t="shared" si="2"/>
        <v>43901734.747497663</v>
      </c>
      <c r="M18" s="697">
        <f t="shared" si="3"/>
        <v>51423778.720499448</v>
      </c>
    </row>
    <row r="19" spans="2:13" x14ac:dyDescent="0.35">
      <c r="B19" s="33">
        <v>2035</v>
      </c>
      <c r="C19">
        <v>13</v>
      </c>
      <c r="D19" s="697">
        <f>'Inland Water'!$F$87*C19</f>
        <v>657982.25012045295</v>
      </c>
      <c r="E19" s="697">
        <f>E18*(1+Assumptions!$C$6)</f>
        <v>7.2823981477465471</v>
      </c>
      <c r="F19" s="697">
        <f t="shared" si="0"/>
        <v>4791688.7195272921</v>
      </c>
      <c r="G19" s="697">
        <f>'Inland Water'!$F$91*C19</f>
        <v>488975.5</v>
      </c>
      <c r="H19" s="697">
        <f>H18*(1+Assumptions!$C$6)</f>
        <v>7.2823981477465471</v>
      </c>
      <c r="I19" s="697">
        <f t="shared" si="1"/>
        <v>3560914.2754934416</v>
      </c>
      <c r="J19" s="697">
        <f>'Inland Water'!$F$95*C19</f>
        <v>6694116</v>
      </c>
      <c r="K19" s="697">
        <f>K18*(1+Assumptions!$C$6)</f>
        <v>7.2823981477465471</v>
      </c>
      <c r="L19" s="697">
        <f t="shared" si="2"/>
        <v>48749217.959200524</v>
      </c>
      <c r="M19" s="697">
        <f t="shared" si="3"/>
        <v>57101820.954221256</v>
      </c>
    </row>
    <row r="20" spans="2:13" x14ac:dyDescent="0.35">
      <c r="B20" s="33">
        <v>2036</v>
      </c>
      <c r="C20">
        <v>14</v>
      </c>
      <c r="D20" s="697">
        <f>'Inland Water'!$F$87*C20</f>
        <v>708596.26936048781</v>
      </c>
      <c r="E20" s="697">
        <f>E19*(1+Assumptions!$C$6)</f>
        <v>7.4644581014402105</v>
      </c>
      <c r="F20" s="697">
        <f t="shared" si="0"/>
        <v>5289287.1634782031</v>
      </c>
      <c r="G20" s="697">
        <f>'Inland Water'!$F$91*C20</f>
        <v>526589</v>
      </c>
      <c r="H20" s="697">
        <f>H19*(1+Assumptions!$C$6)</f>
        <v>7.4644581014402105</v>
      </c>
      <c r="I20" s="697">
        <f t="shared" si="1"/>
        <v>3930701.5271792989</v>
      </c>
      <c r="J20" s="697">
        <f>'Inland Water'!$F$95*C20</f>
        <v>7209048</v>
      </c>
      <c r="K20" s="697">
        <f>K19*(1+Assumptions!$C$6)</f>
        <v>7.4644581014402105</v>
      </c>
      <c r="L20" s="697">
        <f t="shared" si="2"/>
        <v>53811636.747271344</v>
      </c>
      <c r="M20" s="697">
        <f t="shared" si="3"/>
        <v>63031625.437928848</v>
      </c>
    </row>
    <row r="21" spans="2:13" x14ac:dyDescent="0.35">
      <c r="B21" s="33">
        <v>2037</v>
      </c>
      <c r="C21">
        <v>15</v>
      </c>
      <c r="D21" s="697">
        <f>'Inland Water'!$F$87*C21</f>
        <v>759210.28860052268</v>
      </c>
      <c r="E21" s="697">
        <f>E20*(1+Assumptions!$C$6)</f>
        <v>7.6510695539762148</v>
      </c>
      <c r="F21" s="697">
        <f t="shared" si="0"/>
        <v>5808770.7241769545</v>
      </c>
      <c r="G21" s="697">
        <f>'Inland Water'!$F$91*C21</f>
        <v>564202.5</v>
      </c>
      <c r="H21" s="697">
        <f>H20*(1+Assumptions!$C$6)</f>
        <v>7.6510695539762148</v>
      </c>
      <c r="I21" s="697">
        <f t="shared" si="1"/>
        <v>4316752.5700272657</v>
      </c>
      <c r="J21" s="697">
        <f>'Inland Water'!$F$95*C21</f>
        <v>7723980</v>
      </c>
      <c r="K21" s="697">
        <f>K20*(1+Assumptions!$C$6)</f>
        <v>7.6510695539762148</v>
      </c>
      <c r="L21" s="697">
        <f t="shared" si="2"/>
        <v>59096708.213521205</v>
      </c>
      <c r="M21" s="697">
        <f t="shared" si="3"/>
        <v>69222231.507725418</v>
      </c>
    </row>
    <row r="22" spans="2:13" x14ac:dyDescent="0.35">
      <c r="B22" s="33">
        <v>2038</v>
      </c>
      <c r="C22">
        <v>16</v>
      </c>
      <c r="D22" s="697">
        <f>'Inland Water'!$F$87*C22</f>
        <v>809824.30784055754</v>
      </c>
      <c r="E22" s="697">
        <f>E21*(1+Assumptions!$C$6)</f>
        <v>7.8423462928256198</v>
      </c>
      <c r="F22" s="697">
        <f t="shared" si="0"/>
        <v>6350922.6584334699</v>
      </c>
      <c r="G22" s="697">
        <f>'Inland Water'!$F$91*C22</f>
        <v>601816</v>
      </c>
      <c r="H22" s="697">
        <f>H21*(1+Assumptions!$C$6)</f>
        <v>7.8423462928256198</v>
      </c>
      <c r="I22" s="697">
        <f t="shared" si="1"/>
        <v>4719649.4765631435</v>
      </c>
      <c r="J22" s="697">
        <f>'Inland Water'!$F$95*C22</f>
        <v>8238912</v>
      </c>
      <c r="K22" s="697">
        <f>K21*(1+Assumptions!$C$6)</f>
        <v>7.8423462928256198</v>
      </c>
      <c r="L22" s="697">
        <f t="shared" si="2"/>
        <v>64612400.980116516</v>
      </c>
      <c r="M22" s="697">
        <f t="shared" si="3"/>
        <v>75682973.115113124</v>
      </c>
    </row>
    <row r="23" spans="2:13" x14ac:dyDescent="0.35">
      <c r="B23" s="33">
        <v>2039</v>
      </c>
      <c r="C23">
        <v>17</v>
      </c>
      <c r="D23" s="697">
        <f>'Inland Water'!$F$87*C23</f>
        <v>860438.3270805924</v>
      </c>
      <c r="E23" s="697">
        <f>E22*(1+Assumptions!$C$6)</f>
        <v>8.0384049501462602</v>
      </c>
      <c r="F23" s="697">
        <f t="shared" si="0"/>
        <v>6916551.7077002013</v>
      </c>
      <c r="G23" s="697">
        <f>'Inland Water'!$F$91*C23</f>
        <v>639429.5</v>
      </c>
      <c r="H23" s="697">
        <f>H22*(1+Assumptions!$C$6)</f>
        <v>8.0384049501462602</v>
      </c>
      <c r="I23" s="697">
        <f t="shared" si="1"/>
        <v>5139993.2580695478</v>
      </c>
      <c r="J23" s="697">
        <f>'Inland Water'!$F$95*C23</f>
        <v>8753844</v>
      </c>
      <c r="K23" s="697">
        <f>K22*(1+Assumptions!$C$6)</f>
        <v>8.0384049501462602</v>
      </c>
      <c r="L23" s="697">
        <f t="shared" si="2"/>
        <v>70366942.942408144</v>
      </c>
      <c r="M23" s="697">
        <f t="shared" si="3"/>
        <v>82423487.908177897</v>
      </c>
    </row>
    <row r="24" spans="2:13" x14ac:dyDescent="0.35">
      <c r="B24" s="33">
        <v>2040</v>
      </c>
      <c r="C24">
        <v>18</v>
      </c>
      <c r="D24" s="697">
        <f>'Inland Water'!$F$87*C24</f>
        <v>911052.34632062726</v>
      </c>
      <c r="E24" s="697">
        <f>E23*(1+Assumptions!$C$6)</f>
        <v>8.2393650738999167</v>
      </c>
      <c r="F24" s="697">
        <f t="shared" si="0"/>
        <v>7506492.8827687474</v>
      </c>
      <c r="G24" s="697">
        <f>'Inland Water'!$F$91*C24</f>
        <v>677043</v>
      </c>
      <c r="H24" s="697">
        <f>H23*(1+Assumptions!$C$6)</f>
        <v>8.2393650738999167</v>
      </c>
      <c r="I24" s="697">
        <f t="shared" si="1"/>
        <v>5578404.4477284215</v>
      </c>
      <c r="J24" s="697">
        <f>'Inland Water'!$F$95*C24</f>
        <v>9268776</v>
      </c>
      <c r="K24" s="697">
        <f>K23*(1+Assumptions!$C$6)</f>
        <v>8.2393650738999167</v>
      </c>
      <c r="L24" s="697">
        <f t="shared" si="2"/>
        <v>76368829.252201781</v>
      </c>
      <c r="M24" s="697">
        <f t="shared" si="3"/>
        <v>89453726.582698941</v>
      </c>
    </row>
    <row r="25" spans="2:13" x14ac:dyDescent="0.35">
      <c r="B25" s="33">
        <v>2041</v>
      </c>
      <c r="C25">
        <v>19</v>
      </c>
      <c r="D25" s="697">
        <f>'Inland Water'!$F$87*C25</f>
        <v>961666.36556066212</v>
      </c>
      <c r="E25" s="697">
        <f>E24*(1+Assumptions!$C$6)</f>
        <v>8.4453492007474136</v>
      </c>
      <c r="F25" s="697">
        <f t="shared" si="0"/>
        <v>8121608.2717734082</v>
      </c>
      <c r="G25" s="697">
        <f>'Inland Water'!$F$91*C25</f>
        <v>714656.5</v>
      </c>
      <c r="H25" s="697">
        <f>H24*(1+Assumptions!$C$6)</f>
        <v>8.4453492007474136</v>
      </c>
      <c r="I25" s="697">
        <f t="shared" si="1"/>
        <v>6035523.7010839442</v>
      </c>
      <c r="J25" s="697">
        <f>'Inland Water'!$F$95*C25</f>
        <v>9783708</v>
      </c>
      <c r="K25" s="697">
        <f>K24*(1+Assumptions!$C$6)</f>
        <v>8.4453492007474136</v>
      </c>
      <c r="L25" s="697">
        <f t="shared" si="2"/>
        <v>82626830.538146079</v>
      </c>
      <c r="M25" s="697">
        <f t="shared" si="3"/>
        <v>96783962.511003435</v>
      </c>
    </row>
    <row r="26" spans="2:13" x14ac:dyDescent="0.35">
      <c r="B26" s="33">
        <v>2042</v>
      </c>
      <c r="C26">
        <v>20</v>
      </c>
      <c r="D26" s="697">
        <f>'Inland Water'!$F$87*C26</f>
        <v>1012280.384800697</v>
      </c>
      <c r="E26" s="697">
        <f>E25*(1+Assumptions!$C$6)</f>
        <v>8.6564829307660975</v>
      </c>
      <c r="F26" s="697">
        <f t="shared" si="0"/>
        <v>8762787.8721765708</v>
      </c>
      <c r="G26" s="697">
        <f>'Inland Water'!$F$91*C26</f>
        <v>752270</v>
      </c>
      <c r="H26" s="697">
        <f>H25*(1+Assumptions!$C$6)</f>
        <v>8.6564829307660975</v>
      </c>
      <c r="I26" s="697">
        <f t="shared" si="1"/>
        <v>6512012.4143274119</v>
      </c>
      <c r="J26" s="697">
        <f>'Inland Water'!$F$95*C26</f>
        <v>10298640</v>
      </c>
      <c r="K26" s="697">
        <f>K25*(1+Assumptions!$C$6)</f>
        <v>8.6564829307660975</v>
      </c>
      <c r="L26" s="697">
        <f t="shared" si="2"/>
        <v>89150001.370104969</v>
      </c>
      <c r="M26" s="697">
        <f t="shared" si="3"/>
        <v>104424801.65660895</v>
      </c>
    </row>
    <row r="27" spans="2:13" x14ac:dyDescent="0.35">
      <c r="B27" s="33">
        <v>2043</v>
      </c>
      <c r="C27">
        <v>21</v>
      </c>
      <c r="D27" s="697">
        <f>'Inland Water'!$F$87*C27</f>
        <v>1062894.4040407317</v>
      </c>
      <c r="E27" s="697">
        <f>E26*(1+Assumptions!$C$6)</f>
        <v>8.8728950040352483</v>
      </c>
      <c r="F27" s="697">
        <f t="shared" si="0"/>
        <v>9430950.4474300314</v>
      </c>
      <c r="G27" s="697">
        <f>'Inland Water'!$F$91*C27</f>
        <v>789883.5</v>
      </c>
      <c r="H27" s="697">
        <f>H26*(1+Assumptions!$C$6)</f>
        <v>8.8728950040352483</v>
      </c>
      <c r="I27" s="697">
        <f t="shared" si="1"/>
        <v>7008553.360919876</v>
      </c>
      <c r="J27" s="697">
        <f>'Inland Water'!$F$95*C27</f>
        <v>10813572</v>
      </c>
      <c r="K27" s="697">
        <f>K26*(1+Assumptions!$C$6)</f>
        <v>8.8728950040352483</v>
      </c>
      <c r="L27" s="697">
        <f t="shared" si="2"/>
        <v>95947688.974575445</v>
      </c>
      <c r="M27" s="697">
        <f t="shared" si="3"/>
        <v>112387192.78292535</v>
      </c>
    </row>
    <row r="28" spans="2:13" x14ac:dyDescent="0.35">
      <c r="B28" s="33">
        <v>2044</v>
      </c>
      <c r="C28">
        <v>22</v>
      </c>
      <c r="D28" s="697">
        <f>'Inland Water'!$F$87*C28</f>
        <v>1113508.4232807667</v>
      </c>
      <c r="E28" s="697">
        <f>E27*(1+Assumptions!$C$6)</f>
        <v>9.094717379136128</v>
      </c>
      <c r="F28" s="697">
        <f t="shared" si="0"/>
        <v>10127044.409026057</v>
      </c>
      <c r="G28" s="697">
        <f>'Inland Water'!$F$91*C28</f>
        <v>827497</v>
      </c>
      <c r="H28" s="697">
        <f>H27*(1+Assumptions!$C$6)</f>
        <v>9.094717379136128</v>
      </c>
      <c r="I28" s="697">
        <f t="shared" si="1"/>
        <v>7525851.3470830088</v>
      </c>
      <c r="J28" s="697">
        <f>'Inland Water'!$F$95*C28</f>
        <v>11328504</v>
      </c>
      <c r="K28" s="697">
        <f>K27*(1+Assumptions!$C$6)</f>
        <v>9.094717379136128</v>
      </c>
      <c r="L28" s="697">
        <f t="shared" si="2"/>
        <v>103029542.20841314</v>
      </c>
      <c r="M28" s="697">
        <f t="shared" si="3"/>
        <v>120682437.96452221</v>
      </c>
    </row>
    <row r="29" spans="2:13" x14ac:dyDescent="0.35">
      <c r="B29" s="33">
        <v>2045</v>
      </c>
      <c r="C29">
        <v>23</v>
      </c>
      <c r="D29" s="697">
        <f>'Inland Water'!$F$87*C29</f>
        <v>1164122.4425208014</v>
      </c>
      <c r="E29" s="697">
        <f>E28*(1+Assumptions!$C$6)</f>
        <v>9.3220853136145312</v>
      </c>
      <c r="F29" s="697">
        <f t="shared" si="0"/>
        <v>10852048.724672239</v>
      </c>
      <c r="G29" s="697">
        <f>'Inland Water'!$F$91*C29</f>
        <v>865110.5</v>
      </c>
      <c r="H29" s="697">
        <f>H28*(1+Assumptions!$C$6)</f>
        <v>9.3220853136145312</v>
      </c>
      <c r="I29" s="697">
        <f t="shared" si="1"/>
        <v>8064633.886703724</v>
      </c>
      <c r="J29" s="697">
        <f>'Inland Water'!$F$95*C29</f>
        <v>11843436</v>
      </c>
      <c r="K29" s="697">
        <f>K28*(1+Assumptions!$C$6)</f>
        <v>9.3220853136145312</v>
      </c>
      <c r="L29" s="697">
        <f t="shared" si="2"/>
        <v>110405520.79833363</v>
      </c>
      <c r="M29" s="697">
        <f t="shared" si="3"/>
        <v>129322203.4097096</v>
      </c>
    </row>
    <row r="30" spans="2:13" x14ac:dyDescent="0.35">
      <c r="B30" s="33">
        <v>2046</v>
      </c>
      <c r="C30">
        <v>24</v>
      </c>
      <c r="D30" s="697">
        <f>'Inland Water'!$F$87*C30</f>
        <v>1214736.4617608362</v>
      </c>
      <c r="E30" s="697">
        <f>E29*(1+Assumptions!$C$6)</f>
        <v>9.5551374464548928</v>
      </c>
      <c r="F30" s="697">
        <f t="shared" si="0"/>
        <v>11606973.853345089</v>
      </c>
      <c r="G30" s="697">
        <f>'Inland Water'!$F$91*C30</f>
        <v>902724</v>
      </c>
      <c r="H30" s="697">
        <f>H29*(1+Assumptions!$C$6)</f>
        <v>9.5551374464548928</v>
      </c>
      <c r="I30" s="697">
        <f t="shared" si="1"/>
        <v>8625651.8962135464</v>
      </c>
      <c r="J30" s="697">
        <f>'Inland Water'!$F$95*C30</f>
        <v>12358368</v>
      </c>
      <c r="K30" s="697">
        <f>K29*(1+Assumptions!$C$6)</f>
        <v>9.5551374464548928</v>
      </c>
      <c r="L30" s="697">
        <f t="shared" si="2"/>
        <v>118085904.85386986</v>
      </c>
      <c r="M30" s="697">
        <f t="shared" si="3"/>
        <v>138318530.60342848</v>
      </c>
    </row>
    <row r="31" spans="2:13" x14ac:dyDescent="0.35">
      <c r="B31" s="33">
        <v>2047</v>
      </c>
      <c r="C31">
        <v>25</v>
      </c>
      <c r="D31" s="697">
        <f>'Inland Water'!$F$87*C31</f>
        <v>1265350.4810008712</v>
      </c>
      <c r="E31" s="697">
        <f>E30*(1+Assumptions!$C$6)</f>
        <v>9.7940158826162644</v>
      </c>
      <c r="F31" s="697">
        <f t="shared" si="0"/>
        <v>12392862.707998661</v>
      </c>
      <c r="G31" s="697">
        <f>'Inland Water'!$F$91*C31</f>
        <v>940337.5</v>
      </c>
      <c r="H31" s="697">
        <f>H30*(1+Assumptions!$C$6)</f>
        <v>9.7940158826162644</v>
      </c>
      <c r="I31" s="697">
        <f t="shared" si="1"/>
        <v>9209680.4100196715</v>
      </c>
      <c r="J31" s="697">
        <f>'Inland Water'!$F$95*C31</f>
        <v>12873300</v>
      </c>
      <c r="K31" s="697">
        <f>K30*(1+Assumptions!$C$6)</f>
        <v>9.7940158826162644</v>
      </c>
      <c r="L31" s="697">
        <f t="shared" si="2"/>
        <v>126081304.66168396</v>
      </c>
      <c r="M31" s="697">
        <f t="shared" si="3"/>
        <v>147683847.77970231</v>
      </c>
    </row>
    <row r="32" spans="2:13" x14ac:dyDescent="0.35">
      <c r="B32" s="33">
        <v>2048</v>
      </c>
      <c r="C32">
        <v>26</v>
      </c>
      <c r="D32" s="697">
        <f>'Inland Water'!$F$87*C32</f>
        <v>1315964.5002409059</v>
      </c>
      <c r="E32" s="697">
        <f>E31*(1+Assumptions!$C$6)</f>
        <v>10.03886627968167</v>
      </c>
      <c r="F32" s="697">
        <f t="shared" si="0"/>
        <v>13210791.646726571</v>
      </c>
      <c r="G32" s="697">
        <f>'Inland Water'!$F$91*C32</f>
        <v>977951</v>
      </c>
      <c r="H32" s="697">
        <f>H31*(1+Assumptions!$C$6)</f>
        <v>10.03886627968167</v>
      </c>
      <c r="I32" s="697">
        <f t="shared" si="1"/>
        <v>9817519.317080969</v>
      </c>
      <c r="J32" s="697">
        <f>'Inland Water'!$F$95*C32</f>
        <v>13388232</v>
      </c>
      <c r="K32" s="697">
        <f>K31*(1+Assumptions!$C$6)</f>
        <v>10.03886627968167</v>
      </c>
      <c r="L32" s="697">
        <f t="shared" si="2"/>
        <v>134402670.76935509</v>
      </c>
      <c r="M32" s="697">
        <f t="shared" si="3"/>
        <v>157430981.73316264</v>
      </c>
    </row>
    <row r="33" spans="2:13" x14ac:dyDescent="0.35">
      <c r="B33" s="33">
        <v>2049</v>
      </c>
      <c r="C33">
        <v>27</v>
      </c>
      <c r="D33" s="697">
        <f>'Inland Water'!$F$87*C33</f>
        <v>1366578.5194809409</v>
      </c>
      <c r="E33" s="697">
        <f>E32*(1+Assumptions!$C$6)</f>
        <v>10.289837936673711</v>
      </c>
      <c r="F33" s="697">
        <f t="shared" si="0"/>
        <v>14061871.49319838</v>
      </c>
      <c r="G33" s="697">
        <f>'Inland Water'!$F$91*C33</f>
        <v>1015564.5</v>
      </c>
      <c r="H33" s="697">
        <f>H32*(1+Assumptions!$C$6)</f>
        <v>10.289837936673711</v>
      </c>
      <c r="I33" s="697">
        <f t="shared" si="1"/>
        <v>10449994.11923907</v>
      </c>
      <c r="J33" s="697">
        <f>'Inland Water'!$F$95*C33</f>
        <v>13903164</v>
      </c>
      <c r="K33" s="697">
        <f>K32*(1+Assumptions!$C$6)</f>
        <v>10.289837936673711</v>
      </c>
      <c r="L33" s="697">
        <f t="shared" si="2"/>
        <v>143061304.36699623</v>
      </c>
      <c r="M33" s="697">
        <f t="shared" si="3"/>
        <v>167573169.97943369</v>
      </c>
    </row>
    <row r="34" spans="2:13" x14ac:dyDescent="0.35">
      <c r="B34" s="33">
        <v>2050</v>
      </c>
      <c r="C34">
        <v>28</v>
      </c>
      <c r="D34" s="697">
        <f>'Inland Water'!$F$87*C34</f>
        <v>1417192.5387209756</v>
      </c>
      <c r="E34" s="697">
        <f>E33*(1+Assumptions!$C$6)</f>
        <v>10.547083885090553</v>
      </c>
      <c r="F34" s="697">
        <f t="shared" si="0"/>
        <v>14947248.58721457</v>
      </c>
      <c r="G34" s="697">
        <f>'Inland Water'!$F$91*C34</f>
        <v>1053178</v>
      </c>
      <c r="H34" s="697">
        <f>H33*(1+Assumptions!$C$6)</f>
        <v>10.547083885090553</v>
      </c>
      <c r="I34" s="697">
        <f t="shared" si="1"/>
        <v>11107956.711931897</v>
      </c>
      <c r="J34" s="697">
        <f>'Inland Water'!$F$95*C34</f>
        <v>14418096</v>
      </c>
      <c r="K34" s="697">
        <f>K33*(1+Assumptions!$C$6)</f>
        <v>10.547083885090553</v>
      </c>
      <c r="L34" s="697">
        <f t="shared" si="2"/>
        <v>152068867.97528857</v>
      </c>
      <c r="M34" s="697">
        <f t="shared" si="3"/>
        <v>178124073.27443504</v>
      </c>
    </row>
    <row r="35" spans="2:13" x14ac:dyDescent="0.35">
      <c r="B35" s="33">
        <v>2051</v>
      </c>
      <c r="C35">
        <v>29</v>
      </c>
      <c r="D35" s="697">
        <f>'Inland Water'!$F$87*C35</f>
        <v>1467806.5579610106</v>
      </c>
      <c r="E35" s="697">
        <f>E34*(1+Assumptions!$C$6)</f>
        <v>10.810760982217815</v>
      </c>
      <c r="F35" s="697">
        <f t="shared" si="0"/>
        <v>15868105.866248325</v>
      </c>
      <c r="G35" s="697">
        <f>'Inland Water'!$F$91*C35</f>
        <v>1090791.5</v>
      </c>
      <c r="H35" s="697">
        <f>H34*(1+Assumptions!$C$6)</f>
        <v>10.810760982217815</v>
      </c>
      <c r="I35" s="697">
        <f t="shared" si="1"/>
        <v>11792286.187934844</v>
      </c>
      <c r="J35" s="697">
        <f>'Inland Water'!$F$95*C35</f>
        <v>14933028</v>
      </c>
      <c r="K35" s="697">
        <f>K34*(1+Assumptions!$C$6)</f>
        <v>10.810760982217815</v>
      </c>
      <c r="L35" s="697">
        <f t="shared" si="2"/>
        <v>161437396.44876614</v>
      </c>
      <c r="M35" s="697">
        <f t="shared" si="3"/>
        <v>189097788.5029493</v>
      </c>
    </row>
    <row r="36" spans="2:13" x14ac:dyDescent="0.35">
      <c r="B36" s="33">
        <v>2052</v>
      </c>
      <c r="C36">
        <v>30</v>
      </c>
      <c r="D36" s="697">
        <f>'Inland Water'!$F$87*C36</f>
        <v>1518420.5772010454</v>
      </c>
      <c r="E36" s="697">
        <f>E35*(1+Assumptions!$C$6)</f>
        <v>11.081030006773259</v>
      </c>
      <c r="F36" s="697">
        <f t="shared" si="0"/>
        <v>16825663.978866756</v>
      </c>
      <c r="G36" s="697">
        <f>'Inland Water'!$F$91*C36</f>
        <v>1128405</v>
      </c>
      <c r="H36" s="697">
        <f>H35*(1+Assumptions!$C$6)</f>
        <v>11.081030006773259</v>
      </c>
      <c r="I36" s="697">
        <f t="shared" si="1"/>
        <v>12503889.664792979</v>
      </c>
      <c r="J36" s="697">
        <f>'Inland Water'!$F$95*C36</f>
        <v>15447960</v>
      </c>
      <c r="K36" s="697">
        <f>K35*(1+Assumptions!$C$6)</f>
        <v>11.081030006773259</v>
      </c>
      <c r="L36" s="697">
        <f t="shared" si="2"/>
        <v>171179308.30343303</v>
      </c>
      <c r="M36" s="697">
        <f t="shared" si="3"/>
        <v>200508861.94709277</v>
      </c>
    </row>
    <row r="37" spans="2:13" x14ac:dyDescent="0.35">
      <c r="B37" s="33"/>
      <c r="C37" s="1039" t="s">
        <v>1216</v>
      </c>
      <c r="D37" s="1036"/>
      <c r="E37" s="1036"/>
      <c r="F37" s="1055">
        <f>SUM(F7:F36)</f>
        <v>208558593.93514669</v>
      </c>
      <c r="G37" s="1036"/>
      <c r="H37" s="1036"/>
      <c r="I37" s="1055">
        <f>SUM(I7:I36)</f>
        <v>154989048.30649522</v>
      </c>
      <c r="J37" s="1036"/>
      <c r="K37" s="1036"/>
      <c r="L37" s="1055">
        <f>SUM(L7:L36)</f>
        <v>2121813195.3304055</v>
      </c>
    </row>
    <row r="38" spans="2:13" x14ac:dyDescent="0.35">
      <c r="B38" s="33"/>
      <c r="C38" s="33"/>
      <c r="D38" s="33"/>
      <c r="E38" s="33"/>
      <c r="F38" s="33"/>
      <c r="G38" s="33"/>
      <c r="H38" s="33"/>
      <c r="I38" s="33"/>
      <c r="J38" s="33"/>
      <c r="K38" s="33"/>
      <c r="L38" s="33"/>
    </row>
    <row r="39" spans="2:13" x14ac:dyDescent="0.35">
      <c r="B39" s="33"/>
      <c r="C39" s="33"/>
      <c r="D39" s="33"/>
      <c r="E39" s="1337"/>
      <c r="F39" s="33"/>
      <c r="G39" s="33"/>
      <c r="H39" s="33"/>
      <c r="I39" s="33"/>
      <c r="J39" s="33"/>
      <c r="K39" s="33"/>
      <c r="L39" s="33"/>
    </row>
    <row r="40" spans="2:13" x14ac:dyDescent="0.35">
      <c r="B40" s="33"/>
      <c r="C40" s="33"/>
      <c r="D40" s="33"/>
      <c r="E40" s="33"/>
      <c r="F40" s="33"/>
      <c r="G40" s="33"/>
      <c r="H40" s="33"/>
      <c r="I40" s="33"/>
      <c r="J40" s="33"/>
      <c r="K40" s="33"/>
      <c r="L40" s="33"/>
    </row>
  </sheetData>
  <mergeCells count="3">
    <mergeCell ref="D5:F5"/>
    <mergeCell ref="G5:I5"/>
    <mergeCell ref="J5:L5"/>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B87974-5F91-4256-91BA-7374044C0225}">
  <sheetPr>
    <tabColor rgb="FF47829A"/>
  </sheetPr>
  <dimension ref="A1:AC49"/>
  <sheetViews>
    <sheetView zoomScale="70" zoomScaleNormal="70" workbookViewId="0">
      <selection activeCell="D28" sqref="D28"/>
    </sheetView>
  </sheetViews>
  <sheetFormatPr defaultRowHeight="14.5" x14ac:dyDescent="0.35"/>
  <cols>
    <col min="1" max="1" width="2.453125" customWidth="1"/>
    <col min="2" max="2" width="118.1796875" bestFit="1" customWidth="1"/>
    <col min="3" max="3" width="16.1796875" bestFit="1" customWidth="1"/>
    <col min="4" max="4" width="21.81640625" bestFit="1" customWidth="1"/>
    <col min="5" max="5" width="12.54296875" bestFit="1" customWidth="1"/>
    <col min="6" max="7" width="14.453125" bestFit="1" customWidth="1"/>
    <col min="9" max="9" width="12.81640625" bestFit="1" customWidth="1"/>
    <col min="13" max="13" width="14.81640625" bestFit="1" customWidth="1"/>
  </cols>
  <sheetData>
    <row r="1" spans="1:29" s="24" customFormat="1" x14ac:dyDescent="0.35">
      <c r="A1" s="1"/>
      <c r="B1" s="23" t="s">
        <v>572</v>
      </c>
      <c r="C1" s="1"/>
      <c r="D1" s="1"/>
      <c r="E1" s="1"/>
      <c r="F1" s="1"/>
      <c r="G1" s="1"/>
      <c r="H1" s="1"/>
      <c r="I1" s="1"/>
      <c r="J1" s="1"/>
      <c r="K1" s="1"/>
      <c r="L1" s="1"/>
      <c r="M1" s="1"/>
      <c r="N1" s="1"/>
      <c r="O1" s="1"/>
      <c r="P1" s="1"/>
      <c r="Q1" s="1"/>
      <c r="R1" s="1"/>
      <c r="S1" s="1"/>
      <c r="T1" s="1"/>
      <c r="U1" s="1"/>
      <c r="V1" s="1"/>
      <c r="W1" s="1"/>
      <c r="X1" s="1"/>
      <c r="Y1" s="1"/>
      <c r="Z1" s="1"/>
      <c r="AA1" s="1"/>
      <c r="AB1" s="1"/>
      <c r="AC1" s="1"/>
    </row>
    <row r="2" spans="1:29" s="67" customFormat="1" ht="9.65" customHeight="1" x14ac:dyDescent="0.35">
      <c r="A2"/>
      <c r="B2"/>
      <c r="C2"/>
      <c r="D2"/>
      <c r="E2"/>
      <c r="F2"/>
      <c r="G2"/>
      <c r="H2"/>
      <c r="I2"/>
      <c r="J2"/>
      <c r="K2"/>
      <c r="L2"/>
      <c r="M2"/>
      <c r="N2"/>
      <c r="O2"/>
      <c r="P2"/>
      <c r="Q2"/>
      <c r="R2"/>
      <c r="S2"/>
      <c r="T2"/>
      <c r="U2"/>
      <c r="V2"/>
      <c r="W2"/>
      <c r="X2"/>
      <c r="Y2"/>
      <c r="Z2"/>
      <c r="AA2"/>
      <c r="AB2"/>
      <c r="AC2"/>
    </row>
    <row r="3" spans="1:29" s="67" customFormat="1" x14ac:dyDescent="0.35">
      <c r="A3" s="68"/>
      <c r="B3" s="69" t="s">
        <v>573</v>
      </c>
      <c r="C3" s="69"/>
      <c r="D3" s="69"/>
      <c r="E3" s="69"/>
      <c r="F3" s="69"/>
      <c r="G3" s="69"/>
      <c r="H3" s="69"/>
      <c r="I3" s="69"/>
      <c r="J3" s="69"/>
      <c r="K3" s="69"/>
      <c r="L3" s="69"/>
      <c r="M3" s="69"/>
      <c r="N3" s="69"/>
      <c r="O3" s="68"/>
      <c r="P3" s="68"/>
      <c r="Q3" s="68"/>
      <c r="R3" s="68"/>
      <c r="S3" s="68"/>
      <c r="T3" s="68"/>
      <c r="U3" s="68"/>
      <c r="V3" s="68"/>
      <c r="W3" s="68"/>
      <c r="X3" s="68"/>
      <c r="Y3" s="68"/>
      <c r="Z3" s="68"/>
      <c r="AA3" s="68"/>
      <c r="AB3" s="68"/>
    </row>
    <row r="4" spans="1:29" s="67" customFormat="1" ht="46.5" customHeight="1" x14ac:dyDescent="0.35">
      <c r="B4" s="70" t="s">
        <v>574</v>
      </c>
      <c r="C4" s="70" t="s">
        <v>575</v>
      </c>
      <c r="D4" s="70" t="s">
        <v>576</v>
      </c>
      <c r="E4" s="70" t="s">
        <v>577</v>
      </c>
      <c r="F4" s="70" t="s">
        <v>578</v>
      </c>
      <c r="G4" s="70" t="s">
        <v>579</v>
      </c>
      <c r="H4" s="70"/>
      <c r="I4" s="70" t="s">
        <v>580</v>
      </c>
      <c r="J4" s="70" t="s">
        <v>581</v>
      </c>
      <c r="K4" s="70" t="s">
        <v>582</v>
      </c>
      <c r="L4" s="70" t="s">
        <v>583</v>
      </c>
      <c r="M4" s="70" t="s">
        <v>584</v>
      </c>
      <c r="N4"/>
      <c r="O4"/>
      <c r="P4"/>
      <c r="Q4"/>
      <c r="R4"/>
      <c r="S4"/>
      <c r="T4"/>
      <c r="U4"/>
      <c r="V4"/>
      <c r="W4"/>
      <c r="X4"/>
      <c r="Y4"/>
      <c r="Z4"/>
      <c r="AA4"/>
      <c r="AB4"/>
    </row>
    <row r="5" spans="1:29" s="67" customFormat="1" x14ac:dyDescent="0.35">
      <c r="B5" s="71" t="s">
        <v>585</v>
      </c>
      <c r="C5" s="72">
        <v>353763</v>
      </c>
      <c r="D5" s="72">
        <v>202309.4</v>
      </c>
      <c r="E5" s="72">
        <v>201361.2</v>
      </c>
      <c r="F5" s="72">
        <v>151453.6</v>
      </c>
      <c r="G5" s="72">
        <v>152401.79999999999</v>
      </c>
      <c r="H5" s="72"/>
      <c r="I5" s="73">
        <v>-948.2</v>
      </c>
      <c r="J5" s="74">
        <v>-2.7000000000000001E-3</v>
      </c>
      <c r="K5" s="75">
        <f t="shared" ref="K5:K13" si="0">E5/C5</f>
        <v>0.56919802240483042</v>
      </c>
      <c r="L5" s="76">
        <v>1</v>
      </c>
      <c r="M5" s="77">
        <f t="shared" ref="M5:M13" si="1">(C5*L5)-E5</f>
        <v>152401.79999999999</v>
      </c>
      <c r="N5"/>
      <c r="O5">
        <f>38877/22412</f>
        <v>1.73465107977869</v>
      </c>
      <c r="P5"/>
      <c r="Q5"/>
      <c r="R5"/>
      <c r="S5"/>
      <c r="T5"/>
      <c r="U5"/>
      <c r="V5"/>
      <c r="W5"/>
      <c r="X5"/>
      <c r="Y5"/>
      <c r="Z5"/>
      <c r="AA5"/>
      <c r="AB5"/>
    </row>
    <row r="6" spans="1:29" s="67" customFormat="1" x14ac:dyDescent="0.35">
      <c r="B6" s="71" t="s">
        <v>586</v>
      </c>
      <c r="C6" s="72">
        <v>1411</v>
      </c>
      <c r="D6" s="73">
        <v>197</v>
      </c>
      <c r="E6" s="73">
        <v>179</v>
      </c>
      <c r="F6" s="72">
        <v>1214</v>
      </c>
      <c r="G6" s="72">
        <v>1232</v>
      </c>
      <c r="H6" s="72"/>
      <c r="I6" s="73">
        <v>-18</v>
      </c>
      <c r="J6" s="74">
        <v>-1.2800000000000001E-2</v>
      </c>
      <c r="K6" s="75">
        <f t="shared" si="0"/>
        <v>0.1268603827072998</v>
      </c>
      <c r="L6" s="76">
        <v>1</v>
      </c>
      <c r="M6" s="77">
        <f t="shared" si="1"/>
        <v>1232</v>
      </c>
      <c r="N6"/>
      <c r="O6"/>
      <c r="P6"/>
      <c r="Q6"/>
      <c r="R6"/>
      <c r="S6"/>
      <c r="T6"/>
      <c r="U6"/>
      <c r="V6"/>
      <c r="W6"/>
      <c r="X6"/>
      <c r="Y6"/>
      <c r="Z6"/>
      <c r="AA6"/>
      <c r="AB6"/>
    </row>
    <row r="7" spans="1:29" s="67" customFormat="1" x14ac:dyDescent="0.35">
      <c r="B7" s="71" t="s">
        <v>587</v>
      </c>
      <c r="C7" s="72">
        <v>236038.05</v>
      </c>
      <c r="D7" s="72">
        <v>140114.4</v>
      </c>
      <c r="E7" s="72">
        <v>141642.35</v>
      </c>
      <c r="F7" s="72">
        <v>95923.65</v>
      </c>
      <c r="G7" s="72">
        <v>94395.7</v>
      </c>
      <c r="H7" s="72"/>
      <c r="I7" s="72">
        <v>1527.95</v>
      </c>
      <c r="J7" s="74">
        <v>6.4999999999999997E-3</v>
      </c>
      <c r="K7" s="75">
        <f t="shared" si="0"/>
        <v>0.60008269853102081</v>
      </c>
      <c r="L7" s="76">
        <v>1</v>
      </c>
      <c r="M7" s="77">
        <f t="shared" si="1"/>
        <v>94395.699999999983</v>
      </c>
      <c r="N7"/>
      <c r="O7"/>
      <c r="P7"/>
      <c r="Q7"/>
      <c r="R7"/>
      <c r="S7"/>
      <c r="T7"/>
      <c r="U7"/>
      <c r="V7"/>
      <c r="W7"/>
      <c r="X7"/>
      <c r="Y7"/>
      <c r="Z7"/>
      <c r="AA7"/>
      <c r="AB7"/>
    </row>
    <row r="8" spans="1:29" s="67" customFormat="1" x14ac:dyDescent="0.35">
      <c r="B8" s="71" t="s">
        <v>588</v>
      </c>
      <c r="C8" s="72">
        <v>49735.199999999997</v>
      </c>
      <c r="D8" s="72">
        <v>36019.449999999997</v>
      </c>
      <c r="E8" s="72">
        <v>35598.449999999997</v>
      </c>
      <c r="F8" s="72">
        <v>13715.75</v>
      </c>
      <c r="G8" s="72">
        <v>14136.75</v>
      </c>
      <c r="H8" s="72"/>
      <c r="I8" s="73">
        <v>-421</v>
      </c>
      <c r="J8" s="74">
        <v>-8.5000000000000006E-3</v>
      </c>
      <c r="K8" s="75">
        <f t="shared" si="0"/>
        <v>0.715759663176181</v>
      </c>
      <c r="L8" s="76">
        <v>1</v>
      </c>
      <c r="M8" s="77">
        <f t="shared" si="1"/>
        <v>14136.75</v>
      </c>
      <c r="N8"/>
      <c r="O8"/>
      <c r="P8"/>
      <c r="Q8"/>
      <c r="R8"/>
      <c r="S8"/>
      <c r="T8"/>
      <c r="U8"/>
      <c r="V8"/>
      <c r="W8"/>
      <c r="X8"/>
      <c r="Y8"/>
      <c r="Z8"/>
      <c r="AA8"/>
      <c r="AB8"/>
    </row>
    <row r="9" spans="1:29" s="67" customFormat="1" x14ac:dyDescent="0.35">
      <c r="B9" s="71" t="s">
        <v>589</v>
      </c>
      <c r="C9" s="72">
        <v>457027.3</v>
      </c>
      <c r="D9" s="72">
        <v>129181</v>
      </c>
      <c r="E9" s="72">
        <v>132323.54999999999</v>
      </c>
      <c r="F9" s="72">
        <v>327846.3</v>
      </c>
      <c r="G9" s="72">
        <v>324703.75</v>
      </c>
      <c r="H9" s="72"/>
      <c r="I9" s="72">
        <v>3142.55</v>
      </c>
      <c r="J9" s="74">
        <v>6.8999999999999999E-3</v>
      </c>
      <c r="K9" s="75">
        <f t="shared" si="0"/>
        <v>0.2895309536213701</v>
      </c>
      <c r="L9" s="76">
        <v>1</v>
      </c>
      <c r="M9" s="77">
        <f t="shared" si="1"/>
        <v>324703.75</v>
      </c>
      <c r="N9"/>
      <c r="O9"/>
      <c r="P9"/>
      <c r="Q9"/>
      <c r="R9"/>
      <c r="S9"/>
      <c r="T9"/>
      <c r="U9"/>
      <c r="V9"/>
      <c r="W9"/>
      <c r="X9"/>
      <c r="Y9"/>
      <c r="Z9"/>
      <c r="AA9"/>
      <c r="AB9"/>
    </row>
    <row r="10" spans="1:29" s="67" customFormat="1" x14ac:dyDescent="0.35">
      <c r="B10" s="71" t="s">
        <v>590</v>
      </c>
      <c r="C10" s="72">
        <v>23807.55</v>
      </c>
      <c r="D10" s="72">
        <v>4942.75</v>
      </c>
      <c r="E10" s="72">
        <v>5176.05</v>
      </c>
      <c r="F10" s="72">
        <v>18864.8</v>
      </c>
      <c r="G10" s="72">
        <v>18631.5</v>
      </c>
      <c r="H10" s="72"/>
      <c r="I10" s="73">
        <v>233.3</v>
      </c>
      <c r="J10" s="74">
        <v>9.7999999999999997E-3</v>
      </c>
      <c r="K10" s="75">
        <f t="shared" si="0"/>
        <v>0.21741212346503527</v>
      </c>
      <c r="L10" s="76">
        <v>1</v>
      </c>
      <c r="M10" s="77">
        <f t="shared" si="1"/>
        <v>18631.5</v>
      </c>
      <c r="N10"/>
      <c r="O10"/>
      <c r="P10"/>
      <c r="Q10"/>
      <c r="R10"/>
      <c r="S10"/>
      <c r="T10"/>
      <c r="U10"/>
      <c r="V10"/>
      <c r="W10"/>
      <c r="X10"/>
      <c r="Y10"/>
      <c r="Z10"/>
      <c r="AA10"/>
      <c r="AB10"/>
    </row>
    <row r="11" spans="1:29" s="67" customFormat="1" x14ac:dyDescent="0.35">
      <c r="B11" s="71" t="s">
        <v>591</v>
      </c>
      <c r="C11" s="72">
        <v>96494.35</v>
      </c>
      <c r="D11" s="72">
        <v>28093.55</v>
      </c>
      <c r="E11" s="72">
        <v>28494.45</v>
      </c>
      <c r="F11" s="72">
        <v>68400.800000000003</v>
      </c>
      <c r="G11" s="72">
        <v>67999.899999999994</v>
      </c>
      <c r="H11" s="72"/>
      <c r="I11" s="73">
        <v>400.9</v>
      </c>
      <c r="J11" s="74">
        <v>4.1999999999999997E-3</v>
      </c>
      <c r="K11" s="75">
        <f t="shared" si="0"/>
        <v>0.2952965639957158</v>
      </c>
      <c r="L11" s="76">
        <v>1</v>
      </c>
      <c r="M11" s="77">
        <f t="shared" si="1"/>
        <v>67999.900000000009</v>
      </c>
      <c r="N11"/>
      <c r="O11"/>
      <c r="P11"/>
      <c r="Q11"/>
      <c r="R11"/>
      <c r="S11"/>
      <c r="T11"/>
      <c r="U11"/>
      <c r="V11"/>
      <c r="W11"/>
      <c r="X11"/>
      <c r="Y11"/>
      <c r="Z11"/>
      <c r="AA11"/>
      <c r="AB11"/>
    </row>
    <row r="12" spans="1:29" s="67" customFormat="1" x14ac:dyDescent="0.35">
      <c r="B12" s="71" t="s">
        <v>592</v>
      </c>
      <c r="C12" s="72">
        <v>6817.75</v>
      </c>
      <c r="D12" s="72">
        <v>1129.3499999999999</v>
      </c>
      <c r="E12" s="72">
        <v>1143.0999999999999</v>
      </c>
      <c r="F12" s="72">
        <v>5688.4</v>
      </c>
      <c r="G12" s="72">
        <v>5674.65</v>
      </c>
      <c r="H12" s="72"/>
      <c r="I12" s="73">
        <v>13.75</v>
      </c>
      <c r="J12" s="74">
        <v>2E-3</v>
      </c>
      <c r="K12" s="75">
        <f t="shared" si="0"/>
        <v>0.16766528546807963</v>
      </c>
      <c r="L12" s="76">
        <v>1</v>
      </c>
      <c r="M12" s="77">
        <f t="shared" si="1"/>
        <v>5674.65</v>
      </c>
      <c r="N12"/>
      <c r="O12"/>
      <c r="P12"/>
      <c r="Q12"/>
      <c r="R12"/>
      <c r="S12"/>
      <c r="T12"/>
      <c r="U12"/>
      <c r="V12"/>
      <c r="W12"/>
      <c r="X12"/>
      <c r="Y12"/>
      <c r="Z12"/>
      <c r="AA12"/>
      <c r="AB12"/>
    </row>
    <row r="13" spans="1:29" s="67" customFormat="1" x14ac:dyDescent="0.35">
      <c r="B13" s="71" t="s">
        <v>593</v>
      </c>
      <c r="C13" s="72">
        <v>46796.85</v>
      </c>
      <c r="D13" s="72">
        <v>23309.15</v>
      </c>
      <c r="E13" s="72">
        <v>23092.3</v>
      </c>
      <c r="F13" s="72">
        <v>23487.7</v>
      </c>
      <c r="G13" s="72">
        <v>23704.55</v>
      </c>
      <c r="H13" s="72"/>
      <c r="I13" s="73">
        <v>-216.85</v>
      </c>
      <c r="J13" s="74">
        <v>-4.5999999999999999E-3</v>
      </c>
      <c r="K13" s="75">
        <f t="shared" si="0"/>
        <v>0.49345842722319982</v>
      </c>
      <c r="L13" s="76">
        <v>1</v>
      </c>
      <c r="M13" s="77">
        <f t="shared" si="1"/>
        <v>23704.55</v>
      </c>
      <c r="N13"/>
      <c r="O13"/>
      <c r="P13"/>
      <c r="Q13"/>
      <c r="R13"/>
      <c r="S13"/>
      <c r="T13"/>
      <c r="U13"/>
      <c r="V13"/>
      <c r="W13"/>
      <c r="X13"/>
      <c r="Y13"/>
      <c r="Z13"/>
      <c r="AA13"/>
      <c r="AB13"/>
    </row>
    <row r="14" spans="1:29" s="67" customFormat="1" x14ac:dyDescent="0.35">
      <c r="B14" s="78" t="s">
        <v>0</v>
      </c>
      <c r="C14" s="79">
        <v>1271891.05</v>
      </c>
      <c r="D14" s="79">
        <v>565296.05000000005</v>
      </c>
      <c r="E14" s="79">
        <v>569010.44999999995</v>
      </c>
      <c r="F14" s="80">
        <v>706595</v>
      </c>
      <c r="G14" s="80">
        <v>702880.6</v>
      </c>
      <c r="H14" s="80"/>
      <c r="I14" s="80">
        <v>3714.4</v>
      </c>
      <c r="J14" s="81">
        <v>2.8999999999999998E-3</v>
      </c>
      <c r="K14" s="82"/>
      <c r="L14" s="82"/>
      <c r="M14" s="83">
        <f>SUM(SUM(M5:M13))</f>
        <v>702880.60000000009</v>
      </c>
      <c r="N14" s="697">
        <f>M14/C14</f>
        <v>0.55262642189360489</v>
      </c>
      <c r="O14"/>
      <c r="P14"/>
      <c r="Q14"/>
      <c r="R14"/>
      <c r="S14"/>
      <c r="T14"/>
      <c r="U14"/>
      <c r="V14"/>
      <c r="W14"/>
      <c r="X14"/>
      <c r="Y14"/>
      <c r="Z14"/>
      <c r="AA14"/>
      <c r="AB14"/>
    </row>
    <row r="15" spans="1:29" s="67" customFormat="1" x14ac:dyDescent="0.35">
      <c r="B15" s="84" t="s">
        <v>594</v>
      </c>
      <c r="C15"/>
      <c r="D15">
        <f>1-D14/C14</f>
        <v>0.55554679781731298</v>
      </c>
      <c r="E15">
        <f>1-E14/C14</f>
        <v>0.55262642189360478</v>
      </c>
      <c r="F15"/>
      <c r="G15"/>
      <c r="H15"/>
      <c r="I15"/>
      <c r="J15"/>
      <c r="K15"/>
      <c r="L15"/>
      <c r="M15"/>
      <c r="N15"/>
      <c r="O15"/>
      <c r="P15"/>
      <c r="Q15"/>
      <c r="R15"/>
      <c r="S15"/>
      <c r="T15"/>
      <c r="U15"/>
      <c r="V15"/>
      <c r="W15"/>
      <c r="X15"/>
      <c r="Y15"/>
      <c r="Z15"/>
      <c r="AA15"/>
      <c r="AB15"/>
      <c r="AC15"/>
    </row>
    <row r="16" spans="1:29" s="67" customFormat="1" x14ac:dyDescent="0.35">
      <c r="A16"/>
      <c r="B16"/>
      <c r="C16"/>
      <c r="D16"/>
      <c r="E16"/>
      <c r="F16"/>
      <c r="G16"/>
      <c r="H16"/>
      <c r="I16"/>
      <c r="J16"/>
      <c r="K16"/>
      <c r="L16"/>
      <c r="M16"/>
      <c r="N16"/>
      <c r="O16"/>
      <c r="P16"/>
      <c r="Q16"/>
      <c r="R16"/>
      <c r="S16"/>
      <c r="T16"/>
      <c r="U16"/>
      <c r="V16"/>
      <c r="W16"/>
      <c r="X16"/>
      <c r="Y16"/>
      <c r="Z16"/>
      <c r="AA16"/>
      <c r="AB16"/>
      <c r="AC16"/>
    </row>
    <row r="17" spans="1:29" s="24" customFormat="1" ht="15" thickBot="1" x14ac:dyDescent="0.4">
      <c r="A17" s="1"/>
      <c r="B17" s="23" t="s">
        <v>595</v>
      </c>
      <c r="C17" s="1"/>
      <c r="D17" s="1"/>
      <c r="E17" s="1"/>
      <c r="F17" s="1"/>
      <c r="G17" s="1"/>
      <c r="H17" s="1"/>
      <c r="I17" s="1"/>
      <c r="J17" s="1"/>
      <c r="K17" s="1"/>
      <c r="L17" s="1"/>
      <c r="M17" s="1"/>
      <c r="N17" s="1"/>
      <c r="O17" s="1"/>
      <c r="P17" s="1"/>
      <c r="Q17" s="1"/>
      <c r="R17" s="1"/>
      <c r="S17" s="1"/>
      <c r="T17" s="1"/>
      <c r="U17" s="1"/>
      <c r="V17" s="1"/>
      <c r="W17" s="1"/>
      <c r="X17" s="1"/>
      <c r="Y17" s="1"/>
      <c r="Z17" s="1"/>
      <c r="AA17" s="1"/>
      <c r="AB17" s="1"/>
      <c r="AC17" s="1"/>
    </row>
    <row r="18" spans="1:29" s="2" customFormat="1" x14ac:dyDescent="0.35">
      <c r="A18" s="33"/>
      <c r="B18" s="85" t="s">
        <v>596</v>
      </c>
      <c r="C18" s="840" t="s">
        <v>123</v>
      </c>
      <c r="D18" s="1669" t="s">
        <v>73</v>
      </c>
      <c r="E18" s="1669"/>
      <c r="F18" s="1670"/>
      <c r="G18" s="33"/>
      <c r="H18" s="33"/>
      <c r="I18" s="33"/>
      <c r="J18" s="33"/>
      <c r="K18" s="33"/>
      <c r="L18" s="33"/>
      <c r="M18" s="33"/>
      <c r="N18" s="33"/>
      <c r="O18" s="33"/>
      <c r="P18" s="33"/>
      <c r="Q18" s="33"/>
      <c r="R18" s="33"/>
      <c r="S18" s="33"/>
      <c r="T18" s="33"/>
      <c r="U18" s="33"/>
      <c r="V18" s="33"/>
      <c r="W18" s="33"/>
      <c r="X18" s="33"/>
      <c r="Y18" s="33"/>
      <c r="Z18" s="33"/>
      <c r="AA18" s="33"/>
      <c r="AB18" s="33"/>
      <c r="AC18" s="33"/>
    </row>
    <row r="19" spans="1:29" s="2" customFormat="1" x14ac:dyDescent="0.35">
      <c r="A19" s="33"/>
      <c r="B19" s="86" t="s">
        <v>597</v>
      </c>
      <c r="C19" s="87">
        <v>3400</v>
      </c>
      <c r="D19" s="87"/>
      <c r="E19" s="87"/>
      <c r="F19" s="88"/>
      <c r="G19" s="33"/>
      <c r="H19" s="33"/>
      <c r="I19" s="33"/>
      <c r="J19" s="33"/>
      <c r="K19" s="33"/>
      <c r="L19" s="33"/>
      <c r="M19" s="33"/>
      <c r="N19" s="33"/>
      <c r="O19" s="33"/>
      <c r="P19" s="33"/>
      <c r="Q19" s="33"/>
      <c r="R19" s="33"/>
      <c r="S19" s="33"/>
      <c r="T19" s="33"/>
      <c r="U19" s="33"/>
      <c r="V19" s="33"/>
      <c r="W19" s="33"/>
      <c r="X19" s="33"/>
      <c r="Y19" s="33"/>
      <c r="Z19" s="33"/>
      <c r="AA19" s="33"/>
      <c r="AB19" s="33"/>
      <c r="AC19" s="33"/>
    </row>
    <row r="20" spans="1:29" s="2" customFormat="1" x14ac:dyDescent="0.35">
      <c r="A20" s="33"/>
      <c r="B20" s="86" t="s">
        <v>598</v>
      </c>
      <c r="C20" s="87">
        <v>10000</v>
      </c>
      <c r="D20" s="87"/>
      <c r="E20" s="87"/>
      <c r="F20" s="88"/>
      <c r="G20" s="33"/>
      <c r="H20" s="33"/>
      <c r="I20" s="33"/>
      <c r="J20" s="33"/>
      <c r="K20" s="33"/>
      <c r="L20" s="33"/>
      <c r="M20" s="33"/>
      <c r="N20" s="33"/>
      <c r="O20" s="33"/>
      <c r="P20" s="33"/>
      <c r="Q20" s="33"/>
      <c r="R20" s="33"/>
      <c r="S20" s="33"/>
      <c r="T20" s="33"/>
      <c r="U20" s="33"/>
      <c r="V20" s="33"/>
      <c r="W20" s="33"/>
      <c r="X20" s="33"/>
      <c r="Y20" s="33"/>
      <c r="Z20" s="33"/>
      <c r="AA20" s="33"/>
      <c r="AB20" s="33"/>
      <c r="AC20" s="33"/>
    </row>
    <row r="21" spans="1:29" s="2" customFormat="1" x14ac:dyDescent="0.35">
      <c r="A21" s="33"/>
      <c r="B21" s="86" t="s">
        <v>599</v>
      </c>
      <c r="C21" s="87">
        <v>31000</v>
      </c>
      <c r="D21" s="87" t="s">
        <v>600</v>
      </c>
      <c r="E21" s="87"/>
      <c r="F21" s="88"/>
      <c r="G21" s="33"/>
      <c r="H21" s="33"/>
      <c r="I21" s="33"/>
      <c r="J21" s="33"/>
      <c r="K21" s="33"/>
      <c r="L21" s="33"/>
      <c r="M21" s="33"/>
      <c r="N21" s="33"/>
      <c r="O21" s="33"/>
      <c r="P21" s="33"/>
      <c r="Q21" s="33"/>
      <c r="R21" s="33"/>
      <c r="S21" s="33"/>
      <c r="T21" s="33"/>
      <c r="U21" s="33"/>
      <c r="V21" s="33"/>
      <c r="W21" s="33"/>
      <c r="X21" s="33"/>
      <c r="Y21" s="33"/>
      <c r="Z21" s="33"/>
      <c r="AA21" s="33"/>
      <c r="AB21" s="33"/>
      <c r="AC21" s="33"/>
    </row>
    <row r="22" spans="1:29" s="2" customFormat="1" x14ac:dyDescent="0.35">
      <c r="A22" s="33"/>
      <c r="B22" s="86" t="s">
        <v>601</v>
      </c>
      <c r="C22" s="87">
        <v>500</v>
      </c>
      <c r="D22" s="87"/>
      <c r="E22" s="87"/>
      <c r="F22" s="88"/>
      <c r="G22" s="33"/>
      <c r="H22" s="33"/>
      <c r="I22" s="33"/>
      <c r="J22" s="33"/>
      <c r="K22" s="33"/>
      <c r="L22" s="33"/>
      <c r="M22" s="33"/>
      <c r="N22" s="33"/>
      <c r="O22" s="33"/>
      <c r="P22" s="33"/>
      <c r="Q22" s="33"/>
      <c r="R22" s="33"/>
      <c r="S22" s="33"/>
      <c r="T22" s="33"/>
      <c r="U22" s="33"/>
      <c r="V22" s="33"/>
      <c r="W22" s="33"/>
      <c r="X22" s="33"/>
      <c r="Y22" s="33"/>
      <c r="Z22" s="33"/>
      <c r="AA22" s="33"/>
      <c r="AB22" s="33"/>
      <c r="AC22" s="33"/>
    </row>
    <row r="23" spans="1:29" s="2" customFormat="1" x14ac:dyDescent="0.35">
      <c r="A23" s="33"/>
      <c r="B23" s="86" t="s">
        <v>602</v>
      </c>
      <c r="C23" s="87">
        <v>1600</v>
      </c>
      <c r="D23" s="87"/>
      <c r="E23" s="87"/>
      <c r="F23" s="88"/>
      <c r="G23" s="33"/>
      <c r="H23" s="33"/>
      <c r="I23" s="33"/>
      <c r="J23" s="33"/>
      <c r="K23" s="33"/>
      <c r="L23" s="33"/>
      <c r="M23" s="33"/>
      <c r="N23" s="33"/>
      <c r="O23" s="33"/>
      <c r="P23" s="33"/>
      <c r="Q23" s="33"/>
      <c r="R23" s="33"/>
      <c r="S23" s="33"/>
      <c r="T23" s="33"/>
      <c r="U23" s="33"/>
      <c r="V23" s="33"/>
      <c r="W23" s="33"/>
      <c r="X23" s="33"/>
      <c r="Y23" s="33"/>
      <c r="Z23" s="33"/>
      <c r="AA23" s="33"/>
      <c r="AB23" s="33"/>
      <c r="AC23" s="33"/>
    </row>
    <row r="25" spans="1:29" x14ac:dyDescent="0.35">
      <c r="B25" s="119"/>
    </row>
    <row r="26" spans="1:29" s="89" customFormat="1" x14ac:dyDescent="0.35">
      <c r="B26" s="89" t="s">
        <v>603</v>
      </c>
    </row>
    <row r="28" spans="1:29" x14ac:dyDescent="0.35">
      <c r="B28" t="s">
        <v>1133</v>
      </c>
      <c r="C28" s="550">
        <v>356000</v>
      </c>
    </row>
    <row r="29" spans="1:29" x14ac:dyDescent="0.35">
      <c r="C29" s="550">
        <v>424000</v>
      </c>
    </row>
    <row r="30" spans="1:29" x14ac:dyDescent="0.35">
      <c r="C30" s="550">
        <v>600000</v>
      </c>
    </row>
    <row r="31" spans="1:29" x14ac:dyDescent="0.35">
      <c r="C31" s="550">
        <v>900000</v>
      </c>
    </row>
    <row r="32" spans="1:29" x14ac:dyDescent="0.35">
      <c r="B32" s="687" t="s">
        <v>604</v>
      </c>
      <c r="C32" s="686">
        <f>AVERAGE(C28:C31)</f>
        <v>570000</v>
      </c>
    </row>
    <row r="35" spans="2:3" s="89" customFormat="1" x14ac:dyDescent="0.35">
      <c r="B35" s="89" t="s">
        <v>1006</v>
      </c>
    </row>
    <row r="36" spans="2:3" x14ac:dyDescent="0.35">
      <c r="C36" s="347"/>
    </row>
    <row r="37" spans="2:3" x14ac:dyDescent="0.35">
      <c r="B37" t="s">
        <v>1007</v>
      </c>
      <c r="C37" s="347">
        <v>34000000</v>
      </c>
    </row>
    <row r="38" spans="2:3" x14ac:dyDescent="0.35">
      <c r="B38" t="s">
        <v>1008</v>
      </c>
      <c r="C38" s="347">
        <v>306000000</v>
      </c>
    </row>
    <row r="39" spans="2:3" x14ac:dyDescent="0.35">
      <c r="B39" t="s">
        <v>1009</v>
      </c>
      <c r="C39" s="347">
        <v>140000000</v>
      </c>
    </row>
    <row r="40" spans="2:3" x14ac:dyDescent="0.35">
      <c r="B40" t="s">
        <v>1010</v>
      </c>
      <c r="C40" s="347">
        <v>164000000</v>
      </c>
    </row>
    <row r="41" spans="2:3" x14ac:dyDescent="0.35">
      <c r="B41" t="s">
        <v>1011</v>
      </c>
      <c r="C41" s="347">
        <v>152000000</v>
      </c>
    </row>
    <row r="42" spans="2:3" x14ac:dyDescent="0.35">
      <c r="B42" t="s">
        <v>1012</v>
      </c>
      <c r="C42" s="347">
        <v>68000000</v>
      </c>
    </row>
    <row r="43" spans="2:3" x14ac:dyDescent="0.35">
      <c r="B43" t="s">
        <v>1015</v>
      </c>
      <c r="C43" s="347" t="s">
        <v>1016</v>
      </c>
    </row>
    <row r="44" spans="2:3" x14ac:dyDescent="0.35">
      <c r="B44" t="s">
        <v>0</v>
      </c>
      <c r="C44" s="698">
        <f>SUM(C37:C42)</f>
        <v>864000000</v>
      </c>
    </row>
    <row r="45" spans="2:3" x14ac:dyDescent="0.35">
      <c r="C45" s="347"/>
    </row>
    <row r="46" spans="2:3" x14ac:dyDescent="0.35">
      <c r="B46" t="s">
        <v>1130</v>
      </c>
      <c r="C46" s="347">
        <v>200000000</v>
      </c>
    </row>
    <row r="47" spans="2:3" x14ac:dyDescent="0.35">
      <c r="B47" t="s">
        <v>1131</v>
      </c>
      <c r="C47" s="698">
        <f>C44-C46</f>
        <v>664000000</v>
      </c>
    </row>
    <row r="49" spans="2:2" s="324" customFormat="1" x14ac:dyDescent="0.35">
      <c r="B49" s="324" t="s">
        <v>605</v>
      </c>
    </row>
  </sheetData>
  <mergeCells count="1">
    <mergeCell ref="D18:F18"/>
  </mergeCells>
  <hyperlinks>
    <hyperlink ref="B15" r:id="rId1" xr:uid="{5493A258-A6A2-41EC-9D89-5549275D9C12}"/>
  </hyperlinks>
  <pageMargins left="0.7" right="0.7" top="0.75" bottom="0.75" header="0.3" footer="0.3"/>
  <pageSetup paperSize="9" orientation="portrait" r:id="rId2"/>
  <drawing r:id="rId3"/>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E537B9-B60E-4B4A-96A4-BFA9F3BE19E2}">
  <sheetPr>
    <tabColor rgb="FF2A9D8F"/>
  </sheetPr>
  <dimension ref="A1:Q6732"/>
  <sheetViews>
    <sheetView zoomScale="85" zoomScaleNormal="85" workbookViewId="0">
      <selection activeCell="C16" sqref="C16"/>
    </sheetView>
  </sheetViews>
  <sheetFormatPr defaultColWidth="9" defaultRowHeight="13" x14ac:dyDescent="0.3"/>
  <cols>
    <col min="1" max="1" width="9.1796875" style="647" bestFit="1" customWidth="1"/>
    <col min="2" max="2" width="36" style="647" bestFit="1" customWidth="1"/>
    <col min="3" max="3" width="24.26953125" style="647" bestFit="1" customWidth="1"/>
    <col min="4" max="5" width="9" style="647"/>
    <col min="6" max="6" width="9.1796875" style="647" bestFit="1" customWidth="1"/>
    <col min="7" max="7" width="13.81640625" style="647" customWidth="1"/>
    <col min="8" max="8" width="9.1796875" style="647" bestFit="1" customWidth="1"/>
    <col min="9" max="9" width="25.453125" style="647" bestFit="1" customWidth="1"/>
    <col min="10" max="10" width="13.81640625" style="647" bestFit="1" customWidth="1"/>
    <col min="11" max="11" width="21.81640625" style="647" customWidth="1"/>
    <col min="12" max="12" width="10.1796875" style="647" bestFit="1" customWidth="1"/>
    <col min="13" max="14" width="9" style="647"/>
    <col min="15" max="15" width="13" style="647" bestFit="1" customWidth="1"/>
    <col min="16" max="16384" width="9" style="647"/>
  </cols>
  <sheetData>
    <row r="1" spans="1:12" s="681" customFormat="1" x14ac:dyDescent="0.3">
      <c r="A1" s="679"/>
      <c r="B1" s="666" t="s">
        <v>606</v>
      </c>
      <c r="C1" s="667"/>
      <c r="D1" s="667"/>
      <c r="E1" s="667"/>
      <c r="F1" s="668"/>
      <c r="G1" s="669"/>
      <c r="H1" s="669"/>
      <c r="I1" s="670"/>
      <c r="J1" s="680"/>
      <c r="K1" s="680"/>
      <c r="L1" s="680"/>
    </row>
    <row r="3" spans="1:12" ht="13.5" thickBot="1" x14ac:dyDescent="0.35">
      <c r="B3" s="682" t="s">
        <v>607</v>
      </c>
      <c r="C3" s="683" t="s">
        <v>608</v>
      </c>
    </row>
    <row r="4" spans="1:12" ht="13.5" thickBot="1" x14ac:dyDescent="0.35">
      <c r="B4" s="684" t="s">
        <v>609</v>
      </c>
      <c r="C4" s="685">
        <v>10000</v>
      </c>
    </row>
    <row r="5" spans="1:12" ht="13.5" thickBot="1" x14ac:dyDescent="0.35">
      <c r="B5" s="684" t="s">
        <v>610</v>
      </c>
      <c r="C5" s="685">
        <v>5000</v>
      </c>
    </row>
    <row r="6" spans="1:12" ht="13.5" thickBot="1" x14ac:dyDescent="0.35">
      <c r="B6" s="684" t="s">
        <v>611</v>
      </c>
      <c r="C6" s="685">
        <v>3000</v>
      </c>
    </row>
    <row r="7" spans="1:12" ht="13.5" thickBot="1" x14ac:dyDescent="0.35">
      <c r="B7" s="684" t="s">
        <v>612</v>
      </c>
      <c r="C7" s="685">
        <v>2000</v>
      </c>
    </row>
    <row r="8" spans="1:12" ht="13.5" thickBot="1" x14ac:dyDescent="0.35">
      <c r="B8" s="684" t="s">
        <v>613</v>
      </c>
      <c r="C8" s="685">
        <v>10000</v>
      </c>
    </row>
    <row r="9" spans="1:12" ht="13.5" thickBot="1" x14ac:dyDescent="0.35">
      <c r="B9" s="684" t="s">
        <v>614</v>
      </c>
      <c r="C9" s="685">
        <v>3000</v>
      </c>
    </row>
    <row r="10" spans="1:12" ht="13.5" thickBot="1" x14ac:dyDescent="0.35">
      <c r="B10" s="684" t="s">
        <v>615</v>
      </c>
      <c r="C10" s="685">
        <v>5000</v>
      </c>
    </row>
    <row r="12" spans="1:12" x14ac:dyDescent="0.3">
      <c r="B12" s="1671" t="s">
        <v>616</v>
      </c>
      <c r="C12" s="1671"/>
      <c r="D12" s="1671"/>
      <c r="E12" s="1671"/>
      <c r="F12" s="1671"/>
      <c r="G12" s="1671"/>
      <c r="H12" s="1671"/>
      <c r="I12" s="1671"/>
    </row>
    <row r="16" spans="1:12" ht="13.5" thickBot="1" x14ac:dyDescent="0.35"/>
    <row r="17" spans="1:12" s="681" customFormat="1" x14ac:dyDescent="0.3">
      <c r="A17" s="679"/>
      <c r="B17" s="666" t="s">
        <v>617</v>
      </c>
      <c r="C17" s="667"/>
      <c r="D17" s="667"/>
      <c r="E17" s="667"/>
      <c r="F17" s="668"/>
      <c r="G17" s="669"/>
      <c r="H17" s="669"/>
      <c r="I17" s="670"/>
      <c r="J17" s="680"/>
      <c r="K17" s="680"/>
      <c r="L17" s="680"/>
    </row>
    <row r="18" spans="1:12" x14ac:dyDescent="0.3">
      <c r="A18" s="644"/>
      <c r="J18" s="646"/>
    </row>
    <row r="19" spans="1:12" x14ac:dyDescent="0.3">
      <c r="A19" s="644"/>
      <c r="B19" s="1672" t="s">
        <v>618</v>
      </c>
      <c r="C19" s="1672"/>
      <c r="D19" s="1672"/>
      <c r="E19" s="1672"/>
      <c r="F19" s="1672"/>
      <c r="G19" s="1672"/>
      <c r="H19" s="1672"/>
      <c r="I19" s="1672"/>
      <c r="K19" s="657"/>
      <c r="L19" s="657"/>
    </row>
    <row r="20" spans="1:12" x14ac:dyDescent="0.3">
      <c r="A20" s="644"/>
      <c r="B20" s="1672"/>
      <c r="C20" s="1672"/>
      <c r="D20" s="1672"/>
      <c r="E20" s="1672"/>
      <c r="F20" s="1672"/>
      <c r="G20" s="1672"/>
      <c r="H20" s="1672"/>
      <c r="I20" s="1672"/>
      <c r="K20" s="163"/>
      <c r="L20" s="658"/>
    </row>
    <row r="21" spans="1:12" x14ac:dyDescent="0.3">
      <c r="A21" s="644"/>
      <c r="B21" s="1672"/>
      <c r="C21" s="1672"/>
      <c r="D21" s="1672"/>
      <c r="E21" s="1672"/>
      <c r="F21" s="1672"/>
      <c r="G21" s="1672"/>
      <c r="H21" s="1672"/>
      <c r="I21" s="1672"/>
      <c r="K21" s="163"/>
      <c r="L21" s="658"/>
    </row>
    <row r="22" spans="1:12" x14ac:dyDescent="0.3">
      <c r="A22" s="644"/>
      <c r="B22" s="1672"/>
      <c r="C22" s="1672"/>
      <c r="D22" s="1672"/>
      <c r="E22" s="1672"/>
      <c r="F22" s="1672"/>
      <c r="G22" s="1672"/>
      <c r="H22" s="1672"/>
      <c r="I22" s="1672"/>
      <c r="K22" s="163"/>
      <c r="L22" s="658"/>
    </row>
    <row r="23" spans="1:12" x14ac:dyDescent="0.3">
      <c r="A23" s="644"/>
      <c r="B23" s="1672"/>
      <c r="C23" s="1672"/>
      <c r="D23" s="1672"/>
      <c r="E23" s="1672"/>
      <c r="F23" s="1672"/>
      <c r="G23" s="1672"/>
      <c r="H23" s="1672"/>
      <c r="I23" s="1672"/>
      <c r="K23" s="163"/>
      <c r="L23" s="658"/>
    </row>
    <row r="24" spans="1:12" x14ac:dyDescent="0.3">
      <c r="A24" s="644"/>
      <c r="B24" s="1672"/>
      <c r="C24" s="1672"/>
      <c r="D24" s="1672"/>
      <c r="E24" s="1672"/>
      <c r="F24" s="1672"/>
      <c r="G24" s="1672"/>
      <c r="H24" s="1672"/>
      <c r="I24" s="1672"/>
      <c r="K24" s="163"/>
      <c r="L24" s="658"/>
    </row>
    <row r="25" spans="1:12" x14ac:dyDescent="0.3">
      <c r="A25" s="644"/>
      <c r="K25" s="163"/>
      <c r="L25" s="658"/>
    </row>
    <row r="26" spans="1:12" x14ac:dyDescent="0.3">
      <c r="A26" s="644"/>
      <c r="B26" s="647" t="s">
        <v>619</v>
      </c>
      <c r="F26" s="671">
        <v>2.7</v>
      </c>
      <c r="G26" s="671">
        <v>3.4</v>
      </c>
      <c r="H26" s="647" t="s">
        <v>620</v>
      </c>
      <c r="K26" s="163"/>
      <c r="L26" s="658"/>
    </row>
    <row r="27" spans="1:12" x14ac:dyDescent="0.3">
      <c r="A27" s="644"/>
      <c r="B27" s="647" t="s">
        <v>621</v>
      </c>
      <c r="F27" s="671">
        <v>8.1199999999999992</v>
      </c>
      <c r="G27" s="671">
        <v>10.31</v>
      </c>
      <c r="H27" s="647" t="s">
        <v>622</v>
      </c>
      <c r="K27" s="163"/>
    </row>
    <row r="28" spans="1:12" x14ac:dyDescent="0.3">
      <c r="A28" s="644"/>
      <c r="B28" s="647" t="s">
        <v>623</v>
      </c>
      <c r="F28" s="672">
        <f>(12285963-1211624)/3800000</f>
        <v>2.9142997368421053</v>
      </c>
      <c r="G28" s="661">
        <f>F28</f>
        <v>2.9142997368421053</v>
      </c>
    </row>
    <row r="29" spans="1:12" x14ac:dyDescent="0.3">
      <c r="A29" s="644"/>
      <c r="B29" s="647" t="s">
        <v>624</v>
      </c>
      <c r="F29" s="673">
        <f>9488000/6000000</f>
        <v>1.5813333333333333</v>
      </c>
      <c r="G29" s="673">
        <f>F29</f>
        <v>1.5813333333333333</v>
      </c>
    </row>
    <row r="30" spans="1:12" x14ac:dyDescent="0.3">
      <c r="A30" s="644"/>
    </row>
    <row r="31" spans="1:12" x14ac:dyDescent="0.3">
      <c r="A31" s="644"/>
      <c r="G31" s="674">
        <f>AVERAGE(G26:G29)</f>
        <v>4.5514082675438594</v>
      </c>
    </row>
    <row r="32" spans="1:12" ht="13.5" thickBot="1" x14ac:dyDescent="0.35">
      <c r="A32" s="644"/>
      <c r="B32" s="645"/>
      <c r="F32" s="656"/>
      <c r="G32" s="653"/>
      <c r="H32" s="654"/>
      <c r="I32" s="655"/>
    </row>
    <row r="33" spans="1:17" s="681" customFormat="1" x14ac:dyDescent="0.3">
      <c r="A33" s="679"/>
      <c r="B33" s="666" t="s">
        <v>625</v>
      </c>
      <c r="C33" s="667"/>
      <c r="D33" s="667"/>
      <c r="E33" s="667"/>
      <c r="F33" s="668"/>
      <c r="G33" s="669"/>
      <c r="H33" s="669"/>
      <c r="I33" s="670"/>
      <c r="J33" s="680"/>
      <c r="K33" s="680"/>
      <c r="L33" s="680"/>
    </row>
    <row r="34" spans="1:17" x14ac:dyDescent="0.3">
      <c r="A34" s="644"/>
      <c r="B34" s="645"/>
      <c r="F34" s="656"/>
      <c r="G34" s="653"/>
      <c r="H34" s="654"/>
      <c r="I34" s="655"/>
    </row>
    <row r="35" spans="1:17" x14ac:dyDescent="0.3">
      <c r="A35" s="644"/>
      <c r="B35" s="645"/>
      <c r="F35" s="656"/>
      <c r="G35" s="653"/>
      <c r="H35" s="654"/>
      <c r="I35" s="655"/>
    </row>
    <row r="36" spans="1:17" x14ac:dyDescent="0.3">
      <c r="A36" s="644"/>
      <c r="B36" s="645"/>
      <c r="F36" s="656"/>
      <c r="G36" s="653"/>
      <c r="H36" s="654"/>
      <c r="I36" s="655"/>
    </row>
    <row r="37" spans="1:17" x14ac:dyDescent="0.3">
      <c r="A37" s="644"/>
      <c r="B37" s="645"/>
      <c r="F37" s="656"/>
      <c r="G37" s="653"/>
      <c r="H37" s="654"/>
      <c r="I37" s="655"/>
    </row>
    <row r="38" spans="1:17" x14ac:dyDescent="0.3">
      <c r="A38" s="644"/>
      <c r="B38" s="645"/>
      <c r="F38" s="656"/>
      <c r="G38" s="653"/>
      <c r="H38" s="654"/>
      <c r="I38" s="655"/>
    </row>
    <row r="39" spans="1:17" x14ac:dyDescent="0.3">
      <c r="A39" s="644"/>
      <c r="B39" s="645"/>
      <c r="F39" s="656"/>
      <c r="G39" s="653"/>
      <c r="H39" s="654"/>
      <c r="I39" s="655"/>
    </row>
    <row r="40" spans="1:17" s="681" customFormat="1" x14ac:dyDescent="0.3">
      <c r="A40" s="699"/>
      <c r="B40" s="704" t="s">
        <v>626</v>
      </c>
      <c r="F40" s="700"/>
      <c r="G40" s="701"/>
      <c r="H40" s="702"/>
      <c r="I40" s="703"/>
    </row>
    <row r="41" spans="1:17" x14ac:dyDescent="0.3">
      <c r="A41" s="644"/>
      <c r="B41" s="645"/>
      <c r="F41" s="656"/>
      <c r="G41" s="653"/>
      <c r="H41" s="654"/>
      <c r="I41" s="655"/>
    </row>
    <row r="42" spans="1:17" ht="14.5" x14ac:dyDescent="0.35">
      <c r="A42" s="644"/>
      <c r="B42" s="198" t="s">
        <v>627</v>
      </c>
      <c r="C42" s="198" t="s">
        <v>628</v>
      </c>
      <c r="D42" s="198" t="s">
        <v>629</v>
      </c>
      <c r="E42" s="198" t="s">
        <v>630</v>
      </c>
      <c r="F42" s="198" t="s">
        <v>52</v>
      </c>
      <c r="G42" s="198" t="s">
        <v>75</v>
      </c>
      <c r="H42" s="198" t="s">
        <v>79</v>
      </c>
      <c r="I42" s="198" t="s">
        <v>74</v>
      </c>
      <c r="J42" s="198" t="s">
        <v>77</v>
      </c>
      <c r="K42" s="198" t="s">
        <v>80</v>
      </c>
      <c r="L42" s="198" t="s">
        <v>76</v>
      </c>
      <c r="M42" s="198" t="s">
        <v>78</v>
      </c>
      <c r="N42" s="198" t="s">
        <v>631</v>
      </c>
      <c r="O42" s="705" t="s">
        <v>508</v>
      </c>
      <c r="P42" s="198"/>
      <c r="Q42" s="198"/>
    </row>
    <row r="43" spans="1:17" ht="14.5" x14ac:dyDescent="0.35">
      <c r="A43" s="644"/>
      <c r="B43" t="s">
        <v>632</v>
      </c>
      <c r="C43" t="s">
        <v>633</v>
      </c>
      <c r="D43" t="s">
        <v>634</v>
      </c>
      <c r="E43">
        <v>2</v>
      </c>
      <c r="F43" t="s">
        <v>138</v>
      </c>
      <c r="G43" t="s">
        <v>635</v>
      </c>
      <c r="H43" t="s">
        <v>138</v>
      </c>
      <c r="I43" t="s">
        <v>138</v>
      </c>
      <c r="J43" t="s">
        <v>138</v>
      </c>
      <c r="K43" t="s">
        <v>138</v>
      </c>
      <c r="L43" t="s">
        <v>138</v>
      </c>
      <c r="M43" t="s">
        <v>138</v>
      </c>
      <c r="N43" t="s">
        <v>636</v>
      </c>
      <c r="O43" s="199" t="s">
        <v>138</v>
      </c>
      <c r="P43"/>
      <c r="Q43"/>
    </row>
    <row r="44" spans="1:17" ht="14.5" x14ac:dyDescent="0.35">
      <c r="A44" s="644"/>
      <c r="B44" t="s">
        <v>637</v>
      </c>
      <c r="C44" t="s">
        <v>633</v>
      </c>
      <c r="D44" t="s">
        <v>634</v>
      </c>
      <c r="E44">
        <v>3</v>
      </c>
      <c r="F44" t="s">
        <v>138</v>
      </c>
      <c r="G44" t="s">
        <v>635</v>
      </c>
      <c r="H44" t="s">
        <v>138</v>
      </c>
      <c r="I44" t="s">
        <v>138</v>
      </c>
      <c r="J44" t="s">
        <v>635</v>
      </c>
      <c r="K44" t="s">
        <v>138</v>
      </c>
      <c r="L44" t="s">
        <v>635</v>
      </c>
      <c r="M44" t="s">
        <v>138</v>
      </c>
      <c r="N44" t="s">
        <v>638</v>
      </c>
      <c r="O44" s="552" t="s">
        <v>138</v>
      </c>
      <c r="P44"/>
      <c r="Q44" t="s">
        <v>639</v>
      </c>
    </row>
    <row r="45" spans="1:17" ht="14.5" x14ac:dyDescent="0.35">
      <c r="A45" s="644"/>
      <c r="B45" t="s">
        <v>640</v>
      </c>
      <c r="C45" t="s">
        <v>633</v>
      </c>
      <c r="D45" t="s">
        <v>634</v>
      </c>
      <c r="E45">
        <v>6</v>
      </c>
      <c r="F45" t="s">
        <v>138</v>
      </c>
      <c r="G45" t="s">
        <v>138</v>
      </c>
      <c r="H45" t="s">
        <v>138</v>
      </c>
      <c r="I45" t="s">
        <v>138</v>
      </c>
      <c r="J45" t="s">
        <v>138</v>
      </c>
      <c r="K45" t="s">
        <v>138</v>
      </c>
      <c r="L45" t="s">
        <v>138</v>
      </c>
      <c r="M45" t="s">
        <v>635</v>
      </c>
      <c r="N45" t="s">
        <v>641</v>
      </c>
      <c r="O45" s="199" t="s">
        <v>138</v>
      </c>
      <c r="P45"/>
      <c r="Q45" t="s">
        <v>642</v>
      </c>
    </row>
    <row r="46" spans="1:17" ht="14.5" x14ac:dyDescent="0.35">
      <c r="A46" s="644"/>
      <c r="B46" t="s">
        <v>643</v>
      </c>
      <c r="C46" t="s">
        <v>633</v>
      </c>
      <c r="D46" t="s">
        <v>634</v>
      </c>
      <c r="E46">
        <v>7</v>
      </c>
      <c r="F46" t="s">
        <v>138</v>
      </c>
      <c r="G46" t="s">
        <v>138</v>
      </c>
      <c r="H46" t="s">
        <v>138</v>
      </c>
      <c r="I46" t="s">
        <v>138</v>
      </c>
      <c r="J46" t="s">
        <v>138</v>
      </c>
      <c r="K46" t="s">
        <v>138</v>
      </c>
      <c r="L46" t="s">
        <v>635</v>
      </c>
      <c r="M46" t="s">
        <v>138</v>
      </c>
      <c r="N46" t="s">
        <v>644</v>
      </c>
      <c r="O46" s="199" t="s">
        <v>138</v>
      </c>
      <c r="P46"/>
      <c r="Q46" s="119" t="s">
        <v>645</v>
      </c>
    </row>
    <row r="47" spans="1:17" ht="14.5" x14ac:dyDescent="0.35">
      <c r="A47" s="644"/>
      <c r="B47" t="s">
        <v>646</v>
      </c>
      <c r="C47" t="s">
        <v>633</v>
      </c>
      <c r="D47" t="s">
        <v>634</v>
      </c>
      <c r="E47">
        <v>8</v>
      </c>
      <c r="F47" t="s">
        <v>138</v>
      </c>
      <c r="G47" t="s">
        <v>138</v>
      </c>
      <c r="H47" t="s">
        <v>138</v>
      </c>
      <c r="I47" t="s">
        <v>138</v>
      </c>
      <c r="J47" t="s">
        <v>138</v>
      </c>
      <c r="K47" t="s">
        <v>138</v>
      </c>
      <c r="L47" t="s">
        <v>138</v>
      </c>
      <c r="M47" t="s">
        <v>635</v>
      </c>
      <c r="N47" t="s">
        <v>647</v>
      </c>
      <c r="O47" s="199" t="s">
        <v>138</v>
      </c>
      <c r="P47"/>
      <c r="Q47"/>
    </row>
    <row r="48" spans="1:17" ht="14.5" x14ac:dyDescent="0.35">
      <c r="A48" s="644"/>
      <c r="B48" t="s">
        <v>648</v>
      </c>
      <c r="C48" t="s">
        <v>633</v>
      </c>
      <c r="D48" t="s">
        <v>634</v>
      </c>
      <c r="E48">
        <v>9</v>
      </c>
      <c r="F48" t="s">
        <v>138</v>
      </c>
      <c r="G48" t="s">
        <v>138</v>
      </c>
      <c r="H48" t="s">
        <v>138</v>
      </c>
      <c r="I48" t="s">
        <v>138</v>
      </c>
      <c r="J48" t="s">
        <v>138</v>
      </c>
      <c r="K48" t="s">
        <v>138</v>
      </c>
      <c r="L48" t="s">
        <v>138</v>
      </c>
      <c r="M48" t="s">
        <v>635</v>
      </c>
      <c r="N48" t="s">
        <v>649</v>
      </c>
      <c r="O48" s="199" t="s">
        <v>138</v>
      </c>
      <c r="P48"/>
      <c r="Q48" s="199" t="s">
        <v>650</v>
      </c>
    </row>
    <row r="49" spans="1:17" ht="14.5" x14ac:dyDescent="0.35">
      <c r="A49" s="644"/>
      <c r="B49" t="s">
        <v>651</v>
      </c>
      <c r="C49" t="s">
        <v>633</v>
      </c>
      <c r="D49" t="s">
        <v>634</v>
      </c>
      <c r="E49">
        <v>10</v>
      </c>
      <c r="F49" t="s">
        <v>138</v>
      </c>
      <c r="G49" t="s">
        <v>138</v>
      </c>
      <c r="H49" t="s">
        <v>138</v>
      </c>
      <c r="I49" t="s">
        <v>138</v>
      </c>
      <c r="J49" t="s">
        <v>138</v>
      </c>
      <c r="K49" t="s">
        <v>138</v>
      </c>
      <c r="L49" t="s">
        <v>138</v>
      </c>
      <c r="M49" t="s">
        <v>635</v>
      </c>
      <c r="N49" t="s">
        <v>652</v>
      </c>
      <c r="O49" s="199" t="s">
        <v>138</v>
      </c>
      <c r="P49"/>
      <c r="Q49" s="199" t="s">
        <v>653</v>
      </c>
    </row>
    <row r="50" spans="1:17" ht="14.5" x14ac:dyDescent="0.35">
      <c r="A50" s="644"/>
      <c r="B50" t="s">
        <v>654</v>
      </c>
      <c r="C50" t="s">
        <v>633</v>
      </c>
      <c r="D50" t="s">
        <v>634</v>
      </c>
      <c r="E50">
        <v>11</v>
      </c>
      <c r="F50" t="s">
        <v>138</v>
      </c>
      <c r="G50" t="s">
        <v>138</v>
      </c>
      <c r="H50" t="s">
        <v>138</v>
      </c>
      <c r="I50" t="s">
        <v>138</v>
      </c>
      <c r="J50" t="s">
        <v>138</v>
      </c>
      <c r="K50" t="s">
        <v>138</v>
      </c>
      <c r="L50" t="s">
        <v>138</v>
      </c>
      <c r="M50" t="s">
        <v>635</v>
      </c>
      <c r="N50" t="s">
        <v>655</v>
      </c>
      <c r="O50" s="199" t="s">
        <v>138</v>
      </c>
      <c r="P50"/>
      <c r="Q50" s="347">
        <f>26000000*5000</f>
        <v>130000000000</v>
      </c>
    </row>
    <row r="51" spans="1:17" ht="14.5" x14ac:dyDescent="0.35">
      <c r="A51" s="644"/>
      <c r="B51" t="s">
        <v>656</v>
      </c>
      <c r="C51" t="s">
        <v>633</v>
      </c>
      <c r="D51" t="s">
        <v>634</v>
      </c>
      <c r="E51">
        <v>12</v>
      </c>
      <c r="F51" t="s">
        <v>138</v>
      </c>
      <c r="G51" t="s">
        <v>138</v>
      </c>
      <c r="H51" t="s">
        <v>138</v>
      </c>
      <c r="I51" t="s">
        <v>138</v>
      </c>
      <c r="J51" t="s">
        <v>138</v>
      </c>
      <c r="K51" t="s">
        <v>138</v>
      </c>
      <c r="L51" t="s">
        <v>138</v>
      </c>
      <c r="M51" t="s">
        <v>635</v>
      </c>
      <c r="N51" t="s">
        <v>657</v>
      </c>
      <c r="O51" s="199" t="s">
        <v>138</v>
      </c>
      <c r="P51"/>
      <c r="Q51"/>
    </row>
    <row r="52" spans="1:17" ht="14.5" x14ac:dyDescent="0.35">
      <c r="A52" s="644"/>
      <c r="B52" t="s">
        <v>658</v>
      </c>
      <c r="C52" t="s">
        <v>633</v>
      </c>
      <c r="D52" t="s">
        <v>634</v>
      </c>
      <c r="E52">
        <v>13</v>
      </c>
      <c r="F52" t="s">
        <v>138</v>
      </c>
      <c r="G52" t="s">
        <v>138</v>
      </c>
      <c r="H52" t="s">
        <v>138</v>
      </c>
      <c r="I52" t="s">
        <v>138</v>
      </c>
      <c r="J52" t="s">
        <v>138</v>
      </c>
      <c r="K52" t="s">
        <v>138</v>
      </c>
      <c r="L52" t="s">
        <v>138</v>
      </c>
      <c r="M52" t="s">
        <v>635</v>
      </c>
      <c r="N52" t="s">
        <v>659</v>
      </c>
      <c r="O52" s="199" t="s">
        <v>138</v>
      </c>
      <c r="P52"/>
      <c r="Q52"/>
    </row>
    <row r="53" spans="1:17" ht="14.5" x14ac:dyDescent="0.35">
      <c r="A53" s="644"/>
      <c r="B53" t="s">
        <v>660</v>
      </c>
      <c r="C53" t="s">
        <v>633</v>
      </c>
      <c r="D53" t="s">
        <v>634</v>
      </c>
      <c r="E53">
        <v>15</v>
      </c>
      <c r="F53" t="s">
        <v>138</v>
      </c>
      <c r="G53" t="s">
        <v>138</v>
      </c>
      <c r="H53" t="s">
        <v>138</v>
      </c>
      <c r="I53" t="s">
        <v>138</v>
      </c>
      <c r="J53" t="s">
        <v>138</v>
      </c>
      <c r="K53" t="s">
        <v>138</v>
      </c>
      <c r="L53" t="s">
        <v>138</v>
      </c>
      <c r="M53" t="s">
        <v>635</v>
      </c>
      <c r="N53" t="s">
        <v>661</v>
      </c>
      <c r="O53" s="199" t="s">
        <v>138</v>
      </c>
      <c r="P53"/>
      <c r="Q53"/>
    </row>
    <row r="54" spans="1:17" ht="14.5" x14ac:dyDescent="0.35">
      <c r="A54" s="644"/>
      <c r="B54" t="s">
        <v>662</v>
      </c>
      <c r="C54" t="s">
        <v>633</v>
      </c>
      <c r="D54" t="s">
        <v>634</v>
      </c>
      <c r="E54">
        <v>16</v>
      </c>
      <c r="F54" t="s">
        <v>138</v>
      </c>
      <c r="G54" t="s">
        <v>138</v>
      </c>
      <c r="H54" t="s">
        <v>138</v>
      </c>
      <c r="I54" t="s">
        <v>138</v>
      </c>
      <c r="J54" t="s">
        <v>138</v>
      </c>
      <c r="K54" t="s">
        <v>138</v>
      </c>
      <c r="L54" t="s">
        <v>138</v>
      </c>
      <c r="M54" t="s">
        <v>635</v>
      </c>
      <c r="N54" t="s">
        <v>663</v>
      </c>
      <c r="O54" s="199" t="s">
        <v>138</v>
      </c>
      <c r="P54"/>
      <c r="Q54"/>
    </row>
    <row r="55" spans="1:17" ht="14.5" x14ac:dyDescent="0.35">
      <c r="A55" s="644"/>
      <c r="B55" t="s">
        <v>664</v>
      </c>
      <c r="C55" t="s">
        <v>633</v>
      </c>
      <c r="D55" t="s">
        <v>634</v>
      </c>
      <c r="E55">
        <v>17</v>
      </c>
      <c r="F55" t="s">
        <v>138</v>
      </c>
      <c r="G55" t="s">
        <v>138</v>
      </c>
      <c r="H55" t="s">
        <v>138</v>
      </c>
      <c r="I55" t="s">
        <v>138</v>
      </c>
      <c r="J55" t="s">
        <v>138</v>
      </c>
      <c r="K55" t="s">
        <v>138</v>
      </c>
      <c r="L55" t="s">
        <v>138</v>
      </c>
      <c r="M55" t="s">
        <v>635</v>
      </c>
      <c r="N55" t="s">
        <v>665</v>
      </c>
      <c r="O55" s="199" t="s">
        <v>138</v>
      </c>
      <c r="P55"/>
      <c r="Q55"/>
    </row>
    <row r="56" spans="1:17" ht="14.5" x14ac:dyDescent="0.35">
      <c r="A56" s="644"/>
      <c r="B56" t="s">
        <v>666</v>
      </c>
      <c r="C56" t="s">
        <v>633</v>
      </c>
      <c r="D56" t="s">
        <v>634</v>
      </c>
      <c r="E56">
        <v>18</v>
      </c>
      <c r="F56" t="s">
        <v>138</v>
      </c>
      <c r="G56" t="s">
        <v>138</v>
      </c>
      <c r="H56" t="s">
        <v>138</v>
      </c>
      <c r="I56" t="s">
        <v>138</v>
      </c>
      <c r="J56" t="s">
        <v>138</v>
      </c>
      <c r="K56" t="s">
        <v>138</v>
      </c>
      <c r="L56" t="s">
        <v>138</v>
      </c>
      <c r="M56" t="s">
        <v>635</v>
      </c>
      <c r="N56" t="s">
        <v>667</v>
      </c>
      <c r="O56" s="199" t="s">
        <v>138</v>
      </c>
      <c r="P56"/>
      <c r="Q56"/>
    </row>
    <row r="57" spans="1:17" ht="14.5" x14ac:dyDescent="0.35">
      <c r="A57" s="644"/>
      <c r="B57" t="s">
        <v>668</v>
      </c>
      <c r="C57" t="s">
        <v>633</v>
      </c>
      <c r="D57" t="s">
        <v>634</v>
      </c>
      <c r="E57">
        <v>19</v>
      </c>
      <c r="F57" t="s">
        <v>138</v>
      </c>
      <c r="G57" t="s">
        <v>138</v>
      </c>
      <c r="H57" t="s">
        <v>138</v>
      </c>
      <c r="I57" t="s">
        <v>138</v>
      </c>
      <c r="J57" t="s">
        <v>138</v>
      </c>
      <c r="K57" t="s">
        <v>138</v>
      </c>
      <c r="L57" t="s">
        <v>138</v>
      </c>
      <c r="M57" t="s">
        <v>635</v>
      </c>
      <c r="N57" t="s">
        <v>669</v>
      </c>
      <c r="O57" s="199" t="s">
        <v>138</v>
      </c>
      <c r="P57"/>
      <c r="Q57"/>
    </row>
    <row r="58" spans="1:17" ht="14.5" x14ac:dyDescent="0.35">
      <c r="A58" s="644"/>
      <c r="B58" t="s">
        <v>670</v>
      </c>
      <c r="C58" t="s">
        <v>633</v>
      </c>
      <c r="D58" t="s">
        <v>634</v>
      </c>
      <c r="E58">
        <v>20</v>
      </c>
      <c r="F58" t="s">
        <v>138</v>
      </c>
      <c r="G58" t="s">
        <v>138</v>
      </c>
      <c r="H58" t="s">
        <v>138</v>
      </c>
      <c r="I58" t="s">
        <v>138</v>
      </c>
      <c r="J58" t="s">
        <v>138</v>
      </c>
      <c r="K58" t="s">
        <v>138</v>
      </c>
      <c r="L58" t="s">
        <v>138</v>
      </c>
      <c r="M58" t="s">
        <v>635</v>
      </c>
      <c r="N58" t="s">
        <v>671</v>
      </c>
      <c r="O58" s="199" t="s">
        <v>138</v>
      </c>
      <c r="P58"/>
      <c r="Q58"/>
    </row>
    <row r="59" spans="1:17" ht="14.5" x14ac:dyDescent="0.35">
      <c r="A59" s="644"/>
      <c r="B59" t="s">
        <v>672</v>
      </c>
      <c r="C59" t="s">
        <v>633</v>
      </c>
      <c r="D59" t="s">
        <v>634</v>
      </c>
      <c r="E59">
        <v>21</v>
      </c>
      <c r="F59" t="s">
        <v>138</v>
      </c>
      <c r="G59" t="s">
        <v>138</v>
      </c>
      <c r="H59" t="s">
        <v>138</v>
      </c>
      <c r="I59" t="s">
        <v>138</v>
      </c>
      <c r="J59" t="s">
        <v>138</v>
      </c>
      <c r="K59" t="s">
        <v>138</v>
      </c>
      <c r="L59" t="s">
        <v>138</v>
      </c>
      <c r="M59" t="s">
        <v>635</v>
      </c>
      <c r="N59" t="s">
        <v>673</v>
      </c>
      <c r="O59" s="199" t="s">
        <v>138</v>
      </c>
      <c r="P59"/>
      <c r="Q59"/>
    </row>
    <row r="60" spans="1:17" ht="14.5" x14ac:dyDescent="0.35">
      <c r="A60" s="644"/>
      <c r="B60" t="s">
        <v>674</v>
      </c>
      <c r="C60" t="s">
        <v>633</v>
      </c>
      <c r="D60" t="s">
        <v>634</v>
      </c>
      <c r="E60">
        <v>22</v>
      </c>
      <c r="F60" t="s">
        <v>138</v>
      </c>
      <c r="G60" t="s">
        <v>138</v>
      </c>
      <c r="H60" t="s">
        <v>138</v>
      </c>
      <c r="I60" t="s">
        <v>138</v>
      </c>
      <c r="J60" t="s">
        <v>138</v>
      </c>
      <c r="K60" t="s">
        <v>138</v>
      </c>
      <c r="L60" t="s">
        <v>138</v>
      </c>
      <c r="M60" t="s">
        <v>635</v>
      </c>
      <c r="N60" t="s">
        <v>675</v>
      </c>
      <c r="O60" s="199" t="s">
        <v>138</v>
      </c>
      <c r="P60"/>
      <c r="Q60"/>
    </row>
    <row r="61" spans="1:17" ht="14.5" x14ac:dyDescent="0.35">
      <c r="A61" s="644"/>
      <c r="B61" t="s">
        <v>676</v>
      </c>
      <c r="C61" t="s">
        <v>633</v>
      </c>
      <c r="D61" t="s">
        <v>634</v>
      </c>
      <c r="E61">
        <v>23</v>
      </c>
      <c r="F61" t="s">
        <v>138</v>
      </c>
      <c r="G61" t="s">
        <v>138</v>
      </c>
      <c r="H61" t="s">
        <v>138</v>
      </c>
      <c r="I61" t="s">
        <v>138</v>
      </c>
      <c r="J61" t="s">
        <v>138</v>
      </c>
      <c r="K61" t="s">
        <v>138</v>
      </c>
      <c r="L61" t="s">
        <v>138</v>
      </c>
      <c r="M61" t="s">
        <v>635</v>
      </c>
      <c r="N61" t="s">
        <v>677</v>
      </c>
      <c r="O61" s="199" t="s">
        <v>138</v>
      </c>
      <c r="P61"/>
      <c r="Q61"/>
    </row>
    <row r="62" spans="1:17" ht="14.5" x14ac:dyDescent="0.35">
      <c r="A62" s="644"/>
      <c r="B62" t="s">
        <v>678</v>
      </c>
      <c r="C62" t="s">
        <v>633</v>
      </c>
      <c r="D62" t="s">
        <v>679</v>
      </c>
      <c r="E62">
        <v>24</v>
      </c>
      <c r="F62" t="s">
        <v>138</v>
      </c>
      <c r="G62" t="s">
        <v>635</v>
      </c>
      <c r="H62" t="s">
        <v>138</v>
      </c>
      <c r="I62" t="s">
        <v>635</v>
      </c>
      <c r="J62" t="s">
        <v>138</v>
      </c>
      <c r="K62" t="s">
        <v>138</v>
      </c>
      <c r="L62" t="s">
        <v>138</v>
      </c>
      <c r="M62" t="s">
        <v>138</v>
      </c>
      <c r="N62" t="s">
        <v>680</v>
      </c>
      <c r="O62" s="199" t="s">
        <v>138</v>
      </c>
      <c r="P62"/>
      <c r="Q62"/>
    </row>
    <row r="63" spans="1:17" ht="14.5" x14ac:dyDescent="0.35">
      <c r="A63" s="644"/>
      <c r="B63" t="s">
        <v>681</v>
      </c>
      <c r="C63" t="s">
        <v>633</v>
      </c>
      <c r="D63" t="s">
        <v>679</v>
      </c>
      <c r="E63">
        <v>26</v>
      </c>
      <c r="F63" t="s">
        <v>138</v>
      </c>
      <c r="G63" t="s">
        <v>635</v>
      </c>
      <c r="H63" t="s">
        <v>635</v>
      </c>
      <c r="I63" t="s">
        <v>635</v>
      </c>
      <c r="J63" t="s">
        <v>635</v>
      </c>
      <c r="K63" t="s">
        <v>138</v>
      </c>
      <c r="L63" t="s">
        <v>138</v>
      </c>
      <c r="M63" t="s">
        <v>138</v>
      </c>
      <c r="N63" t="s">
        <v>682</v>
      </c>
      <c r="O63" s="199" t="s">
        <v>138</v>
      </c>
      <c r="P63"/>
      <c r="Q63"/>
    </row>
    <row r="64" spans="1:17" ht="14.5" x14ac:dyDescent="0.35">
      <c r="A64" s="644"/>
      <c r="B64" t="s">
        <v>683</v>
      </c>
      <c r="C64" t="s">
        <v>633</v>
      </c>
      <c r="D64" t="s">
        <v>679</v>
      </c>
      <c r="E64">
        <v>28</v>
      </c>
      <c r="F64" t="s">
        <v>138</v>
      </c>
      <c r="G64" t="s">
        <v>635</v>
      </c>
      <c r="H64" t="s">
        <v>138</v>
      </c>
      <c r="I64" t="s">
        <v>635</v>
      </c>
      <c r="J64" t="s">
        <v>138</v>
      </c>
      <c r="K64" t="s">
        <v>138</v>
      </c>
      <c r="L64" t="s">
        <v>138</v>
      </c>
      <c r="M64" t="s">
        <v>138</v>
      </c>
      <c r="N64" t="s">
        <v>684</v>
      </c>
      <c r="O64" s="677">
        <v>804264</v>
      </c>
      <c r="P64"/>
      <c r="Q64"/>
    </row>
    <row r="65" spans="1:17" ht="14.5" x14ac:dyDescent="0.35">
      <c r="A65" s="644"/>
      <c r="B65" t="s">
        <v>685</v>
      </c>
      <c r="C65" t="s">
        <v>633</v>
      </c>
      <c r="D65" t="s">
        <v>686</v>
      </c>
      <c r="E65">
        <v>29</v>
      </c>
      <c r="F65" t="s">
        <v>635</v>
      </c>
      <c r="G65" t="s">
        <v>635</v>
      </c>
      <c r="H65" t="s">
        <v>138</v>
      </c>
      <c r="I65" t="s">
        <v>138</v>
      </c>
      <c r="J65" t="s">
        <v>138</v>
      </c>
      <c r="K65" t="s">
        <v>635</v>
      </c>
      <c r="L65" t="s">
        <v>635</v>
      </c>
      <c r="M65" t="s">
        <v>138</v>
      </c>
      <c r="N65" t="s">
        <v>687</v>
      </c>
      <c r="O65" s="199" t="s">
        <v>138</v>
      </c>
      <c r="P65"/>
      <c r="Q65"/>
    </row>
    <row r="66" spans="1:17" ht="14.5" x14ac:dyDescent="0.35">
      <c r="A66" s="644"/>
      <c r="B66" t="s">
        <v>688</v>
      </c>
      <c r="C66" t="s">
        <v>689</v>
      </c>
      <c r="D66" t="s">
        <v>690</v>
      </c>
      <c r="E66">
        <v>30</v>
      </c>
      <c r="F66" t="s">
        <v>138</v>
      </c>
      <c r="G66" t="s">
        <v>138</v>
      </c>
      <c r="H66" t="s">
        <v>138</v>
      </c>
      <c r="I66" t="s">
        <v>635</v>
      </c>
      <c r="J66" t="s">
        <v>138</v>
      </c>
      <c r="K66" t="s">
        <v>138</v>
      </c>
      <c r="L66" t="s">
        <v>138</v>
      </c>
      <c r="M66" t="s">
        <v>138</v>
      </c>
      <c r="N66" t="s">
        <v>691</v>
      </c>
      <c r="O66" s="199" t="s">
        <v>138</v>
      </c>
      <c r="P66"/>
      <c r="Q66"/>
    </row>
    <row r="67" spans="1:17" ht="14.5" x14ac:dyDescent="0.35">
      <c r="A67" s="644"/>
      <c r="B67" t="s">
        <v>692</v>
      </c>
      <c r="C67" t="s">
        <v>689</v>
      </c>
      <c r="D67" t="s">
        <v>693</v>
      </c>
      <c r="E67">
        <v>31</v>
      </c>
      <c r="F67" t="s">
        <v>138</v>
      </c>
      <c r="G67" t="s">
        <v>138</v>
      </c>
      <c r="H67" t="s">
        <v>138</v>
      </c>
      <c r="I67" t="s">
        <v>138</v>
      </c>
      <c r="J67" t="s">
        <v>635</v>
      </c>
      <c r="K67" t="s">
        <v>138</v>
      </c>
      <c r="L67" t="s">
        <v>138</v>
      </c>
      <c r="M67" t="s">
        <v>138</v>
      </c>
      <c r="N67" t="s">
        <v>694</v>
      </c>
      <c r="O67" s="199" t="s">
        <v>138</v>
      </c>
      <c r="P67"/>
      <c r="Q67"/>
    </row>
    <row r="68" spans="1:17" ht="14.5" x14ac:dyDescent="0.35">
      <c r="A68" s="644"/>
      <c r="B68" t="s">
        <v>695</v>
      </c>
      <c r="C68" t="s">
        <v>633</v>
      </c>
      <c r="D68" t="s">
        <v>696</v>
      </c>
      <c r="E68">
        <v>32</v>
      </c>
      <c r="F68" t="s">
        <v>138</v>
      </c>
      <c r="G68" t="s">
        <v>635</v>
      </c>
      <c r="H68" t="s">
        <v>138</v>
      </c>
      <c r="I68" t="s">
        <v>138</v>
      </c>
      <c r="J68" t="s">
        <v>138</v>
      </c>
      <c r="K68" t="s">
        <v>138</v>
      </c>
      <c r="L68" t="s">
        <v>138</v>
      </c>
      <c r="M68" t="s">
        <v>138</v>
      </c>
      <c r="N68" t="s">
        <v>697</v>
      </c>
      <c r="O68" s="199" t="s">
        <v>138</v>
      </c>
      <c r="P68"/>
      <c r="Q68"/>
    </row>
    <row r="69" spans="1:17" ht="14.5" x14ac:dyDescent="0.35">
      <c r="A69" s="644"/>
      <c r="B69" t="s">
        <v>698</v>
      </c>
      <c r="C69" t="s">
        <v>689</v>
      </c>
      <c r="D69" t="s">
        <v>699</v>
      </c>
      <c r="E69">
        <v>33</v>
      </c>
      <c r="F69" t="s">
        <v>138</v>
      </c>
      <c r="G69" t="s">
        <v>138</v>
      </c>
      <c r="H69" t="s">
        <v>138</v>
      </c>
      <c r="I69" t="s">
        <v>635</v>
      </c>
      <c r="J69" t="s">
        <v>138</v>
      </c>
      <c r="K69" t="s">
        <v>138</v>
      </c>
      <c r="L69" t="s">
        <v>138</v>
      </c>
      <c r="M69" t="s">
        <v>138</v>
      </c>
      <c r="N69" t="s">
        <v>700</v>
      </c>
      <c r="O69" s="199" t="s">
        <v>138</v>
      </c>
      <c r="P69"/>
      <c r="Q69"/>
    </row>
    <row r="70" spans="1:17" ht="14.5" x14ac:dyDescent="0.35">
      <c r="A70" s="644"/>
      <c r="B70" t="s">
        <v>701</v>
      </c>
      <c r="C70" t="s">
        <v>689</v>
      </c>
      <c r="D70" t="s">
        <v>702</v>
      </c>
      <c r="E70">
        <v>36</v>
      </c>
      <c r="F70" t="s">
        <v>138</v>
      </c>
      <c r="G70" t="s">
        <v>138</v>
      </c>
      <c r="H70" t="s">
        <v>138</v>
      </c>
      <c r="I70" t="s">
        <v>138</v>
      </c>
      <c r="J70" t="s">
        <v>635</v>
      </c>
      <c r="K70" t="s">
        <v>138</v>
      </c>
      <c r="L70" t="s">
        <v>138</v>
      </c>
      <c r="M70" t="s">
        <v>138</v>
      </c>
      <c r="N70" t="s">
        <v>703</v>
      </c>
      <c r="O70" s="199" t="s">
        <v>138</v>
      </c>
      <c r="P70"/>
      <c r="Q70"/>
    </row>
    <row r="71" spans="1:17" ht="14.5" x14ac:dyDescent="0.35">
      <c r="A71" s="644"/>
      <c r="B71" t="s">
        <v>704</v>
      </c>
      <c r="C71" t="s">
        <v>689</v>
      </c>
      <c r="D71" t="s">
        <v>702</v>
      </c>
      <c r="E71">
        <v>37</v>
      </c>
      <c r="F71" t="s">
        <v>138</v>
      </c>
      <c r="G71" t="s">
        <v>138</v>
      </c>
      <c r="H71" t="s">
        <v>138</v>
      </c>
      <c r="I71" t="s">
        <v>138</v>
      </c>
      <c r="J71" t="s">
        <v>635</v>
      </c>
      <c r="K71" t="s">
        <v>138</v>
      </c>
      <c r="L71" t="s">
        <v>138</v>
      </c>
      <c r="M71" t="s">
        <v>138</v>
      </c>
      <c r="N71" t="s">
        <v>705</v>
      </c>
      <c r="O71" s="199" t="s">
        <v>138</v>
      </c>
      <c r="P71"/>
      <c r="Q71"/>
    </row>
    <row r="72" spans="1:17" ht="14.5" x14ac:dyDescent="0.35">
      <c r="A72" s="644"/>
      <c r="B72" t="s">
        <v>706</v>
      </c>
      <c r="C72" t="s">
        <v>689</v>
      </c>
      <c r="D72" t="s">
        <v>707</v>
      </c>
      <c r="E72">
        <v>38</v>
      </c>
      <c r="F72" t="s">
        <v>138</v>
      </c>
      <c r="G72" t="s">
        <v>635</v>
      </c>
      <c r="H72" t="s">
        <v>138</v>
      </c>
      <c r="I72" t="s">
        <v>138</v>
      </c>
      <c r="J72" t="s">
        <v>138</v>
      </c>
      <c r="K72" t="s">
        <v>138</v>
      </c>
      <c r="L72" t="s">
        <v>138</v>
      </c>
      <c r="M72" t="s">
        <v>138</v>
      </c>
      <c r="N72" t="s">
        <v>708</v>
      </c>
      <c r="O72" s="199" t="s">
        <v>138</v>
      </c>
      <c r="P72"/>
      <c r="Q72"/>
    </row>
    <row r="73" spans="1:17" ht="14.5" x14ac:dyDescent="0.35">
      <c r="A73" s="644"/>
      <c r="B73" t="s">
        <v>709</v>
      </c>
      <c r="C73" t="s">
        <v>633</v>
      </c>
      <c r="D73" t="s">
        <v>710</v>
      </c>
      <c r="E73">
        <v>39</v>
      </c>
      <c r="F73" t="s">
        <v>138</v>
      </c>
      <c r="G73" t="s">
        <v>635</v>
      </c>
      <c r="H73" t="s">
        <v>138</v>
      </c>
      <c r="I73" t="s">
        <v>138</v>
      </c>
      <c r="J73" t="s">
        <v>138</v>
      </c>
      <c r="K73" t="s">
        <v>138</v>
      </c>
      <c r="L73" t="s">
        <v>138</v>
      </c>
      <c r="M73" t="s">
        <v>138</v>
      </c>
      <c r="N73" t="s">
        <v>711</v>
      </c>
      <c r="O73" s="199" t="s">
        <v>138</v>
      </c>
      <c r="P73"/>
      <c r="Q73"/>
    </row>
    <row r="74" spans="1:17" ht="14.5" x14ac:dyDescent="0.35">
      <c r="A74" s="644"/>
      <c r="B74" t="s">
        <v>712</v>
      </c>
      <c r="C74" t="s">
        <v>713</v>
      </c>
      <c r="D74" t="s">
        <v>714</v>
      </c>
      <c r="E74">
        <v>40</v>
      </c>
      <c r="F74" t="s">
        <v>138</v>
      </c>
      <c r="G74" t="s">
        <v>138</v>
      </c>
      <c r="H74" t="s">
        <v>138</v>
      </c>
      <c r="I74" t="s">
        <v>138</v>
      </c>
      <c r="J74" t="s">
        <v>138</v>
      </c>
      <c r="K74" t="s">
        <v>635</v>
      </c>
      <c r="L74" t="s">
        <v>138</v>
      </c>
      <c r="M74" t="s">
        <v>138</v>
      </c>
      <c r="N74" t="s">
        <v>715</v>
      </c>
      <c r="O74" s="199" t="s">
        <v>138</v>
      </c>
      <c r="P74"/>
      <c r="Q74"/>
    </row>
    <row r="75" spans="1:17" ht="14.5" x14ac:dyDescent="0.35">
      <c r="A75" s="644"/>
      <c r="B75" t="s">
        <v>716</v>
      </c>
      <c r="C75" t="s">
        <v>689</v>
      </c>
      <c r="D75" t="s">
        <v>717</v>
      </c>
      <c r="E75">
        <v>42</v>
      </c>
      <c r="F75" t="s">
        <v>138</v>
      </c>
      <c r="G75" t="s">
        <v>138</v>
      </c>
      <c r="H75" t="s">
        <v>138</v>
      </c>
      <c r="I75" t="s">
        <v>138</v>
      </c>
      <c r="J75" t="s">
        <v>138</v>
      </c>
      <c r="K75" t="s">
        <v>138</v>
      </c>
      <c r="L75" t="s">
        <v>635</v>
      </c>
      <c r="M75" t="s">
        <v>138</v>
      </c>
      <c r="N75" t="s">
        <v>718</v>
      </c>
      <c r="O75" s="199" t="s">
        <v>138</v>
      </c>
      <c r="P75"/>
      <c r="Q75"/>
    </row>
    <row r="76" spans="1:17" ht="14.5" x14ac:dyDescent="0.35">
      <c r="A76" s="644"/>
      <c r="B76" t="s">
        <v>719</v>
      </c>
      <c r="C76" t="s">
        <v>689</v>
      </c>
      <c r="D76" t="s">
        <v>720</v>
      </c>
      <c r="E76">
        <v>43</v>
      </c>
      <c r="F76" t="s">
        <v>635</v>
      </c>
      <c r="G76" t="s">
        <v>635</v>
      </c>
      <c r="H76" t="s">
        <v>138</v>
      </c>
      <c r="I76" t="s">
        <v>635</v>
      </c>
      <c r="J76" t="s">
        <v>635</v>
      </c>
      <c r="K76" t="s">
        <v>138</v>
      </c>
      <c r="L76" t="s">
        <v>635</v>
      </c>
      <c r="M76" t="s">
        <v>138</v>
      </c>
      <c r="N76" t="s">
        <v>721</v>
      </c>
      <c r="O76" s="199" t="s">
        <v>138</v>
      </c>
      <c r="P76"/>
      <c r="Q76"/>
    </row>
    <row r="77" spans="1:17" ht="14.5" x14ac:dyDescent="0.35">
      <c r="A77" s="644"/>
      <c r="B77" t="s">
        <v>722</v>
      </c>
      <c r="C77" t="s">
        <v>689</v>
      </c>
      <c r="D77" t="s">
        <v>723</v>
      </c>
      <c r="E77">
        <v>44</v>
      </c>
      <c r="F77" t="s">
        <v>138</v>
      </c>
      <c r="G77" t="s">
        <v>635</v>
      </c>
      <c r="H77" t="s">
        <v>138</v>
      </c>
      <c r="I77" t="s">
        <v>138</v>
      </c>
      <c r="J77" t="s">
        <v>138</v>
      </c>
      <c r="K77" t="s">
        <v>138</v>
      </c>
      <c r="L77" t="s">
        <v>138</v>
      </c>
      <c r="M77" t="s">
        <v>138</v>
      </c>
      <c r="N77" t="s">
        <v>724</v>
      </c>
      <c r="O77" s="199" t="s">
        <v>138</v>
      </c>
      <c r="P77"/>
      <c r="Q77"/>
    </row>
    <row r="78" spans="1:17" ht="14.5" x14ac:dyDescent="0.35">
      <c r="A78" s="644"/>
      <c r="B78" t="s">
        <v>725</v>
      </c>
      <c r="C78" t="s">
        <v>689</v>
      </c>
      <c r="D78" t="s">
        <v>726</v>
      </c>
      <c r="E78">
        <v>46</v>
      </c>
      <c r="F78" t="s">
        <v>138</v>
      </c>
      <c r="G78" t="s">
        <v>138</v>
      </c>
      <c r="H78" t="s">
        <v>138</v>
      </c>
      <c r="I78" t="s">
        <v>138</v>
      </c>
      <c r="J78" t="s">
        <v>138</v>
      </c>
      <c r="K78" t="s">
        <v>138</v>
      </c>
      <c r="L78" t="s">
        <v>635</v>
      </c>
      <c r="M78" t="s">
        <v>138</v>
      </c>
      <c r="N78" t="s">
        <v>727</v>
      </c>
      <c r="O78" s="199" t="s">
        <v>138</v>
      </c>
      <c r="P78"/>
      <c r="Q78"/>
    </row>
    <row r="79" spans="1:17" ht="14.5" x14ac:dyDescent="0.35">
      <c r="A79" s="644"/>
      <c r="B79" t="s">
        <v>728</v>
      </c>
      <c r="C79" t="s">
        <v>689</v>
      </c>
      <c r="D79" t="s">
        <v>707</v>
      </c>
      <c r="E79">
        <v>47</v>
      </c>
      <c r="F79" t="s">
        <v>138</v>
      </c>
      <c r="G79" t="s">
        <v>635</v>
      </c>
      <c r="H79" t="s">
        <v>138</v>
      </c>
      <c r="I79" t="s">
        <v>138</v>
      </c>
      <c r="J79" t="s">
        <v>138</v>
      </c>
      <c r="K79" t="s">
        <v>138</v>
      </c>
      <c r="L79" t="s">
        <v>138</v>
      </c>
      <c r="M79" t="s">
        <v>138</v>
      </c>
      <c r="N79" t="s">
        <v>729</v>
      </c>
      <c r="O79" s="199" t="s">
        <v>138</v>
      </c>
      <c r="P79"/>
      <c r="Q79"/>
    </row>
    <row r="80" spans="1:17" ht="14.5" x14ac:dyDescent="0.35">
      <c r="A80" s="644"/>
      <c r="B80" t="s">
        <v>730</v>
      </c>
      <c r="C80" t="s">
        <v>633</v>
      </c>
      <c r="D80" t="s">
        <v>731</v>
      </c>
      <c r="E80">
        <v>60</v>
      </c>
      <c r="F80" t="s">
        <v>138</v>
      </c>
      <c r="G80" t="s">
        <v>635</v>
      </c>
      <c r="H80" t="s">
        <v>138</v>
      </c>
      <c r="I80" t="s">
        <v>138</v>
      </c>
      <c r="J80" t="s">
        <v>138</v>
      </c>
      <c r="K80" t="s">
        <v>138</v>
      </c>
      <c r="L80" t="s">
        <v>138</v>
      </c>
      <c r="M80" t="s">
        <v>138</v>
      </c>
      <c r="N80" t="s">
        <v>732</v>
      </c>
      <c r="O80" s="199" t="s">
        <v>138</v>
      </c>
      <c r="P80"/>
      <c r="Q80"/>
    </row>
    <row r="81" spans="1:17" ht="14.5" x14ac:dyDescent="0.35">
      <c r="A81" s="644"/>
      <c r="B81" t="s">
        <v>733</v>
      </c>
      <c r="C81" t="s">
        <v>689</v>
      </c>
      <c r="D81" t="s">
        <v>734</v>
      </c>
      <c r="E81">
        <v>62</v>
      </c>
      <c r="F81" t="s">
        <v>138</v>
      </c>
      <c r="G81" t="s">
        <v>635</v>
      </c>
      <c r="H81" t="s">
        <v>138</v>
      </c>
      <c r="I81" t="s">
        <v>138</v>
      </c>
      <c r="J81" t="s">
        <v>138</v>
      </c>
      <c r="K81" t="s">
        <v>138</v>
      </c>
      <c r="L81" t="s">
        <v>138</v>
      </c>
      <c r="M81" t="s">
        <v>138</v>
      </c>
      <c r="N81" t="s">
        <v>735</v>
      </c>
      <c r="O81" s="199" t="s">
        <v>138</v>
      </c>
      <c r="P81"/>
      <c r="Q81"/>
    </row>
    <row r="82" spans="1:17" ht="14.5" x14ac:dyDescent="0.35">
      <c r="A82" s="644"/>
      <c r="B82" t="s">
        <v>736</v>
      </c>
      <c r="C82" t="s">
        <v>633</v>
      </c>
      <c r="D82" t="s">
        <v>737</v>
      </c>
      <c r="E82">
        <v>66</v>
      </c>
      <c r="F82" t="s">
        <v>138</v>
      </c>
      <c r="G82" t="s">
        <v>635</v>
      </c>
      <c r="H82" t="s">
        <v>138</v>
      </c>
      <c r="I82" t="s">
        <v>635</v>
      </c>
      <c r="J82" t="s">
        <v>138</v>
      </c>
      <c r="K82" t="s">
        <v>138</v>
      </c>
      <c r="L82" t="s">
        <v>138</v>
      </c>
      <c r="M82" t="s">
        <v>138</v>
      </c>
      <c r="N82" t="s">
        <v>738</v>
      </c>
      <c r="O82" s="706">
        <v>300000</v>
      </c>
      <c r="P82" t="s">
        <v>739</v>
      </c>
      <c r="Q82"/>
    </row>
    <row r="83" spans="1:17" ht="14.5" x14ac:dyDescent="0.35">
      <c r="A83" s="644"/>
      <c r="B83" t="s">
        <v>740</v>
      </c>
      <c r="C83" t="s">
        <v>689</v>
      </c>
      <c r="D83" t="s">
        <v>686</v>
      </c>
      <c r="E83">
        <v>73</v>
      </c>
      <c r="F83" t="s">
        <v>138</v>
      </c>
      <c r="G83" t="s">
        <v>138</v>
      </c>
      <c r="H83" t="s">
        <v>138</v>
      </c>
      <c r="I83" t="s">
        <v>138</v>
      </c>
      <c r="J83" t="s">
        <v>138</v>
      </c>
      <c r="K83" t="s">
        <v>138</v>
      </c>
      <c r="L83" t="s">
        <v>635</v>
      </c>
      <c r="M83" t="s">
        <v>138</v>
      </c>
      <c r="N83" t="s">
        <v>741</v>
      </c>
      <c r="O83" s="199" t="s">
        <v>138</v>
      </c>
      <c r="P83"/>
      <c r="Q83"/>
    </row>
    <row r="84" spans="1:17" ht="14.5" x14ac:dyDescent="0.35">
      <c r="A84" s="644"/>
      <c r="B84" t="s">
        <v>742</v>
      </c>
      <c r="C84" t="s">
        <v>689</v>
      </c>
      <c r="D84" t="s">
        <v>726</v>
      </c>
      <c r="E84">
        <v>74</v>
      </c>
      <c r="F84" t="s">
        <v>138</v>
      </c>
      <c r="G84" t="s">
        <v>138</v>
      </c>
      <c r="H84" t="s">
        <v>138</v>
      </c>
      <c r="I84" t="s">
        <v>138</v>
      </c>
      <c r="J84" t="s">
        <v>138</v>
      </c>
      <c r="K84" t="s">
        <v>635</v>
      </c>
      <c r="L84" t="s">
        <v>138</v>
      </c>
      <c r="M84" t="s">
        <v>138</v>
      </c>
      <c r="N84" t="s">
        <v>743</v>
      </c>
      <c r="O84" s="199" t="s">
        <v>138</v>
      </c>
      <c r="P84"/>
      <c r="Q84"/>
    </row>
    <row r="85" spans="1:17" ht="14.5" x14ac:dyDescent="0.35">
      <c r="A85" s="644"/>
      <c r="B85" t="s">
        <v>744</v>
      </c>
      <c r="C85" t="s">
        <v>689</v>
      </c>
      <c r="D85" t="s">
        <v>745</v>
      </c>
      <c r="E85">
        <v>76</v>
      </c>
      <c r="F85" t="s">
        <v>138</v>
      </c>
      <c r="G85" t="s">
        <v>635</v>
      </c>
      <c r="H85" t="s">
        <v>138</v>
      </c>
      <c r="I85" t="s">
        <v>635</v>
      </c>
      <c r="J85" t="s">
        <v>138</v>
      </c>
      <c r="K85" t="s">
        <v>138</v>
      </c>
      <c r="L85" t="s">
        <v>635</v>
      </c>
      <c r="M85" t="s">
        <v>138</v>
      </c>
      <c r="N85" t="s">
        <v>746</v>
      </c>
      <c r="O85" s="199" t="s">
        <v>138</v>
      </c>
      <c r="P85"/>
      <c r="Q85"/>
    </row>
    <row r="86" spans="1:17" ht="14.5" x14ac:dyDescent="0.35">
      <c r="A86" s="644"/>
      <c r="B86" t="s">
        <v>747</v>
      </c>
      <c r="C86" t="s">
        <v>689</v>
      </c>
      <c r="D86" t="s">
        <v>748</v>
      </c>
      <c r="E86">
        <v>82</v>
      </c>
      <c r="F86" t="s">
        <v>138</v>
      </c>
      <c r="G86" t="s">
        <v>635</v>
      </c>
      <c r="H86" t="s">
        <v>138</v>
      </c>
      <c r="I86" t="s">
        <v>138</v>
      </c>
      <c r="J86" t="s">
        <v>138</v>
      </c>
      <c r="K86" t="s">
        <v>138</v>
      </c>
      <c r="L86" t="s">
        <v>138</v>
      </c>
      <c r="M86" t="s">
        <v>138</v>
      </c>
      <c r="N86" t="s">
        <v>749</v>
      </c>
      <c r="O86" s="199" t="s">
        <v>138</v>
      </c>
      <c r="P86"/>
      <c r="Q86"/>
    </row>
    <row r="87" spans="1:17" ht="14.5" x14ac:dyDescent="0.35">
      <c r="A87" s="644"/>
      <c r="B87" t="s">
        <v>750</v>
      </c>
      <c r="C87" t="s">
        <v>689</v>
      </c>
      <c r="D87" t="s">
        <v>737</v>
      </c>
      <c r="E87">
        <v>83</v>
      </c>
      <c r="F87" t="s">
        <v>138</v>
      </c>
      <c r="G87" t="s">
        <v>635</v>
      </c>
      <c r="H87" t="s">
        <v>138</v>
      </c>
      <c r="I87" t="s">
        <v>635</v>
      </c>
      <c r="J87" t="s">
        <v>138</v>
      </c>
      <c r="K87" t="s">
        <v>138</v>
      </c>
      <c r="L87" t="s">
        <v>138</v>
      </c>
      <c r="M87" t="s">
        <v>138</v>
      </c>
      <c r="N87" t="s">
        <v>751</v>
      </c>
      <c r="O87" s="199" t="s">
        <v>138</v>
      </c>
      <c r="P87"/>
      <c r="Q87"/>
    </row>
    <row r="88" spans="1:17" ht="14.5" x14ac:dyDescent="0.35">
      <c r="A88" s="644"/>
      <c r="B88" t="s">
        <v>752</v>
      </c>
      <c r="C88" t="s">
        <v>633</v>
      </c>
      <c r="D88" t="s">
        <v>753</v>
      </c>
      <c r="E88">
        <v>86</v>
      </c>
      <c r="F88" t="s">
        <v>138</v>
      </c>
      <c r="G88" t="s">
        <v>635</v>
      </c>
      <c r="H88" t="s">
        <v>138</v>
      </c>
      <c r="I88" t="s">
        <v>138</v>
      </c>
      <c r="J88" t="s">
        <v>635</v>
      </c>
      <c r="K88" t="s">
        <v>138</v>
      </c>
      <c r="L88" t="s">
        <v>635</v>
      </c>
      <c r="M88" t="s">
        <v>138</v>
      </c>
      <c r="N88" t="s">
        <v>754</v>
      </c>
      <c r="O88" s="677">
        <v>514500</v>
      </c>
      <c r="P88" t="s">
        <v>739</v>
      </c>
      <c r="Q88"/>
    </row>
    <row r="89" spans="1:17" ht="14.5" x14ac:dyDescent="0.35">
      <c r="A89" s="644"/>
      <c r="B89" t="s">
        <v>755</v>
      </c>
      <c r="C89" t="s">
        <v>689</v>
      </c>
      <c r="D89" t="s">
        <v>686</v>
      </c>
      <c r="E89">
        <v>88</v>
      </c>
      <c r="F89" t="s">
        <v>138</v>
      </c>
      <c r="G89" t="s">
        <v>635</v>
      </c>
      <c r="H89" t="s">
        <v>138</v>
      </c>
      <c r="I89" t="s">
        <v>635</v>
      </c>
      <c r="J89" t="s">
        <v>138</v>
      </c>
      <c r="K89" t="s">
        <v>138</v>
      </c>
      <c r="L89" t="s">
        <v>138</v>
      </c>
      <c r="M89" t="s">
        <v>138</v>
      </c>
      <c r="N89" t="s">
        <v>756</v>
      </c>
      <c r="O89" s="199" t="s">
        <v>138</v>
      </c>
      <c r="P89"/>
      <c r="Q89"/>
    </row>
    <row r="90" spans="1:17" ht="14.5" x14ac:dyDescent="0.35">
      <c r="A90" s="644"/>
      <c r="B90" t="s">
        <v>757</v>
      </c>
      <c r="C90" t="s">
        <v>689</v>
      </c>
      <c r="D90" t="s">
        <v>758</v>
      </c>
      <c r="E90">
        <v>96</v>
      </c>
      <c r="F90" t="s">
        <v>138</v>
      </c>
      <c r="G90" t="s">
        <v>138</v>
      </c>
      <c r="H90" t="s">
        <v>138</v>
      </c>
      <c r="I90" t="s">
        <v>138</v>
      </c>
      <c r="J90" t="s">
        <v>138</v>
      </c>
      <c r="K90" t="s">
        <v>138</v>
      </c>
      <c r="L90" t="s">
        <v>138</v>
      </c>
      <c r="M90" t="s">
        <v>635</v>
      </c>
      <c r="N90" t="s">
        <v>759</v>
      </c>
      <c r="O90" s="199" t="s">
        <v>138</v>
      </c>
      <c r="P90"/>
      <c r="Q90"/>
    </row>
    <row r="91" spans="1:17" ht="14.5" x14ac:dyDescent="0.35">
      <c r="A91" s="644"/>
      <c r="B91" t="s">
        <v>760</v>
      </c>
      <c r="C91" t="s">
        <v>689</v>
      </c>
      <c r="D91" t="s">
        <v>761</v>
      </c>
      <c r="E91">
        <v>97</v>
      </c>
      <c r="F91" t="s">
        <v>138</v>
      </c>
      <c r="G91" t="s">
        <v>635</v>
      </c>
      <c r="H91" t="s">
        <v>138</v>
      </c>
      <c r="I91" t="s">
        <v>138</v>
      </c>
      <c r="J91" t="s">
        <v>635</v>
      </c>
      <c r="K91" t="s">
        <v>138</v>
      </c>
      <c r="L91" t="s">
        <v>635</v>
      </c>
      <c r="M91" t="s">
        <v>138</v>
      </c>
      <c r="N91" t="s">
        <v>762</v>
      </c>
      <c r="O91" s="199" t="s">
        <v>138</v>
      </c>
      <c r="P91"/>
      <c r="Q91"/>
    </row>
    <row r="92" spans="1:17" ht="14.5" x14ac:dyDescent="0.35">
      <c r="A92" s="644"/>
      <c r="B92" t="s">
        <v>763</v>
      </c>
      <c r="C92" t="s">
        <v>633</v>
      </c>
      <c r="D92" t="s">
        <v>686</v>
      </c>
      <c r="E92">
        <v>98</v>
      </c>
      <c r="F92" t="s">
        <v>138</v>
      </c>
      <c r="G92" t="s">
        <v>635</v>
      </c>
      <c r="H92" t="s">
        <v>138</v>
      </c>
      <c r="I92" t="s">
        <v>635</v>
      </c>
      <c r="J92" t="s">
        <v>138</v>
      </c>
      <c r="K92" t="s">
        <v>138</v>
      </c>
      <c r="L92" t="s">
        <v>138</v>
      </c>
      <c r="M92" t="s">
        <v>138</v>
      </c>
      <c r="N92" t="s">
        <v>764</v>
      </c>
      <c r="O92" s="199" t="s">
        <v>138</v>
      </c>
      <c r="P92"/>
      <c r="Q92"/>
    </row>
    <row r="93" spans="1:17" ht="14.5" x14ac:dyDescent="0.35">
      <c r="A93" s="644"/>
      <c r="B93" t="s">
        <v>765</v>
      </c>
      <c r="C93" t="s">
        <v>633</v>
      </c>
      <c r="D93" t="s">
        <v>686</v>
      </c>
      <c r="E93">
        <v>99</v>
      </c>
      <c r="F93" t="s">
        <v>138</v>
      </c>
      <c r="G93" t="s">
        <v>138</v>
      </c>
      <c r="H93" t="s">
        <v>138</v>
      </c>
      <c r="I93" t="s">
        <v>635</v>
      </c>
      <c r="J93" t="s">
        <v>138</v>
      </c>
      <c r="K93" t="s">
        <v>138</v>
      </c>
      <c r="L93" t="s">
        <v>138</v>
      </c>
      <c r="M93" t="s">
        <v>138</v>
      </c>
      <c r="N93" t="s">
        <v>766</v>
      </c>
      <c r="O93" s="677">
        <v>97000</v>
      </c>
      <c r="P93" t="s">
        <v>739</v>
      </c>
      <c r="Q93"/>
    </row>
    <row r="94" spans="1:17" ht="14.5" x14ac:dyDescent="0.35">
      <c r="A94" s="644"/>
      <c r="B94" t="s">
        <v>767</v>
      </c>
      <c r="C94" t="s">
        <v>689</v>
      </c>
      <c r="D94" t="s">
        <v>731</v>
      </c>
      <c r="E94">
        <v>101</v>
      </c>
      <c r="F94" t="s">
        <v>138</v>
      </c>
      <c r="G94" t="s">
        <v>635</v>
      </c>
      <c r="H94" t="s">
        <v>138</v>
      </c>
      <c r="I94" t="s">
        <v>635</v>
      </c>
      <c r="J94" t="s">
        <v>138</v>
      </c>
      <c r="K94" t="s">
        <v>138</v>
      </c>
      <c r="L94" t="s">
        <v>138</v>
      </c>
      <c r="M94" t="s">
        <v>138</v>
      </c>
      <c r="N94" t="s">
        <v>768</v>
      </c>
      <c r="O94" s="199" t="s">
        <v>138</v>
      </c>
      <c r="P94"/>
      <c r="Q94"/>
    </row>
    <row r="95" spans="1:17" ht="14.5" x14ac:dyDescent="0.35">
      <c r="A95" s="644"/>
      <c r="B95" t="s">
        <v>769</v>
      </c>
      <c r="C95" t="s">
        <v>689</v>
      </c>
      <c r="D95" t="s">
        <v>770</v>
      </c>
      <c r="E95">
        <v>102</v>
      </c>
      <c r="F95" t="s">
        <v>138</v>
      </c>
      <c r="G95" t="s">
        <v>138</v>
      </c>
      <c r="H95" t="s">
        <v>138</v>
      </c>
      <c r="I95" t="s">
        <v>138</v>
      </c>
      <c r="J95" t="s">
        <v>635</v>
      </c>
      <c r="K95" t="s">
        <v>138</v>
      </c>
      <c r="L95" t="s">
        <v>138</v>
      </c>
      <c r="M95" t="s">
        <v>138</v>
      </c>
      <c r="N95" t="s">
        <v>771</v>
      </c>
      <c r="O95" s="199" t="s">
        <v>138</v>
      </c>
      <c r="P95"/>
      <c r="Q95"/>
    </row>
    <row r="96" spans="1:17" ht="14.5" x14ac:dyDescent="0.35">
      <c r="A96" s="644"/>
      <c r="B96" t="s">
        <v>772</v>
      </c>
      <c r="C96" t="s">
        <v>633</v>
      </c>
      <c r="D96" t="s">
        <v>773</v>
      </c>
      <c r="E96">
        <v>105</v>
      </c>
      <c r="F96" t="s">
        <v>138</v>
      </c>
      <c r="G96" t="s">
        <v>138</v>
      </c>
      <c r="H96" t="s">
        <v>138</v>
      </c>
      <c r="I96" t="s">
        <v>138</v>
      </c>
      <c r="J96" t="s">
        <v>138</v>
      </c>
      <c r="K96" t="s">
        <v>138</v>
      </c>
      <c r="L96" t="s">
        <v>138</v>
      </c>
      <c r="M96" t="s">
        <v>635</v>
      </c>
      <c r="N96" t="s">
        <v>774</v>
      </c>
      <c r="O96" s="199" t="s">
        <v>138</v>
      </c>
      <c r="P96"/>
      <c r="Q96"/>
    </row>
    <row r="97" spans="1:17" ht="14.5" x14ac:dyDescent="0.35">
      <c r="A97" s="644"/>
      <c r="B97" t="s">
        <v>775</v>
      </c>
      <c r="C97" t="s">
        <v>689</v>
      </c>
      <c r="D97" t="s">
        <v>773</v>
      </c>
      <c r="E97">
        <v>106</v>
      </c>
      <c r="F97" t="s">
        <v>138</v>
      </c>
      <c r="G97" t="s">
        <v>635</v>
      </c>
      <c r="H97" t="s">
        <v>138</v>
      </c>
      <c r="I97" t="s">
        <v>138</v>
      </c>
      <c r="J97" t="s">
        <v>138</v>
      </c>
      <c r="K97" t="s">
        <v>138</v>
      </c>
      <c r="L97" t="s">
        <v>138</v>
      </c>
      <c r="M97" t="s">
        <v>138</v>
      </c>
      <c r="N97" t="s">
        <v>776</v>
      </c>
      <c r="O97" s="199" t="s">
        <v>138</v>
      </c>
      <c r="P97"/>
      <c r="Q97"/>
    </row>
    <row r="98" spans="1:17" ht="14.5" x14ac:dyDescent="0.35">
      <c r="A98" s="644"/>
      <c r="B98" t="s">
        <v>777</v>
      </c>
      <c r="C98" t="s">
        <v>633</v>
      </c>
      <c r="D98" t="s">
        <v>778</v>
      </c>
      <c r="E98">
        <v>107</v>
      </c>
      <c r="F98" t="s">
        <v>138</v>
      </c>
      <c r="G98" t="s">
        <v>138</v>
      </c>
      <c r="H98" t="s">
        <v>138</v>
      </c>
      <c r="I98" t="s">
        <v>138</v>
      </c>
      <c r="J98" t="s">
        <v>635</v>
      </c>
      <c r="K98" t="s">
        <v>635</v>
      </c>
      <c r="L98" t="s">
        <v>635</v>
      </c>
      <c r="M98" t="s">
        <v>138</v>
      </c>
      <c r="N98" t="s">
        <v>779</v>
      </c>
      <c r="O98" s="199" t="s">
        <v>138</v>
      </c>
      <c r="P98"/>
      <c r="Q98"/>
    </row>
    <row r="99" spans="1:17" ht="14.5" x14ac:dyDescent="0.35">
      <c r="A99" s="644"/>
      <c r="B99" t="s">
        <v>780</v>
      </c>
      <c r="C99" t="s">
        <v>633</v>
      </c>
      <c r="D99" t="s">
        <v>731</v>
      </c>
      <c r="E99">
        <v>111</v>
      </c>
      <c r="F99" t="s">
        <v>138</v>
      </c>
      <c r="G99" t="s">
        <v>138</v>
      </c>
      <c r="H99" t="s">
        <v>635</v>
      </c>
      <c r="I99" t="s">
        <v>138</v>
      </c>
      <c r="J99" t="s">
        <v>138</v>
      </c>
      <c r="K99" t="s">
        <v>138</v>
      </c>
      <c r="L99" t="s">
        <v>138</v>
      </c>
      <c r="M99" t="s">
        <v>138</v>
      </c>
      <c r="N99" t="s">
        <v>781</v>
      </c>
      <c r="O99" s="199" t="s">
        <v>138</v>
      </c>
      <c r="P99"/>
      <c r="Q99"/>
    </row>
    <row r="100" spans="1:17" ht="14.5" x14ac:dyDescent="0.35">
      <c r="A100" s="644"/>
      <c r="B100" t="s">
        <v>782</v>
      </c>
      <c r="C100" t="s">
        <v>689</v>
      </c>
      <c r="D100" t="s">
        <v>783</v>
      </c>
      <c r="E100">
        <v>112</v>
      </c>
      <c r="F100" t="s">
        <v>138</v>
      </c>
      <c r="G100" t="s">
        <v>635</v>
      </c>
      <c r="H100" t="s">
        <v>138</v>
      </c>
      <c r="I100" t="s">
        <v>138</v>
      </c>
      <c r="J100" t="s">
        <v>138</v>
      </c>
      <c r="K100" t="s">
        <v>138</v>
      </c>
      <c r="L100" t="s">
        <v>138</v>
      </c>
      <c r="M100" t="s">
        <v>138</v>
      </c>
      <c r="N100" t="s">
        <v>784</v>
      </c>
      <c r="O100" s="199" t="s">
        <v>138</v>
      </c>
      <c r="P100"/>
      <c r="Q100"/>
    </row>
    <row r="101" spans="1:17" ht="14.5" x14ac:dyDescent="0.35">
      <c r="A101" s="644"/>
      <c r="B101" t="s">
        <v>785</v>
      </c>
      <c r="C101" t="s">
        <v>689</v>
      </c>
      <c r="D101" t="s">
        <v>786</v>
      </c>
      <c r="E101">
        <v>117</v>
      </c>
      <c r="F101" t="s">
        <v>138</v>
      </c>
      <c r="G101" t="s">
        <v>635</v>
      </c>
      <c r="H101" t="s">
        <v>138</v>
      </c>
      <c r="I101" t="s">
        <v>138</v>
      </c>
      <c r="J101" t="s">
        <v>138</v>
      </c>
      <c r="K101" t="s">
        <v>138</v>
      </c>
      <c r="L101" t="s">
        <v>635</v>
      </c>
      <c r="M101" t="s">
        <v>138</v>
      </c>
      <c r="N101" t="s">
        <v>787</v>
      </c>
      <c r="O101" s="199" t="s">
        <v>138</v>
      </c>
      <c r="P101"/>
      <c r="Q101"/>
    </row>
    <row r="102" spans="1:17" ht="14.5" x14ac:dyDescent="0.35">
      <c r="A102" s="644"/>
      <c r="B102" t="s">
        <v>788</v>
      </c>
      <c r="C102" t="s">
        <v>713</v>
      </c>
      <c r="D102" t="s">
        <v>789</v>
      </c>
      <c r="E102">
        <v>118</v>
      </c>
      <c r="F102" t="s">
        <v>138</v>
      </c>
      <c r="G102" t="s">
        <v>635</v>
      </c>
      <c r="H102" t="s">
        <v>138</v>
      </c>
      <c r="I102" t="s">
        <v>635</v>
      </c>
      <c r="J102" t="s">
        <v>635</v>
      </c>
      <c r="K102" t="s">
        <v>635</v>
      </c>
      <c r="L102" t="s">
        <v>635</v>
      </c>
      <c r="M102" t="s">
        <v>635</v>
      </c>
      <c r="N102" t="s">
        <v>790</v>
      </c>
      <c r="O102" s="199" t="s">
        <v>138</v>
      </c>
      <c r="P102"/>
      <c r="Q102"/>
    </row>
    <row r="103" spans="1:17" ht="14.5" x14ac:dyDescent="0.35">
      <c r="A103" s="644"/>
      <c r="B103" t="s">
        <v>791</v>
      </c>
      <c r="C103" t="s">
        <v>633</v>
      </c>
      <c r="D103" t="s">
        <v>792</v>
      </c>
      <c r="E103">
        <v>119</v>
      </c>
      <c r="F103" t="s">
        <v>138</v>
      </c>
      <c r="G103" t="s">
        <v>635</v>
      </c>
      <c r="H103" t="s">
        <v>138</v>
      </c>
      <c r="I103" t="s">
        <v>138</v>
      </c>
      <c r="J103" t="s">
        <v>138</v>
      </c>
      <c r="K103" t="s">
        <v>138</v>
      </c>
      <c r="L103" t="s">
        <v>138</v>
      </c>
      <c r="M103" t="s">
        <v>138</v>
      </c>
      <c r="N103" t="s">
        <v>793</v>
      </c>
      <c r="O103" s="199" t="s">
        <v>138</v>
      </c>
      <c r="P103"/>
      <c r="Q103"/>
    </row>
    <row r="104" spans="1:17" ht="14.5" x14ac:dyDescent="0.35">
      <c r="A104" s="644"/>
      <c r="B104" t="s">
        <v>794</v>
      </c>
      <c r="C104" t="s">
        <v>689</v>
      </c>
      <c r="D104" t="s">
        <v>761</v>
      </c>
      <c r="E104">
        <v>121</v>
      </c>
      <c r="F104" t="s">
        <v>138</v>
      </c>
      <c r="G104" t="s">
        <v>138</v>
      </c>
      <c r="H104" t="s">
        <v>138</v>
      </c>
      <c r="I104" t="s">
        <v>138</v>
      </c>
      <c r="J104" t="s">
        <v>138</v>
      </c>
      <c r="K104" t="s">
        <v>138</v>
      </c>
      <c r="L104" t="s">
        <v>138</v>
      </c>
      <c r="M104" t="s">
        <v>635</v>
      </c>
      <c r="N104" t="s">
        <v>795</v>
      </c>
      <c r="O104" s="199" t="s">
        <v>138</v>
      </c>
      <c r="P104"/>
      <c r="Q104"/>
    </row>
    <row r="105" spans="1:17" ht="14.5" x14ac:dyDescent="0.35">
      <c r="A105" s="644"/>
      <c r="B105" t="s">
        <v>796</v>
      </c>
      <c r="C105" t="s">
        <v>633</v>
      </c>
      <c r="D105" t="s">
        <v>797</v>
      </c>
      <c r="E105">
        <v>122</v>
      </c>
      <c r="F105" t="s">
        <v>138</v>
      </c>
      <c r="G105" t="s">
        <v>138</v>
      </c>
      <c r="H105" t="s">
        <v>138</v>
      </c>
      <c r="I105" t="s">
        <v>635</v>
      </c>
      <c r="J105" t="s">
        <v>138</v>
      </c>
      <c r="K105" t="s">
        <v>138</v>
      </c>
      <c r="L105" t="s">
        <v>138</v>
      </c>
      <c r="M105" t="s">
        <v>138</v>
      </c>
      <c r="N105" t="s">
        <v>798</v>
      </c>
      <c r="O105" s="199" t="s">
        <v>138</v>
      </c>
      <c r="P105"/>
      <c r="Q105"/>
    </row>
    <row r="106" spans="1:17" ht="14.5" x14ac:dyDescent="0.35">
      <c r="A106" s="644"/>
      <c r="B106" t="s">
        <v>799</v>
      </c>
      <c r="C106" t="s">
        <v>633</v>
      </c>
      <c r="D106" t="s">
        <v>800</v>
      </c>
      <c r="E106">
        <v>123</v>
      </c>
      <c r="F106" t="s">
        <v>138</v>
      </c>
      <c r="G106" t="s">
        <v>138</v>
      </c>
      <c r="H106" t="s">
        <v>138</v>
      </c>
      <c r="I106" t="s">
        <v>138</v>
      </c>
      <c r="J106" t="s">
        <v>138</v>
      </c>
      <c r="K106" t="s">
        <v>138</v>
      </c>
      <c r="L106" t="s">
        <v>138</v>
      </c>
      <c r="M106" t="s">
        <v>635</v>
      </c>
      <c r="N106" t="s">
        <v>801</v>
      </c>
      <c r="O106" s="199" t="s">
        <v>138</v>
      </c>
      <c r="P106"/>
      <c r="Q106"/>
    </row>
    <row r="107" spans="1:17" ht="14.5" x14ac:dyDescent="0.35">
      <c r="A107" s="644"/>
      <c r="B107" t="s">
        <v>802</v>
      </c>
      <c r="C107" t="s">
        <v>633</v>
      </c>
      <c r="D107" t="s">
        <v>803</v>
      </c>
      <c r="E107">
        <v>124</v>
      </c>
      <c r="F107" t="s">
        <v>138</v>
      </c>
      <c r="G107" t="s">
        <v>138</v>
      </c>
      <c r="H107" t="s">
        <v>138</v>
      </c>
      <c r="I107" t="s">
        <v>138</v>
      </c>
      <c r="J107" t="s">
        <v>635</v>
      </c>
      <c r="K107" t="s">
        <v>138</v>
      </c>
      <c r="L107" t="s">
        <v>138</v>
      </c>
      <c r="M107" t="s">
        <v>138</v>
      </c>
      <c r="N107" t="s">
        <v>804</v>
      </c>
      <c r="O107" s="199" t="s">
        <v>138</v>
      </c>
      <c r="P107"/>
      <c r="Q107"/>
    </row>
    <row r="108" spans="1:17" ht="14.5" x14ac:dyDescent="0.35">
      <c r="A108" s="644"/>
      <c r="B108" t="s">
        <v>805</v>
      </c>
      <c r="C108" t="s">
        <v>633</v>
      </c>
      <c r="D108" t="s">
        <v>806</v>
      </c>
      <c r="E108">
        <v>126</v>
      </c>
      <c r="F108" t="s">
        <v>138</v>
      </c>
      <c r="G108" t="s">
        <v>138</v>
      </c>
      <c r="H108" t="s">
        <v>138</v>
      </c>
      <c r="I108" t="s">
        <v>138</v>
      </c>
      <c r="J108" t="s">
        <v>138</v>
      </c>
      <c r="K108" t="s">
        <v>138</v>
      </c>
      <c r="L108" t="s">
        <v>138</v>
      </c>
      <c r="M108" t="s">
        <v>635</v>
      </c>
      <c r="N108" t="s">
        <v>807</v>
      </c>
      <c r="O108" s="199" t="s">
        <v>138</v>
      </c>
      <c r="P108"/>
      <c r="Q108"/>
    </row>
    <row r="109" spans="1:17" ht="14.5" x14ac:dyDescent="0.35">
      <c r="A109" s="644"/>
      <c r="B109" t="s">
        <v>808</v>
      </c>
      <c r="C109" t="s">
        <v>633</v>
      </c>
      <c r="D109" t="s">
        <v>809</v>
      </c>
      <c r="E109">
        <v>127</v>
      </c>
      <c r="F109" t="s">
        <v>138</v>
      </c>
      <c r="G109" t="s">
        <v>635</v>
      </c>
      <c r="H109" t="s">
        <v>138</v>
      </c>
      <c r="I109" t="s">
        <v>138</v>
      </c>
      <c r="J109" t="s">
        <v>138</v>
      </c>
      <c r="K109" t="s">
        <v>138</v>
      </c>
      <c r="L109" t="s">
        <v>138</v>
      </c>
      <c r="M109" t="s">
        <v>138</v>
      </c>
      <c r="N109" t="s">
        <v>810</v>
      </c>
      <c r="O109" s="199" t="s">
        <v>138</v>
      </c>
      <c r="P109"/>
      <c r="Q109"/>
    </row>
    <row r="110" spans="1:17" ht="14.5" x14ac:dyDescent="0.35">
      <c r="A110" s="644"/>
      <c r="B110" t="s">
        <v>811</v>
      </c>
      <c r="C110" t="s">
        <v>689</v>
      </c>
      <c r="D110" t="s">
        <v>812</v>
      </c>
      <c r="E110">
        <v>128</v>
      </c>
      <c r="F110" t="s">
        <v>138</v>
      </c>
      <c r="G110" t="s">
        <v>138</v>
      </c>
      <c r="H110" t="s">
        <v>138</v>
      </c>
      <c r="I110" t="s">
        <v>138</v>
      </c>
      <c r="J110" t="s">
        <v>138</v>
      </c>
      <c r="K110" t="s">
        <v>138</v>
      </c>
      <c r="L110" t="s">
        <v>138</v>
      </c>
      <c r="M110" t="s">
        <v>635</v>
      </c>
      <c r="N110" t="s">
        <v>813</v>
      </c>
      <c r="O110" s="199" t="s">
        <v>138</v>
      </c>
      <c r="P110"/>
      <c r="Q110"/>
    </row>
    <row r="111" spans="1:17" ht="14.5" x14ac:dyDescent="0.35">
      <c r="A111" s="644"/>
      <c r="B111" t="s">
        <v>814</v>
      </c>
      <c r="C111" t="s">
        <v>689</v>
      </c>
      <c r="D111" t="s">
        <v>792</v>
      </c>
      <c r="E111">
        <v>129</v>
      </c>
      <c r="F111" t="s">
        <v>138</v>
      </c>
      <c r="G111" t="s">
        <v>635</v>
      </c>
      <c r="H111" t="s">
        <v>138</v>
      </c>
      <c r="I111" t="s">
        <v>138</v>
      </c>
      <c r="J111" t="s">
        <v>138</v>
      </c>
      <c r="K111" t="s">
        <v>138</v>
      </c>
      <c r="L111" t="s">
        <v>138</v>
      </c>
      <c r="M111" t="s">
        <v>138</v>
      </c>
      <c r="N111" t="s">
        <v>815</v>
      </c>
      <c r="O111" s="199" t="s">
        <v>138</v>
      </c>
      <c r="P111"/>
      <c r="Q111"/>
    </row>
    <row r="112" spans="1:17" ht="14.5" x14ac:dyDescent="0.35">
      <c r="A112" s="644"/>
      <c r="B112" t="s">
        <v>816</v>
      </c>
      <c r="C112" t="s">
        <v>689</v>
      </c>
      <c r="D112" t="s">
        <v>809</v>
      </c>
      <c r="E112">
        <v>130</v>
      </c>
      <c r="F112" t="s">
        <v>138</v>
      </c>
      <c r="G112" t="s">
        <v>635</v>
      </c>
      <c r="H112" t="s">
        <v>138</v>
      </c>
      <c r="I112" t="s">
        <v>138</v>
      </c>
      <c r="J112" t="s">
        <v>138</v>
      </c>
      <c r="K112" t="s">
        <v>138</v>
      </c>
      <c r="L112" t="s">
        <v>138</v>
      </c>
      <c r="M112" t="s">
        <v>138</v>
      </c>
      <c r="N112" t="s">
        <v>817</v>
      </c>
      <c r="O112" s="199" t="s">
        <v>138</v>
      </c>
      <c r="P112"/>
      <c r="Q112"/>
    </row>
    <row r="113" spans="1:17" ht="14.5" x14ac:dyDescent="0.35">
      <c r="A113" s="644"/>
      <c r="B113" t="s">
        <v>818</v>
      </c>
      <c r="C113" t="s">
        <v>633</v>
      </c>
      <c r="D113" t="s">
        <v>819</v>
      </c>
      <c r="E113">
        <v>131</v>
      </c>
      <c r="F113" t="s">
        <v>138</v>
      </c>
      <c r="G113" t="s">
        <v>138</v>
      </c>
      <c r="H113" t="s">
        <v>138</v>
      </c>
      <c r="I113" t="s">
        <v>138</v>
      </c>
      <c r="J113" t="s">
        <v>138</v>
      </c>
      <c r="K113" t="s">
        <v>138</v>
      </c>
      <c r="L113" t="s">
        <v>138</v>
      </c>
      <c r="M113" t="s">
        <v>635</v>
      </c>
      <c r="N113" t="s">
        <v>820</v>
      </c>
      <c r="O113" s="199" t="s">
        <v>138</v>
      </c>
      <c r="P113"/>
      <c r="Q113"/>
    </row>
    <row r="114" spans="1:17" ht="14.5" x14ac:dyDescent="0.35">
      <c r="A114" s="644"/>
      <c r="B114" t="s">
        <v>821</v>
      </c>
      <c r="C114" t="s">
        <v>689</v>
      </c>
      <c r="D114" t="s">
        <v>822</v>
      </c>
      <c r="E114">
        <v>133</v>
      </c>
      <c r="F114" t="s">
        <v>138</v>
      </c>
      <c r="G114" t="s">
        <v>138</v>
      </c>
      <c r="H114" t="s">
        <v>138</v>
      </c>
      <c r="I114" t="s">
        <v>138</v>
      </c>
      <c r="J114" t="s">
        <v>138</v>
      </c>
      <c r="K114" t="s">
        <v>138</v>
      </c>
      <c r="L114" t="s">
        <v>635</v>
      </c>
      <c r="M114" t="s">
        <v>138</v>
      </c>
      <c r="N114" t="s">
        <v>823</v>
      </c>
      <c r="O114" s="199" t="s">
        <v>138</v>
      </c>
      <c r="P114"/>
      <c r="Q114"/>
    </row>
    <row r="115" spans="1:17" ht="14.5" x14ac:dyDescent="0.35">
      <c r="A115" s="644"/>
      <c r="B115" t="s">
        <v>824</v>
      </c>
      <c r="C115" t="s">
        <v>633</v>
      </c>
      <c r="D115" t="s">
        <v>825</v>
      </c>
      <c r="E115">
        <v>140</v>
      </c>
      <c r="F115" t="s">
        <v>138</v>
      </c>
      <c r="G115" t="s">
        <v>635</v>
      </c>
      <c r="H115" t="s">
        <v>138</v>
      </c>
      <c r="I115" t="s">
        <v>138</v>
      </c>
      <c r="J115" t="s">
        <v>138</v>
      </c>
      <c r="K115" t="s">
        <v>138</v>
      </c>
      <c r="L115" t="s">
        <v>138</v>
      </c>
      <c r="M115" t="s">
        <v>138</v>
      </c>
      <c r="N115" t="s">
        <v>826</v>
      </c>
      <c r="O115" s="199" t="s">
        <v>138</v>
      </c>
      <c r="P115"/>
      <c r="Q115"/>
    </row>
    <row r="116" spans="1:17" ht="14.5" x14ac:dyDescent="0.35">
      <c r="A116" s="644"/>
      <c r="B116" t="s">
        <v>827</v>
      </c>
      <c r="C116" t="s">
        <v>689</v>
      </c>
      <c r="D116" t="s">
        <v>828</v>
      </c>
      <c r="E116">
        <v>143</v>
      </c>
      <c r="F116" t="s">
        <v>138</v>
      </c>
      <c r="G116" t="s">
        <v>635</v>
      </c>
      <c r="H116" t="s">
        <v>138</v>
      </c>
      <c r="I116" t="s">
        <v>138</v>
      </c>
      <c r="J116" t="s">
        <v>138</v>
      </c>
      <c r="K116" t="s">
        <v>138</v>
      </c>
      <c r="L116" t="s">
        <v>138</v>
      </c>
      <c r="M116" t="s">
        <v>138</v>
      </c>
      <c r="N116" t="s">
        <v>829</v>
      </c>
      <c r="O116" s="199" t="s">
        <v>138</v>
      </c>
      <c r="P116"/>
      <c r="Q116"/>
    </row>
    <row r="117" spans="1:17" ht="14.5" x14ac:dyDescent="0.35">
      <c r="A117" s="644"/>
      <c r="B117" t="s">
        <v>830</v>
      </c>
      <c r="C117" t="s">
        <v>689</v>
      </c>
      <c r="D117" t="s">
        <v>819</v>
      </c>
      <c r="E117">
        <v>144</v>
      </c>
      <c r="F117" t="s">
        <v>138</v>
      </c>
      <c r="G117" t="s">
        <v>635</v>
      </c>
      <c r="H117" t="s">
        <v>138</v>
      </c>
      <c r="I117" t="s">
        <v>138</v>
      </c>
      <c r="J117" t="s">
        <v>138</v>
      </c>
      <c r="K117" t="s">
        <v>138</v>
      </c>
      <c r="L117" t="s">
        <v>138</v>
      </c>
      <c r="M117" t="s">
        <v>138</v>
      </c>
      <c r="N117" t="s">
        <v>831</v>
      </c>
      <c r="O117" s="199" t="s">
        <v>138</v>
      </c>
      <c r="P117"/>
      <c r="Q117"/>
    </row>
    <row r="118" spans="1:17" ht="14.5" x14ac:dyDescent="0.35">
      <c r="A118" s="644"/>
      <c r="B118" t="s">
        <v>832</v>
      </c>
      <c r="C118" t="s">
        <v>689</v>
      </c>
      <c r="D118" t="s">
        <v>833</v>
      </c>
      <c r="E118">
        <v>146</v>
      </c>
      <c r="F118" t="s">
        <v>138</v>
      </c>
      <c r="G118" t="s">
        <v>635</v>
      </c>
      <c r="H118" t="s">
        <v>138</v>
      </c>
      <c r="I118" t="s">
        <v>138</v>
      </c>
      <c r="J118" t="s">
        <v>138</v>
      </c>
      <c r="K118" t="s">
        <v>138</v>
      </c>
      <c r="L118" t="s">
        <v>138</v>
      </c>
      <c r="M118" t="s">
        <v>138</v>
      </c>
      <c r="N118" t="s">
        <v>834</v>
      </c>
      <c r="O118" s="199" t="s">
        <v>138</v>
      </c>
      <c r="P118"/>
      <c r="Q118"/>
    </row>
    <row r="119" spans="1:17" ht="15" thickBot="1" x14ac:dyDescent="0.4">
      <c r="A119" s="644"/>
      <c r="B119" t="s">
        <v>835</v>
      </c>
      <c r="C119" t="s">
        <v>689</v>
      </c>
      <c r="D119" t="s">
        <v>836</v>
      </c>
      <c r="E119">
        <v>152</v>
      </c>
      <c r="F119" t="s">
        <v>635</v>
      </c>
      <c r="G119" t="s">
        <v>635</v>
      </c>
      <c r="H119" t="s">
        <v>138</v>
      </c>
      <c r="I119" t="s">
        <v>138</v>
      </c>
      <c r="J119" t="s">
        <v>138</v>
      </c>
      <c r="K119" t="s">
        <v>138</v>
      </c>
      <c r="L119" t="s">
        <v>635</v>
      </c>
      <c r="M119" t="s">
        <v>138</v>
      </c>
      <c r="N119" t="s">
        <v>837</v>
      </c>
      <c r="O119" s="199" t="s">
        <v>138</v>
      </c>
      <c r="P119"/>
      <c r="Q119"/>
    </row>
    <row r="120" spans="1:17" ht="14.25" customHeight="1" thickBot="1" x14ac:dyDescent="0.35">
      <c r="A120" s="644"/>
      <c r="B120" s="758" t="s">
        <v>838</v>
      </c>
      <c r="E120" s="1672"/>
      <c r="F120" s="1672"/>
      <c r="G120" s="1672"/>
      <c r="H120" s="1672"/>
      <c r="I120" s="1672"/>
      <c r="J120" s="1672"/>
      <c r="K120" s="1672"/>
      <c r="L120" s="1672"/>
      <c r="O120" s="759">
        <v>804264</v>
      </c>
    </row>
    <row r="121" spans="1:17" ht="39.5" thickBot="1" x14ac:dyDescent="0.35">
      <c r="A121" s="644"/>
      <c r="B121" s="758" t="s">
        <v>736</v>
      </c>
      <c r="E121" s="1672"/>
      <c r="F121" s="1672"/>
      <c r="G121" s="1672"/>
      <c r="H121" s="1672"/>
      <c r="I121" s="1672"/>
      <c r="J121" s="1672"/>
      <c r="K121" s="1672"/>
      <c r="L121" s="1672"/>
      <c r="O121" s="759">
        <v>1321103</v>
      </c>
    </row>
    <row r="122" spans="1:17" ht="26.5" thickBot="1" x14ac:dyDescent="0.35">
      <c r="A122" s="644"/>
      <c r="B122" s="758" t="s">
        <v>782</v>
      </c>
      <c r="E122" s="1672"/>
      <c r="F122" s="1672"/>
      <c r="G122" s="1672"/>
      <c r="H122" s="1672"/>
      <c r="I122" s="1672"/>
      <c r="J122" s="1672"/>
      <c r="K122" s="1672"/>
      <c r="L122" s="1672"/>
      <c r="O122" s="759">
        <v>12300</v>
      </c>
    </row>
    <row r="123" spans="1:17" ht="26.5" thickBot="1" x14ac:dyDescent="0.35">
      <c r="A123" s="644"/>
      <c r="B123" s="758" t="s">
        <v>777</v>
      </c>
      <c r="E123" s="1672"/>
      <c r="F123" s="1672"/>
      <c r="G123" s="1672"/>
      <c r="H123" s="1672"/>
      <c r="I123" s="1672"/>
      <c r="J123" s="1672"/>
      <c r="K123" s="1672"/>
      <c r="L123" s="1672"/>
      <c r="O123" s="760">
        <v>525</v>
      </c>
    </row>
    <row r="124" spans="1:17" ht="39.5" thickBot="1" x14ac:dyDescent="0.35">
      <c r="A124" s="644"/>
      <c r="B124" s="758" t="s">
        <v>839</v>
      </c>
      <c r="E124" s="1672"/>
      <c r="F124" s="1672"/>
      <c r="G124" s="1672"/>
      <c r="H124" s="1672"/>
      <c r="I124" s="1672"/>
      <c r="J124" s="1672"/>
      <c r="K124" s="1672"/>
      <c r="L124" s="1672"/>
      <c r="O124" s="759">
        <v>3295</v>
      </c>
    </row>
    <row r="125" spans="1:17" ht="39.5" thickBot="1" x14ac:dyDescent="0.35">
      <c r="A125" s="644"/>
      <c r="B125" s="758" t="s">
        <v>840</v>
      </c>
      <c r="E125" s="1672"/>
      <c r="F125" s="1672"/>
      <c r="G125" s="1672"/>
      <c r="H125" s="1672"/>
      <c r="I125" s="1672"/>
      <c r="J125" s="1672"/>
      <c r="K125" s="1672"/>
      <c r="L125" s="1672"/>
      <c r="O125" s="759">
        <v>534500</v>
      </c>
    </row>
    <row r="126" spans="1:17" ht="26.5" thickBot="1" x14ac:dyDescent="0.35">
      <c r="A126" s="644"/>
      <c r="B126" s="758" t="s">
        <v>747</v>
      </c>
      <c r="O126" s="759">
        <v>20007</v>
      </c>
    </row>
    <row r="127" spans="1:17" ht="13.5" thickBot="1" x14ac:dyDescent="0.35">
      <c r="A127" s="644"/>
      <c r="B127" s="758" t="s">
        <v>742</v>
      </c>
      <c r="I127" s="659"/>
      <c r="J127" s="659"/>
      <c r="O127" s="759">
        <v>21600</v>
      </c>
    </row>
    <row r="128" spans="1:17" ht="26.5" thickBot="1" x14ac:dyDescent="0.35">
      <c r="A128" s="644"/>
      <c r="B128" s="758" t="s">
        <v>785</v>
      </c>
      <c r="I128" s="659"/>
      <c r="J128" s="659"/>
      <c r="O128" s="759">
        <v>160500</v>
      </c>
    </row>
    <row r="129" spans="1:15" ht="39.5" thickBot="1" x14ac:dyDescent="0.35">
      <c r="A129" s="644"/>
      <c r="B129" s="758" t="s">
        <v>841</v>
      </c>
      <c r="I129" s="659"/>
      <c r="J129" s="659"/>
      <c r="O129" s="759">
        <v>241584</v>
      </c>
    </row>
    <row r="130" spans="1:15" ht="39.5" thickBot="1" x14ac:dyDescent="0.35">
      <c r="A130" s="644"/>
      <c r="B130" s="758" t="s">
        <v>755</v>
      </c>
      <c r="I130" s="660"/>
      <c r="J130" s="661"/>
      <c r="O130" s="759">
        <v>29318</v>
      </c>
    </row>
    <row r="131" spans="1:15" ht="26.5" thickBot="1" x14ac:dyDescent="0.35">
      <c r="A131" s="644"/>
      <c r="B131" s="758" t="s">
        <v>716</v>
      </c>
      <c r="I131" s="659"/>
      <c r="J131" s="659"/>
      <c r="O131" s="759">
        <v>8600</v>
      </c>
    </row>
    <row r="132" spans="1:15" ht="26" x14ac:dyDescent="0.3">
      <c r="A132" s="644"/>
      <c r="B132" s="758" t="s">
        <v>842</v>
      </c>
      <c r="I132" s="659"/>
      <c r="J132" s="659"/>
      <c r="O132" s="759">
        <v>14127</v>
      </c>
    </row>
    <row r="133" spans="1:15" ht="58.5" thickBot="1" x14ac:dyDescent="0.4">
      <c r="A133" s="644"/>
      <c r="B133" s="761" t="s">
        <v>843</v>
      </c>
      <c r="J133" s="662"/>
      <c r="O133" s="762">
        <v>400045</v>
      </c>
    </row>
    <row r="134" spans="1:15" ht="39.5" thickBot="1" x14ac:dyDescent="0.35">
      <c r="A134" s="644"/>
      <c r="B134" s="758" t="s">
        <v>678</v>
      </c>
      <c r="E134" s="1673"/>
      <c r="F134" s="1673"/>
      <c r="G134" s="1673"/>
      <c r="H134" s="1673"/>
      <c r="I134" s="1673"/>
      <c r="J134" s="1673"/>
      <c r="K134" s="1673"/>
      <c r="L134" s="1673"/>
      <c r="O134" s="759">
        <v>150000</v>
      </c>
    </row>
    <row r="135" spans="1:15" ht="26.5" thickBot="1" x14ac:dyDescent="0.35">
      <c r="A135" s="644"/>
      <c r="B135" s="758" t="s">
        <v>788</v>
      </c>
      <c r="E135" s="650"/>
      <c r="F135" s="651"/>
      <c r="G135" s="651"/>
      <c r="H135" s="651"/>
      <c r="I135" s="652"/>
      <c r="J135" s="650"/>
      <c r="K135" s="650"/>
      <c r="L135" s="650"/>
      <c r="O135" s="759">
        <v>121500</v>
      </c>
    </row>
    <row r="136" spans="1:15" ht="26.5" thickBot="1" x14ac:dyDescent="0.35">
      <c r="A136" s="644"/>
      <c r="B136" s="758" t="s">
        <v>695</v>
      </c>
      <c r="O136" s="759">
        <v>3000</v>
      </c>
    </row>
    <row r="137" spans="1:15" ht="39.5" thickBot="1" x14ac:dyDescent="0.35">
      <c r="A137" s="644"/>
      <c r="B137" s="758" t="s">
        <v>681</v>
      </c>
      <c r="O137" s="760">
        <v>100</v>
      </c>
    </row>
    <row r="138" spans="1:15" ht="26.5" thickBot="1" x14ac:dyDescent="0.35">
      <c r="A138" s="644"/>
      <c r="B138" s="758" t="s">
        <v>730</v>
      </c>
      <c r="O138" s="759">
        <v>4198</v>
      </c>
    </row>
    <row r="139" spans="1:15" ht="26.5" thickBot="1" x14ac:dyDescent="0.35">
      <c r="A139" s="644"/>
      <c r="B139" s="758" t="s">
        <v>844</v>
      </c>
      <c r="O139" s="759">
        <v>3195</v>
      </c>
    </row>
    <row r="140" spans="1:15" ht="26.5" thickBot="1" x14ac:dyDescent="0.35">
      <c r="A140" s="644"/>
      <c r="B140" s="758" t="s">
        <v>845</v>
      </c>
      <c r="O140" s="760">
        <v>2</v>
      </c>
    </row>
    <row r="141" spans="1:15" ht="13.5" thickBot="1" x14ac:dyDescent="0.35">
      <c r="A141" s="644"/>
      <c r="B141" s="758" t="s">
        <v>763</v>
      </c>
      <c r="O141" s="759">
        <v>290500</v>
      </c>
    </row>
    <row r="142" spans="1:15" ht="29.5" thickBot="1" x14ac:dyDescent="0.4">
      <c r="A142" s="644"/>
      <c r="B142" s="763" t="s">
        <v>846</v>
      </c>
      <c r="O142" s="764">
        <v>228235</v>
      </c>
    </row>
    <row r="143" spans="1:15" x14ac:dyDescent="0.3">
      <c r="A143" s="644"/>
      <c r="B143" s="645"/>
    </row>
    <row r="144" spans="1:15" x14ac:dyDescent="0.3">
      <c r="A144" s="644"/>
      <c r="B144" s="645"/>
    </row>
    <row r="145" spans="1:2" x14ac:dyDescent="0.3">
      <c r="A145" s="644"/>
      <c r="B145" s="645"/>
    </row>
    <row r="146" spans="1:2" x14ac:dyDescent="0.3">
      <c r="A146" s="644"/>
      <c r="B146" s="645"/>
    </row>
    <row r="147" spans="1:2" x14ac:dyDescent="0.3">
      <c r="A147" s="644"/>
      <c r="B147" s="645"/>
    </row>
    <row r="148" spans="1:2" x14ac:dyDescent="0.3">
      <c r="A148" s="644"/>
      <c r="B148" s="645"/>
    </row>
    <row r="149" spans="1:2" x14ac:dyDescent="0.3">
      <c r="A149" s="644"/>
      <c r="B149" s="645"/>
    </row>
    <row r="150" spans="1:2" x14ac:dyDescent="0.3">
      <c r="A150" s="644"/>
      <c r="B150" s="645"/>
    </row>
    <row r="151" spans="1:2" x14ac:dyDescent="0.3">
      <c r="A151" s="644"/>
      <c r="B151" s="645"/>
    </row>
    <row r="152" spans="1:2" x14ac:dyDescent="0.3">
      <c r="A152" s="644"/>
      <c r="B152" s="645"/>
    </row>
    <row r="153" spans="1:2" x14ac:dyDescent="0.3">
      <c r="A153" s="644"/>
      <c r="B153" s="645"/>
    </row>
    <row r="154" spans="1:2" x14ac:dyDescent="0.3">
      <c r="A154" s="644"/>
      <c r="B154" s="645"/>
    </row>
    <row r="155" spans="1:2" x14ac:dyDescent="0.3">
      <c r="A155" s="644"/>
      <c r="B155" s="645"/>
    </row>
    <row r="156" spans="1:2" x14ac:dyDescent="0.3">
      <c r="A156" s="644"/>
      <c r="B156" s="645"/>
    </row>
    <row r="157" spans="1:2" x14ac:dyDescent="0.3">
      <c r="A157" s="644"/>
      <c r="B157" s="645"/>
    </row>
    <row r="158" spans="1:2" x14ac:dyDescent="0.3">
      <c r="A158" s="644"/>
      <c r="B158" s="645"/>
    </row>
    <row r="159" spans="1:2" x14ac:dyDescent="0.3">
      <c r="A159" s="644"/>
      <c r="B159" s="645"/>
    </row>
    <row r="160" spans="1:2" x14ac:dyDescent="0.3">
      <c r="A160" s="644"/>
      <c r="B160" s="645"/>
    </row>
    <row r="161" spans="1:2" x14ac:dyDescent="0.3">
      <c r="A161" s="644"/>
      <c r="B161" s="645"/>
    </row>
    <row r="162" spans="1:2" x14ac:dyDescent="0.3">
      <c r="A162" s="644"/>
      <c r="B162" s="645"/>
    </row>
    <row r="163" spans="1:2" x14ac:dyDescent="0.3">
      <c r="A163" s="644"/>
      <c r="B163" s="645"/>
    </row>
    <row r="164" spans="1:2" x14ac:dyDescent="0.3">
      <c r="A164" s="644"/>
      <c r="B164" s="645"/>
    </row>
    <row r="165" spans="1:2" x14ac:dyDescent="0.3">
      <c r="A165" s="644"/>
      <c r="B165" s="645"/>
    </row>
    <row r="166" spans="1:2" x14ac:dyDescent="0.3">
      <c r="A166" s="644"/>
      <c r="B166" s="645"/>
    </row>
    <row r="167" spans="1:2" x14ac:dyDescent="0.3">
      <c r="A167" s="644"/>
      <c r="B167" s="645"/>
    </row>
    <row r="168" spans="1:2" x14ac:dyDescent="0.3">
      <c r="A168" s="644"/>
      <c r="B168" s="645"/>
    </row>
    <row r="169" spans="1:2" x14ac:dyDescent="0.3">
      <c r="A169" s="644"/>
      <c r="B169" s="645"/>
    </row>
    <row r="170" spans="1:2" x14ac:dyDescent="0.3">
      <c r="A170" s="644"/>
      <c r="B170" s="645"/>
    </row>
    <row r="171" spans="1:2" x14ac:dyDescent="0.3">
      <c r="A171" s="644"/>
      <c r="B171" s="645"/>
    </row>
    <row r="172" spans="1:2" x14ac:dyDescent="0.3">
      <c r="A172" s="644"/>
      <c r="B172" s="645"/>
    </row>
    <row r="173" spans="1:2" x14ac:dyDescent="0.3">
      <c r="A173" s="644"/>
      <c r="B173" s="645"/>
    </row>
    <row r="174" spans="1:2" x14ac:dyDescent="0.3">
      <c r="A174" s="644"/>
      <c r="B174" s="645"/>
    </row>
    <row r="175" spans="1:2" x14ac:dyDescent="0.3">
      <c r="A175" s="644"/>
      <c r="B175" s="645"/>
    </row>
    <row r="176" spans="1:2" x14ac:dyDescent="0.3">
      <c r="A176" s="644"/>
      <c r="B176" s="645"/>
    </row>
    <row r="177" spans="1:2" x14ac:dyDescent="0.3">
      <c r="A177" s="644"/>
      <c r="B177" s="645"/>
    </row>
    <row r="178" spans="1:2" x14ac:dyDescent="0.3">
      <c r="A178" s="644"/>
      <c r="B178" s="645"/>
    </row>
    <row r="179" spans="1:2" x14ac:dyDescent="0.3">
      <c r="A179" s="644"/>
      <c r="B179" s="645"/>
    </row>
    <row r="180" spans="1:2" x14ac:dyDescent="0.3">
      <c r="A180" s="644"/>
      <c r="B180" s="645"/>
    </row>
    <row r="181" spans="1:2" x14ac:dyDescent="0.3">
      <c r="A181" s="644"/>
      <c r="B181" s="645"/>
    </row>
    <row r="182" spans="1:2" x14ac:dyDescent="0.3">
      <c r="A182" s="644"/>
      <c r="B182" s="645"/>
    </row>
    <row r="183" spans="1:2" x14ac:dyDescent="0.3">
      <c r="A183" s="644"/>
      <c r="B183" s="645"/>
    </row>
    <row r="184" spans="1:2" x14ac:dyDescent="0.3">
      <c r="A184" s="644"/>
      <c r="B184" s="645"/>
    </row>
    <row r="185" spans="1:2" x14ac:dyDescent="0.3">
      <c r="A185" s="644"/>
      <c r="B185" s="645"/>
    </row>
    <row r="186" spans="1:2" x14ac:dyDescent="0.3">
      <c r="A186" s="644"/>
      <c r="B186" s="645"/>
    </row>
    <row r="187" spans="1:2" x14ac:dyDescent="0.3">
      <c r="A187" s="644"/>
      <c r="B187" s="645"/>
    </row>
    <row r="188" spans="1:2" x14ac:dyDescent="0.3">
      <c r="A188" s="644"/>
      <c r="B188" s="645"/>
    </row>
    <row r="189" spans="1:2" x14ac:dyDescent="0.3">
      <c r="A189" s="644"/>
      <c r="B189" s="645"/>
    </row>
    <row r="190" spans="1:2" x14ac:dyDescent="0.3">
      <c r="A190" s="644"/>
      <c r="B190" s="645"/>
    </row>
    <row r="191" spans="1:2" x14ac:dyDescent="0.3">
      <c r="A191" s="644"/>
      <c r="B191" s="645"/>
    </row>
    <row r="192" spans="1:2" x14ac:dyDescent="0.3">
      <c r="A192" s="644"/>
      <c r="B192" s="645"/>
    </row>
    <row r="193" spans="1:2" x14ac:dyDescent="0.3">
      <c r="A193" s="644"/>
      <c r="B193" s="645"/>
    </row>
    <row r="194" spans="1:2" x14ac:dyDescent="0.3">
      <c r="A194" s="644"/>
      <c r="B194" s="645"/>
    </row>
    <row r="195" spans="1:2" x14ac:dyDescent="0.3">
      <c r="A195" s="644"/>
      <c r="B195" s="645"/>
    </row>
    <row r="196" spans="1:2" x14ac:dyDescent="0.3">
      <c r="A196" s="644"/>
      <c r="B196" s="645"/>
    </row>
    <row r="197" spans="1:2" x14ac:dyDescent="0.3">
      <c r="A197" s="644"/>
      <c r="B197" s="645"/>
    </row>
    <row r="198" spans="1:2" x14ac:dyDescent="0.3">
      <c r="A198" s="644"/>
      <c r="B198" s="645"/>
    </row>
    <row r="199" spans="1:2" x14ac:dyDescent="0.3">
      <c r="A199" s="644"/>
      <c r="B199" s="645"/>
    </row>
    <row r="200" spans="1:2" x14ac:dyDescent="0.3">
      <c r="A200" s="644"/>
      <c r="B200" s="645"/>
    </row>
    <row r="201" spans="1:2" x14ac:dyDescent="0.3">
      <c r="A201" s="644"/>
      <c r="B201" s="645"/>
    </row>
    <row r="202" spans="1:2" x14ac:dyDescent="0.3">
      <c r="A202" s="644"/>
      <c r="B202" s="645"/>
    </row>
    <row r="203" spans="1:2" x14ac:dyDescent="0.3">
      <c r="A203" s="644"/>
      <c r="B203" s="645"/>
    </row>
    <row r="204" spans="1:2" x14ac:dyDescent="0.3">
      <c r="A204" s="644"/>
      <c r="B204" s="645"/>
    </row>
    <row r="205" spans="1:2" x14ac:dyDescent="0.3">
      <c r="A205" s="644"/>
      <c r="B205" s="645"/>
    </row>
    <row r="206" spans="1:2" x14ac:dyDescent="0.3">
      <c r="A206" s="644"/>
      <c r="B206" s="645"/>
    </row>
    <row r="207" spans="1:2" x14ac:dyDescent="0.3">
      <c r="A207" s="644"/>
      <c r="B207" s="645"/>
    </row>
    <row r="208" spans="1:2" x14ac:dyDescent="0.3">
      <c r="A208" s="644"/>
      <c r="B208" s="645"/>
    </row>
    <row r="209" spans="1:2" x14ac:dyDescent="0.3">
      <c r="A209" s="644"/>
      <c r="B209" s="645"/>
    </row>
    <row r="210" spans="1:2" x14ac:dyDescent="0.3">
      <c r="A210" s="644"/>
      <c r="B210" s="645"/>
    </row>
    <row r="211" spans="1:2" x14ac:dyDescent="0.3">
      <c r="A211" s="644"/>
      <c r="B211" s="645"/>
    </row>
    <row r="212" spans="1:2" x14ac:dyDescent="0.3">
      <c r="A212" s="644"/>
      <c r="B212" s="645"/>
    </row>
    <row r="213" spans="1:2" x14ac:dyDescent="0.3">
      <c r="A213" s="644"/>
      <c r="B213" s="645"/>
    </row>
    <row r="214" spans="1:2" x14ac:dyDescent="0.3">
      <c r="A214" s="644"/>
      <c r="B214" s="645"/>
    </row>
    <row r="215" spans="1:2" x14ac:dyDescent="0.3">
      <c r="A215" s="644"/>
      <c r="B215" s="645"/>
    </row>
    <row r="216" spans="1:2" x14ac:dyDescent="0.3">
      <c r="A216" s="644"/>
      <c r="B216" s="645"/>
    </row>
    <row r="217" spans="1:2" x14ac:dyDescent="0.3">
      <c r="A217" s="644"/>
      <c r="B217" s="645"/>
    </row>
    <row r="218" spans="1:2" x14ac:dyDescent="0.3">
      <c r="A218" s="644"/>
      <c r="B218" s="645"/>
    </row>
    <row r="219" spans="1:2" x14ac:dyDescent="0.3">
      <c r="A219" s="644"/>
      <c r="B219" s="645"/>
    </row>
    <row r="220" spans="1:2" x14ac:dyDescent="0.3">
      <c r="A220" s="644"/>
      <c r="B220" s="645"/>
    </row>
    <row r="221" spans="1:2" x14ac:dyDescent="0.3">
      <c r="A221" s="644"/>
      <c r="B221" s="645"/>
    </row>
    <row r="222" spans="1:2" x14ac:dyDescent="0.3">
      <c r="A222" s="644"/>
      <c r="B222" s="645"/>
    </row>
    <row r="223" spans="1:2" x14ac:dyDescent="0.3">
      <c r="A223" s="644"/>
      <c r="B223" s="645"/>
    </row>
    <row r="224" spans="1:2" x14ac:dyDescent="0.3">
      <c r="A224" s="644"/>
      <c r="B224" s="645"/>
    </row>
    <row r="225" spans="1:2" x14ac:dyDescent="0.3">
      <c r="A225" s="644"/>
      <c r="B225" s="645"/>
    </row>
    <row r="226" spans="1:2" x14ac:dyDescent="0.3">
      <c r="A226" s="644"/>
      <c r="B226" s="645"/>
    </row>
    <row r="227" spans="1:2" x14ac:dyDescent="0.3">
      <c r="A227" s="644"/>
      <c r="B227" s="645"/>
    </row>
    <row r="228" spans="1:2" x14ac:dyDescent="0.3">
      <c r="A228" s="644"/>
      <c r="B228" s="645"/>
    </row>
    <row r="229" spans="1:2" x14ac:dyDescent="0.3">
      <c r="A229" s="644"/>
      <c r="B229" s="645"/>
    </row>
    <row r="230" spans="1:2" x14ac:dyDescent="0.3">
      <c r="A230" s="644"/>
      <c r="B230" s="645"/>
    </row>
    <row r="231" spans="1:2" x14ac:dyDescent="0.3">
      <c r="A231" s="644"/>
      <c r="B231" s="645"/>
    </row>
    <row r="232" spans="1:2" x14ac:dyDescent="0.3">
      <c r="A232" s="644"/>
      <c r="B232" s="645"/>
    </row>
    <row r="233" spans="1:2" x14ac:dyDescent="0.3">
      <c r="A233" s="644"/>
      <c r="B233" s="645"/>
    </row>
    <row r="234" spans="1:2" x14ac:dyDescent="0.3">
      <c r="A234" s="644"/>
      <c r="B234" s="645"/>
    </row>
    <row r="235" spans="1:2" x14ac:dyDescent="0.3">
      <c r="A235" s="644"/>
      <c r="B235" s="645"/>
    </row>
    <row r="236" spans="1:2" x14ac:dyDescent="0.3">
      <c r="A236" s="644"/>
      <c r="B236" s="645"/>
    </row>
    <row r="237" spans="1:2" x14ac:dyDescent="0.3">
      <c r="A237" s="644"/>
      <c r="B237" s="645"/>
    </row>
    <row r="238" spans="1:2" x14ac:dyDescent="0.3">
      <c r="A238" s="644"/>
      <c r="B238" s="645"/>
    </row>
    <row r="239" spans="1:2" x14ac:dyDescent="0.3">
      <c r="A239" s="644"/>
      <c r="B239" s="645"/>
    </row>
    <row r="240" spans="1:2" x14ac:dyDescent="0.3">
      <c r="A240" s="644"/>
      <c r="B240" s="645"/>
    </row>
    <row r="241" spans="1:2" x14ac:dyDescent="0.3">
      <c r="A241" s="644"/>
      <c r="B241" s="645"/>
    </row>
    <row r="242" spans="1:2" x14ac:dyDescent="0.3">
      <c r="A242" s="644"/>
      <c r="B242" s="645"/>
    </row>
    <row r="243" spans="1:2" x14ac:dyDescent="0.3">
      <c r="A243" s="644"/>
      <c r="B243" s="645"/>
    </row>
    <row r="244" spans="1:2" x14ac:dyDescent="0.3">
      <c r="A244" s="644"/>
      <c r="B244" s="645"/>
    </row>
    <row r="245" spans="1:2" x14ac:dyDescent="0.3">
      <c r="A245" s="644"/>
      <c r="B245" s="645"/>
    </row>
    <row r="246" spans="1:2" x14ac:dyDescent="0.3">
      <c r="A246" s="644"/>
      <c r="B246" s="645"/>
    </row>
    <row r="247" spans="1:2" x14ac:dyDescent="0.3">
      <c r="A247" s="644"/>
      <c r="B247" s="645"/>
    </row>
    <row r="248" spans="1:2" x14ac:dyDescent="0.3">
      <c r="A248" s="644"/>
      <c r="B248" s="645"/>
    </row>
    <row r="249" spans="1:2" x14ac:dyDescent="0.3">
      <c r="A249" s="644"/>
      <c r="B249" s="645"/>
    </row>
    <row r="250" spans="1:2" x14ac:dyDescent="0.3">
      <c r="A250" s="644"/>
      <c r="B250" s="645"/>
    </row>
    <row r="251" spans="1:2" x14ac:dyDescent="0.3">
      <c r="A251" s="644"/>
      <c r="B251" s="645"/>
    </row>
    <row r="252" spans="1:2" x14ac:dyDescent="0.3">
      <c r="A252" s="644"/>
      <c r="B252" s="645"/>
    </row>
    <row r="253" spans="1:2" x14ac:dyDescent="0.3">
      <c r="A253" s="644"/>
      <c r="B253" s="645"/>
    </row>
    <row r="254" spans="1:2" x14ac:dyDescent="0.3">
      <c r="A254" s="644"/>
      <c r="B254" s="645"/>
    </row>
    <row r="255" spans="1:2" x14ac:dyDescent="0.3">
      <c r="A255" s="644"/>
      <c r="B255" s="645"/>
    </row>
    <row r="256" spans="1:2" x14ac:dyDescent="0.3">
      <c r="A256" s="644"/>
      <c r="B256" s="645"/>
    </row>
    <row r="257" spans="1:2" x14ac:dyDescent="0.3">
      <c r="A257" s="644"/>
      <c r="B257" s="645"/>
    </row>
    <row r="258" spans="1:2" x14ac:dyDescent="0.3">
      <c r="A258" s="644"/>
      <c r="B258" s="645"/>
    </row>
    <row r="259" spans="1:2" x14ac:dyDescent="0.3">
      <c r="A259" s="644"/>
      <c r="B259" s="645"/>
    </row>
    <row r="260" spans="1:2" x14ac:dyDescent="0.3">
      <c r="A260" s="644"/>
      <c r="B260" s="645"/>
    </row>
    <row r="261" spans="1:2" x14ac:dyDescent="0.3">
      <c r="A261" s="644"/>
      <c r="B261" s="645"/>
    </row>
    <row r="262" spans="1:2" x14ac:dyDescent="0.3">
      <c r="A262" s="644"/>
      <c r="B262" s="645"/>
    </row>
    <row r="263" spans="1:2" x14ac:dyDescent="0.3">
      <c r="A263" s="644"/>
      <c r="B263" s="645"/>
    </row>
    <row r="264" spans="1:2" x14ac:dyDescent="0.3">
      <c r="A264" s="644"/>
      <c r="B264" s="645"/>
    </row>
    <row r="265" spans="1:2" x14ac:dyDescent="0.3">
      <c r="A265" s="644"/>
      <c r="B265" s="645"/>
    </row>
    <row r="266" spans="1:2" x14ac:dyDescent="0.3">
      <c r="A266" s="644"/>
      <c r="B266" s="645"/>
    </row>
    <row r="267" spans="1:2" x14ac:dyDescent="0.3">
      <c r="A267" s="644"/>
      <c r="B267" s="645"/>
    </row>
    <row r="268" spans="1:2" x14ac:dyDescent="0.3">
      <c r="A268" s="644"/>
      <c r="B268" s="645"/>
    </row>
    <row r="269" spans="1:2" x14ac:dyDescent="0.3">
      <c r="A269" s="644"/>
      <c r="B269" s="645"/>
    </row>
    <row r="270" spans="1:2" x14ac:dyDescent="0.3">
      <c r="A270" s="644"/>
      <c r="B270" s="645"/>
    </row>
    <row r="271" spans="1:2" x14ac:dyDescent="0.3">
      <c r="A271" s="644"/>
      <c r="B271" s="645"/>
    </row>
    <row r="272" spans="1:2" x14ac:dyDescent="0.3">
      <c r="A272" s="644"/>
      <c r="B272" s="645"/>
    </row>
    <row r="273" spans="1:2" x14ac:dyDescent="0.3">
      <c r="A273" s="644"/>
      <c r="B273" s="645"/>
    </row>
    <row r="274" spans="1:2" x14ac:dyDescent="0.3">
      <c r="A274" s="644"/>
      <c r="B274" s="645"/>
    </row>
    <row r="275" spans="1:2" x14ac:dyDescent="0.3">
      <c r="A275" s="644"/>
      <c r="B275" s="645"/>
    </row>
    <row r="276" spans="1:2" x14ac:dyDescent="0.3">
      <c r="A276" s="644"/>
      <c r="B276" s="645"/>
    </row>
    <row r="277" spans="1:2" x14ac:dyDescent="0.3">
      <c r="A277" s="644"/>
      <c r="B277" s="645"/>
    </row>
    <row r="278" spans="1:2" x14ac:dyDescent="0.3">
      <c r="A278" s="644"/>
      <c r="B278" s="645"/>
    </row>
    <row r="279" spans="1:2" x14ac:dyDescent="0.3">
      <c r="A279" s="644"/>
      <c r="B279" s="645"/>
    </row>
    <row r="280" spans="1:2" x14ac:dyDescent="0.3">
      <c r="A280" s="644"/>
      <c r="B280" s="645"/>
    </row>
    <row r="281" spans="1:2" x14ac:dyDescent="0.3">
      <c r="A281" s="644"/>
      <c r="B281" s="645"/>
    </row>
    <row r="282" spans="1:2" x14ac:dyDescent="0.3">
      <c r="A282" s="644"/>
      <c r="B282" s="645"/>
    </row>
    <row r="283" spans="1:2" x14ac:dyDescent="0.3">
      <c r="A283" s="644"/>
      <c r="B283" s="645"/>
    </row>
    <row r="284" spans="1:2" x14ac:dyDescent="0.3">
      <c r="A284" s="644"/>
      <c r="B284" s="645"/>
    </row>
    <row r="285" spans="1:2" x14ac:dyDescent="0.3">
      <c r="A285" s="644"/>
      <c r="B285" s="645"/>
    </row>
    <row r="286" spans="1:2" x14ac:dyDescent="0.3">
      <c r="A286" s="644"/>
      <c r="B286" s="645"/>
    </row>
    <row r="287" spans="1:2" x14ac:dyDescent="0.3">
      <c r="A287" s="644"/>
      <c r="B287" s="645"/>
    </row>
    <row r="288" spans="1:2" x14ac:dyDescent="0.3">
      <c r="A288" s="644"/>
      <c r="B288" s="645"/>
    </row>
    <row r="289" spans="1:2" x14ac:dyDescent="0.3">
      <c r="A289" s="644"/>
      <c r="B289" s="645"/>
    </row>
    <row r="290" spans="1:2" x14ac:dyDescent="0.3">
      <c r="A290" s="644"/>
      <c r="B290" s="645"/>
    </row>
    <row r="291" spans="1:2" x14ac:dyDescent="0.3">
      <c r="A291" s="644"/>
      <c r="B291" s="645"/>
    </row>
    <row r="292" spans="1:2" x14ac:dyDescent="0.3">
      <c r="A292" s="644"/>
      <c r="B292" s="645"/>
    </row>
    <row r="293" spans="1:2" x14ac:dyDescent="0.3">
      <c r="A293" s="644"/>
      <c r="B293" s="645"/>
    </row>
    <row r="294" spans="1:2" x14ac:dyDescent="0.3">
      <c r="A294" s="644"/>
      <c r="B294" s="645"/>
    </row>
    <row r="295" spans="1:2" x14ac:dyDescent="0.3">
      <c r="A295" s="644"/>
      <c r="B295" s="645"/>
    </row>
    <row r="296" spans="1:2" x14ac:dyDescent="0.3">
      <c r="A296" s="644"/>
      <c r="B296" s="645"/>
    </row>
    <row r="297" spans="1:2" x14ac:dyDescent="0.3">
      <c r="A297" s="644"/>
      <c r="B297" s="645"/>
    </row>
    <row r="298" spans="1:2" x14ac:dyDescent="0.3">
      <c r="A298" s="644"/>
      <c r="B298" s="645"/>
    </row>
    <row r="299" spans="1:2" x14ac:dyDescent="0.3">
      <c r="A299" s="644"/>
      <c r="B299" s="645"/>
    </row>
    <row r="300" spans="1:2" x14ac:dyDescent="0.3">
      <c r="A300" s="644"/>
      <c r="B300" s="645"/>
    </row>
    <row r="301" spans="1:2" x14ac:dyDescent="0.3">
      <c r="A301" s="644"/>
      <c r="B301" s="645"/>
    </row>
    <row r="302" spans="1:2" x14ac:dyDescent="0.3">
      <c r="A302" s="644"/>
      <c r="B302" s="645"/>
    </row>
    <row r="303" spans="1:2" x14ac:dyDescent="0.3">
      <c r="A303" s="644"/>
      <c r="B303" s="645"/>
    </row>
    <row r="304" spans="1:2" x14ac:dyDescent="0.3">
      <c r="A304" s="644"/>
      <c r="B304" s="645"/>
    </row>
    <row r="305" spans="1:2" x14ac:dyDescent="0.3">
      <c r="A305" s="644"/>
      <c r="B305" s="645"/>
    </row>
    <row r="306" spans="1:2" x14ac:dyDescent="0.3">
      <c r="A306" s="644"/>
      <c r="B306" s="645"/>
    </row>
    <row r="307" spans="1:2" x14ac:dyDescent="0.3">
      <c r="A307" s="644"/>
      <c r="B307" s="645"/>
    </row>
    <row r="308" spans="1:2" x14ac:dyDescent="0.3">
      <c r="A308" s="644"/>
      <c r="B308" s="645"/>
    </row>
    <row r="309" spans="1:2" x14ac:dyDescent="0.3">
      <c r="A309" s="644"/>
      <c r="B309" s="645"/>
    </row>
    <row r="310" spans="1:2" x14ac:dyDescent="0.3">
      <c r="A310" s="644"/>
      <c r="B310" s="645"/>
    </row>
    <row r="311" spans="1:2" x14ac:dyDescent="0.3">
      <c r="A311" s="644"/>
      <c r="B311" s="645"/>
    </row>
    <row r="312" spans="1:2" x14ac:dyDescent="0.3">
      <c r="A312" s="644"/>
      <c r="B312" s="645"/>
    </row>
    <row r="313" spans="1:2" x14ac:dyDescent="0.3">
      <c r="A313" s="644"/>
      <c r="B313" s="645"/>
    </row>
    <row r="314" spans="1:2" x14ac:dyDescent="0.3">
      <c r="A314" s="644"/>
      <c r="B314" s="645"/>
    </row>
    <row r="315" spans="1:2" x14ac:dyDescent="0.3">
      <c r="A315" s="644"/>
      <c r="B315" s="645"/>
    </row>
    <row r="316" spans="1:2" x14ac:dyDescent="0.3">
      <c r="A316" s="644"/>
      <c r="B316" s="645"/>
    </row>
    <row r="317" spans="1:2" x14ac:dyDescent="0.3">
      <c r="A317" s="644"/>
      <c r="B317" s="645"/>
    </row>
    <row r="318" spans="1:2" x14ac:dyDescent="0.3">
      <c r="A318" s="644"/>
      <c r="B318" s="645"/>
    </row>
    <row r="319" spans="1:2" x14ac:dyDescent="0.3">
      <c r="A319" s="644"/>
      <c r="B319" s="645"/>
    </row>
    <row r="320" spans="1:2" x14ac:dyDescent="0.3">
      <c r="A320" s="644"/>
      <c r="B320" s="645"/>
    </row>
    <row r="321" spans="1:2" x14ac:dyDescent="0.3">
      <c r="A321" s="644"/>
      <c r="B321" s="645"/>
    </row>
    <row r="322" spans="1:2" x14ac:dyDescent="0.3">
      <c r="A322" s="644"/>
      <c r="B322" s="645"/>
    </row>
    <row r="323" spans="1:2" x14ac:dyDescent="0.3">
      <c r="A323" s="644"/>
      <c r="B323" s="645"/>
    </row>
    <row r="324" spans="1:2" x14ac:dyDescent="0.3">
      <c r="A324" s="644"/>
      <c r="B324" s="645"/>
    </row>
    <row r="325" spans="1:2" x14ac:dyDescent="0.3">
      <c r="A325" s="644"/>
      <c r="B325" s="645"/>
    </row>
    <row r="326" spans="1:2" x14ac:dyDescent="0.3">
      <c r="A326" s="644"/>
      <c r="B326" s="645"/>
    </row>
    <row r="327" spans="1:2" x14ac:dyDescent="0.3">
      <c r="A327" s="644"/>
      <c r="B327" s="645"/>
    </row>
    <row r="328" spans="1:2" x14ac:dyDescent="0.3">
      <c r="A328" s="644"/>
      <c r="B328" s="645"/>
    </row>
    <row r="329" spans="1:2" x14ac:dyDescent="0.3">
      <c r="A329" s="644"/>
      <c r="B329" s="645"/>
    </row>
    <row r="330" spans="1:2" x14ac:dyDescent="0.3">
      <c r="A330" s="644"/>
      <c r="B330" s="645"/>
    </row>
    <row r="331" spans="1:2" x14ac:dyDescent="0.3">
      <c r="A331" s="644"/>
      <c r="B331" s="645"/>
    </row>
    <row r="332" spans="1:2" x14ac:dyDescent="0.3">
      <c r="A332" s="644"/>
      <c r="B332" s="645"/>
    </row>
    <row r="333" spans="1:2" x14ac:dyDescent="0.3">
      <c r="A333" s="644"/>
      <c r="B333" s="645"/>
    </row>
    <row r="334" spans="1:2" x14ac:dyDescent="0.3">
      <c r="A334" s="644"/>
      <c r="B334" s="645"/>
    </row>
    <row r="335" spans="1:2" x14ac:dyDescent="0.3">
      <c r="A335" s="644"/>
      <c r="B335" s="645"/>
    </row>
    <row r="336" spans="1:2" x14ac:dyDescent="0.3">
      <c r="A336" s="644"/>
      <c r="B336" s="645"/>
    </row>
    <row r="337" spans="1:2" x14ac:dyDescent="0.3">
      <c r="A337" s="644"/>
      <c r="B337" s="645"/>
    </row>
    <row r="338" spans="1:2" x14ac:dyDescent="0.3">
      <c r="A338" s="644"/>
      <c r="B338" s="645"/>
    </row>
    <row r="339" spans="1:2" x14ac:dyDescent="0.3">
      <c r="A339" s="644"/>
      <c r="B339" s="645"/>
    </row>
    <row r="340" spans="1:2" x14ac:dyDescent="0.3">
      <c r="A340" s="644"/>
      <c r="B340" s="645"/>
    </row>
    <row r="341" spans="1:2" x14ac:dyDescent="0.3">
      <c r="A341" s="644"/>
      <c r="B341" s="645"/>
    </row>
    <row r="342" spans="1:2" x14ac:dyDescent="0.3">
      <c r="A342" s="644"/>
      <c r="B342" s="645"/>
    </row>
    <row r="343" spans="1:2" x14ac:dyDescent="0.3">
      <c r="A343" s="644"/>
      <c r="B343" s="645"/>
    </row>
    <row r="344" spans="1:2" x14ac:dyDescent="0.3">
      <c r="A344" s="644"/>
      <c r="B344" s="645"/>
    </row>
    <row r="345" spans="1:2" x14ac:dyDescent="0.3">
      <c r="A345" s="644"/>
      <c r="B345" s="645"/>
    </row>
    <row r="346" spans="1:2" x14ac:dyDescent="0.3">
      <c r="A346" s="644"/>
      <c r="B346" s="645"/>
    </row>
    <row r="347" spans="1:2" x14ac:dyDescent="0.3">
      <c r="A347" s="644"/>
      <c r="B347" s="645"/>
    </row>
    <row r="348" spans="1:2" x14ac:dyDescent="0.3">
      <c r="A348" s="644"/>
      <c r="B348" s="645"/>
    </row>
    <row r="349" spans="1:2" x14ac:dyDescent="0.3">
      <c r="A349" s="644"/>
      <c r="B349" s="645"/>
    </row>
    <row r="350" spans="1:2" x14ac:dyDescent="0.3">
      <c r="A350" s="644"/>
      <c r="B350" s="645"/>
    </row>
    <row r="351" spans="1:2" x14ac:dyDescent="0.3">
      <c r="A351" s="644"/>
      <c r="B351" s="645"/>
    </row>
    <row r="352" spans="1:2" x14ac:dyDescent="0.3">
      <c r="A352" s="644"/>
      <c r="B352" s="645"/>
    </row>
    <row r="353" spans="1:2" x14ac:dyDescent="0.3">
      <c r="A353" s="644"/>
      <c r="B353" s="645"/>
    </row>
    <row r="354" spans="1:2" x14ac:dyDescent="0.3">
      <c r="A354" s="644"/>
      <c r="B354" s="645"/>
    </row>
    <row r="355" spans="1:2" x14ac:dyDescent="0.3">
      <c r="A355" s="644"/>
      <c r="B355" s="645"/>
    </row>
    <row r="356" spans="1:2" x14ac:dyDescent="0.3">
      <c r="A356" s="644"/>
      <c r="B356" s="645"/>
    </row>
    <row r="357" spans="1:2" x14ac:dyDescent="0.3">
      <c r="A357" s="644"/>
      <c r="B357" s="645"/>
    </row>
    <row r="358" spans="1:2" x14ac:dyDescent="0.3">
      <c r="A358" s="644"/>
      <c r="B358" s="645"/>
    </row>
    <row r="359" spans="1:2" x14ac:dyDescent="0.3">
      <c r="A359" s="644"/>
      <c r="B359" s="645"/>
    </row>
    <row r="360" spans="1:2" x14ac:dyDescent="0.3">
      <c r="A360" s="644"/>
      <c r="B360" s="645"/>
    </row>
    <row r="361" spans="1:2" x14ac:dyDescent="0.3">
      <c r="A361" s="644"/>
      <c r="B361" s="645"/>
    </row>
    <row r="362" spans="1:2" x14ac:dyDescent="0.3">
      <c r="A362" s="644"/>
      <c r="B362" s="645"/>
    </row>
    <row r="363" spans="1:2" x14ac:dyDescent="0.3">
      <c r="A363" s="644"/>
      <c r="B363" s="645"/>
    </row>
    <row r="364" spans="1:2" x14ac:dyDescent="0.3">
      <c r="A364" s="644"/>
      <c r="B364" s="645"/>
    </row>
    <row r="365" spans="1:2" x14ac:dyDescent="0.3">
      <c r="A365" s="644"/>
      <c r="B365" s="645"/>
    </row>
    <row r="366" spans="1:2" x14ac:dyDescent="0.3">
      <c r="A366" s="644"/>
      <c r="B366" s="645"/>
    </row>
    <row r="367" spans="1:2" x14ac:dyDescent="0.3">
      <c r="A367" s="644"/>
      <c r="B367" s="645"/>
    </row>
    <row r="368" spans="1:2" x14ac:dyDescent="0.3">
      <c r="A368" s="644"/>
      <c r="B368" s="645"/>
    </row>
    <row r="369" spans="1:2" x14ac:dyDescent="0.3">
      <c r="A369" s="644"/>
      <c r="B369" s="645"/>
    </row>
    <row r="370" spans="1:2" x14ac:dyDescent="0.3">
      <c r="A370" s="644"/>
      <c r="B370" s="645"/>
    </row>
    <row r="371" spans="1:2" x14ac:dyDescent="0.3">
      <c r="A371" s="644"/>
      <c r="B371" s="645"/>
    </row>
    <row r="372" spans="1:2" x14ac:dyDescent="0.3">
      <c r="A372" s="644"/>
      <c r="B372" s="645"/>
    </row>
    <row r="373" spans="1:2" x14ac:dyDescent="0.3">
      <c r="A373" s="644"/>
      <c r="B373" s="645"/>
    </row>
    <row r="374" spans="1:2" x14ac:dyDescent="0.3">
      <c r="A374" s="644"/>
      <c r="B374" s="645"/>
    </row>
    <row r="375" spans="1:2" x14ac:dyDescent="0.3">
      <c r="A375" s="644"/>
      <c r="B375" s="645"/>
    </row>
    <row r="376" spans="1:2" x14ac:dyDescent="0.3">
      <c r="A376" s="644"/>
      <c r="B376" s="645"/>
    </row>
    <row r="377" spans="1:2" x14ac:dyDescent="0.3">
      <c r="A377" s="644"/>
      <c r="B377" s="645"/>
    </row>
    <row r="378" spans="1:2" x14ac:dyDescent="0.3">
      <c r="A378" s="644"/>
      <c r="B378" s="645"/>
    </row>
    <row r="379" spans="1:2" x14ac:dyDescent="0.3">
      <c r="A379" s="644"/>
      <c r="B379" s="645"/>
    </row>
    <row r="380" spans="1:2" x14ac:dyDescent="0.3">
      <c r="A380" s="644"/>
      <c r="B380" s="645"/>
    </row>
    <row r="381" spans="1:2" x14ac:dyDescent="0.3">
      <c r="A381" s="644"/>
      <c r="B381" s="645"/>
    </row>
    <row r="382" spans="1:2" x14ac:dyDescent="0.3">
      <c r="A382" s="644"/>
      <c r="B382" s="645"/>
    </row>
    <row r="383" spans="1:2" x14ac:dyDescent="0.3">
      <c r="A383" s="644"/>
      <c r="B383" s="645"/>
    </row>
    <row r="384" spans="1:2" x14ac:dyDescent="0.3">
      <c r="A384" s="644"/>
      <c r="B384" s="645"/>
    </row>
    <row r="385" spans="1:2" x14ac:dyDescent="0.3">
      <c r="A385" s="644"/>
      <c r="B385" s="645"/>
    </row>
    <row r="386" spans="1:2" x14ac:dyDescent="0.3">
      <c r="A386" s="644"/>
      <c r="B386" s="645"/>
    </row>
    <row r="387" spans="1:2" x14ac:dyDescent="0.3">
      <c r="A387" s="644"/>
      <c r="B387" s="645"/>
    </row>
    <row r="388" spans="1:2" x14ac:dyDescent="0.3">
      <c r="A388" s="644"/>
      <c r="B388" s="645"/>
    </row>
    <row r="389" spans="1:2" x14ac:dyDescent="0.3">
      <c r="A389" s="644"/>
      <c r="B389" s="645"/>
    </row>
    <row r="390" spans="1:2" x14ac:dyDescent="0.3">
      <c r="A390" s="644"/>
      <c r="B390" s="645"/>
    </row>
    <row r="391" spans="1:2" x14ac:dyDescent="0.3">
      <c r="A391" s="644"/>
      <c r="B391" s="645"/>
    </row>
    <row r="392" spans="1:2" x14ac:dyDescent="0.3">
      <c r="A392" s="644"/>
      <c r="B392" s="645"/>
    </row>
    <row r="393" spans="1:2" x14ac:dyDescent="0.3">
      <c r="A393" s="644"/>
      <c r="B393" s="645"/>
    </row>
    <row r="394" spans="1:2" x14ac:dyDescent="0.3">
      <c r="A394" s="644"/>
      <c r="B394" s="645"/>
    </row>
    <row r="395" spans="1:2" x14ac:dyDescent="0.3">
      <c r="A395" s="644"/>
      <c r="B395" s="645"/>
    </row>
    <row r="396" spans="1:2" x14ac:dyDescent="0.3">
      <c r="A396" s="644"/>
      <c r="B396" s="645"/>
    </row>
    <row r="397" spans="1:2" x14ac:dyDescent="0.3">
      <c r="A397" s="644"/>
      <c r="B397" s="645"/>
    </row>
    <row r="398" spans="1:2" x14ac:dyDescent="0.3">
      <c r="A398" s="644"/>
      <c r="B398" s="645"/>
    </row>
    <row r="399" spans="1:2" x14ac:dyDescent="0.3">
      <c r="A399" s="644"/>
      <c r="B399" s="645"/>
    </row>
    <row r="400" spans="1:2" x14ac:dyDescent="0.3">
      <c r="A400" s="644"/>
      <c r="B400" s="645"/>
    </row>
    <row r="401" spans="1:2" x14ac:dyDescent="0.3">
      <c r="A401" s="644"/>
      <c r="B401" s="645"/>
    </row>
    <row r="402" spans="1:2" x14ac:dyDescent="0.3">
      <c r="A402" s="644"/>
      <c r="B402" s="645"/>
    </row>
    <row r="403" spans="1:2" x14ac:dyDescent="0.3">
      <c r="A403" s="644"/>
      <c r="B403" s="645"/>
    </row>
    <row r="404" spans="1:2" x14ac:dyDescent="0.3">
      <c r="A404" s="644"/>
      <c r="B404" s="645"/>
    </row>
    <row r="405" spans="1:2" x14ac:dyDescent="0.3">
      <c r="A405" s="644"/>
      <c r="B405" s="645"/>
    </row>
    <row r="406" spans="1:2" x14ac:dyDescent="0.3">
      <c r="A406" s="644"/>
      <c r="B406" s="645"/>
    </row>
    <row r="407" spans="1:2" x14ac:dyDescent="0.3">
      <c r="A407" s="644"/>
      <c r="B407" s="645"/>
    </row>
    <row r="408" spans="1:2" x14ac:dyDescent="0.3">
      <c r="A408" s="644"/>
      <c r="B408" s="645"/>
    </row>
    <row r="409" spans="1:2" x14ac:dyDescent="0.3">
      <c r="A409" s="644"/>
      <c r="B409" s="645"/>
    </row>
    <row r="410" spans="1:2" x14ac:dyDescent="0.3">
      <c r="A410" s="644"/>
      <c r="B410" s="645"/>
    </row>
    <row r="411" spans="1:2" x14ac:dyDescent="0.3">
      <c r="A411" s="644"/>
      <c r="B411" s="645"/>
    </row>
    <row r="412" spans="1:2" x14ac:dyDescent="0.3">
      <c r="A412" s="644"/>
      <c r="B412" s="645"/>
    </row>
    <row r="413" spans="1:2" x14ac:dyDescent="0.3">
      <c r="A413" s="644"/>
      <c r="B413" s="645"/>
    </row>
    <row r="414" spans="1:2" x14ac:dyDescent="0.3">
      <c r="A414" s="644"/>
      <c r="B414" s="645"/>
    </row>
    <row r="415" spans="1:2" x14ac:dyDescent="0.3">
      <c r="A415" s="644"/>
      <c r="B415" s="645"/>
    </row>
    <row r="416" spans="1:2" x14ac:dyDescent="0.3">
      <c r="A416" s="644"/>
      <c r="B416" s="645"/>
    </row>
    <row r="417" spans="1:2" x14ac:dyDescent="0.3">
      <c r="A417" s="644"/>
      <c r="B417" s="645"/>
    </row>
    <row r="418" spans="1:2" x14ac:dyDescent="0.3">
      <c r="A418" s="644"/>
      <c r="B418" s="645"/>
    </row>
    <row r="419" spans="1:2" x14ac:dyDescent="0.3">
      <c r="A419" s="644"/>
      <c r="B419" s="645"/>
    </row>
    <row r="420" spans="1:2" x14ac:dyDescent="0.3">
      <c r="A420" s="644"/>
      <c r="B420" s="645"/>
    </row>
    <row r="421" spans="1:2" x14ac:dyDescent="0.3">
      <c r="A421" s="644"/>
      <c r="B421" s="645"/>
    </row>
    <row r="422" spans="1:2" x14ac:dyDescent="0.3">
      <c r="A422" s="644"/>
      <c r="B422" s="645"/>
    </row>
    <row r="423" spans="1:2" x14ac:dyDescent="0.3">
      <c r="A423" s="644"/>
      <c r="B423" s="645"/>
    </row>
    <row r="424" spans="1:2" x14ac:dyDescent="0.3">
      <c r="A424" s="644"/>
      <c r="B424" s="645"/>
    </row>
    <row r="425" spans="1:2" x14ac:dyDescent="0.3">
      <c r="A425" s="644"/>
      <c r="B425" s="645"/>
    </row>
    <row r="426" spans="1:2" x14ac:dyDescent="0.3">
      <c r="A426" s="644"/>
      <c r="B426" s="645"/>
    </row>
    <row r="427" spans="1:2" x14ac:dyDescent="0.3">
      <c r="A427" s="644"/>
      <c r="B427" s="645"/>
    </row>
    <row r="428" spans="1:2" x14ac:dyDescent="0.3">
      <c r="A428" s="644"/>
      <c r="B428" s="645"/>
    </row>
    <row r="429" spans="1:2" x14ac:dyDescent="0.3">
      <c r="A429" s="644"/>
      <c r="B429" s="645"/>
    </row>
    <row r="430" spans="1:2" x14ac:dyDescent="0.3">
      <c r="A430" s="644"/>
      <c r="B430" s="645"/>
    </row>
    <row r="431" spans="1:2" x14ac:dyDescent="0.3">
      <c r="A431" s="644"/>
      <c r="B431" s="645"/>
    </row>
    <row r="432" spans="1:2" x14ac:dyDescent="0.3">
      <c r="A432" s="644"/>
      <c r="B432" s="645"/>
    </row>
    <row r="433" spans="1:2" x14ac:dyDescent="0.3">
      <c r="A433" s="644"/>
      <c r="B433" s="645"/>
    </row>
    <row r="434" spans="1:2" x14ac:dyDescent="0.3">
      <c r="A434" s="644"/>
      <c r="B434" s="645"/>
    </row>
    <row r="435" spans="1:2" x14ac:dyDescent="0.3">
      <c r="A435" s="644"/>
      <c r="B435" s="645"/>
    </row>
    <row r="436" spans="1:2" x14ac:dyDescent="0.3">
      <c r="A436" s="644"/>
      <c r="B436" s="645"/>
    </row>
    <row r="437" spans="1:2" x14ac:dyDescent="0.3">
      <c r="A437" s="644"/>
      <c r="B437" s="645"/>
    </row>
    <row r="438" spans="1:2" x14ac:dyDescent="0.3">
      <c r="A438" s="644"/>
      <c r="B438" s="645"/>
    </row>
    <row r="439" spans="1:2" x14ac:dyDescent="0.3">
      <c r="A439" s="644"/>
      <c r="B439" s="645"/>
    </row>
    <row r="440" spans="1:2" x14ac:dyDescent="0.3">
      <c r="A440" s="644"/>
      <c r="B440" s="645"/>
    </row>
    <row r="441" spans="1:2" x14ac:dyDescent="0.3">
      <c r="A441" s="644"/>
      <c r="B441" s="645"/>
    </row>
    <row r="442" spans="1:2" x14ac:dyDescent="0.3">
      <c r="A442" s="644"/>
      <c r="B442" s="645"/>
    </row>
    <row r="443" spans="1:2" x14ac:dyDescent="0.3">
      <c r="A443" s="644"/>
      <c r="B443" s="645"/>
    </row>
    <row r="444" spans="1:2" x14ac:dyDescent="0.3">
      <c r="A444" s="644"/>
      <c r="B444" s="645"/>
    </row>
    <row r="445" spans="1:2" x14ac:dyDescent="0.3">
      <c r="A445" s="644"/>
      <c r="B445" s="645"/>
    </row>
    <row r="446" spans="1:2" x14ac:dyDescent="0.3">
      <c r="A446" s="644"/>
      <c r="B446" s="645"/>
    </row>
    <row r="447" spans="1:2" x14ac:dyDescent="0.3">
      <c r="A447" s="644"/>
      <c r="B447" s="645"/>
    </row>
    <row r="448" spans="1:2" x14ac:dyDescent="0.3">
      <c r="A448" s="644"/>
      <c r="B448" s="645"/>
    </row>
    <row r="449" spans="1:2" x14ac:dyDescent="0.3">
      <c r="A449" s="644"/>
      <c r="B449" s="645"/>
    </row>
    <row r="450" spans="1:2" x14ac:dyDescent="0.3">
      <c r="A450" s="644"/>
      <c r="B450" s="645"/>
    </row>
    <row r="451" spans="1:2" x14ac:dyDescent="0.3">
      <c r="A451" s="644"/>
      <c r="B451" s="645"/>
    </row>
    <row r="452" spans="1:2" x14ac:dyDescent="0.3">
      <c r="A452" s="644"/>
      <c r="B452" s="645"/>
    </row>
    <row r="453" spans="1:2" x14ac:dyDescent="0.3">
      <c r="A453" s="644"/>
      <c r="B453" s="645"/>
    </row>
    <row r="454" spans="1:2" x14ac:dyDescent="0.3">
      <c r="A454" s="644"/>
      <c r="B454" s="645"/>
    </row>
    <row r="455" spans="1:2" x14ac:dyDescent="0.3">
      <c r="A455" s="644"/>
      <c r="B455" s="645"/>
    </row>
    <row r="456" spans="1:2" x14ac:dyDescent="0.3">
      <c r="A456" s="644"/>
      <c r="B456" s="645"/>
    </row>
    <row r="457" spans="1:2" x14ac:dyDescent="0.3">
      <c r="A457" s="644"/>
      <c r="B457" s="645"/>
    </row>
    <row r="458" spans="1:2" x14ac:dyDescent="0.3">
      <c r="A458" s="644"/>
      <c r="B458" s="645"/>
    </row>
    <row r="459" spans="1:2" x14ac:dyDescent="0.3">
      <c r="A459" s="644"/>
      <c r="B459" s="645"/>
    </row>
    <row r="460" spans="1:2" x14ac:dyDescent="0.3">
      <c r="A460" s="644"/>
      <c r="B460" s="645"/>
    </row>
    <row r="461" spans="1:2" x14ac:dyDescent="0.3">
      <c r="A461" s="644"/>
      <c r="B461" s="645"/>
    </row>
    <row r="462" spans="1:2" x14ac:dyDescent="0.3">
      <c r="A462" s="644"/>
      <c r="B462" s="645"/>
    </row>
    <row r="463" spans="1:2" x14ac:dyDescent="0.3">
      <c r="A463" s="644"/>
      <c r="B463" s="645"/>
    </row>
    <row r="464" spans="1:2" x14ac:dyDescent="0.3">
      <c r="A464" s="644"/>
      <c r="B464" s="645"/>
    </row>
    <row r="465" spans="1:2" x14ac:dyDescent="0.3">
      <c r="A465" s="644"/>
      <c r="B465" s="645"/>
    </row>
    <row r="466" spans="1:2" x14ac:dyDescent="0.3">
      <c r="A466" s="644"/>
      <c r="B466" s="645"/>
    </row>
    <row r="467" spans="1:2" x14ac:dyDescent="0.3">
      <c r="A467" s="644"/>
      <c r="B467" s="645"/>
    </row>
    <row r="468" spans="1:2" x14ac:dyDescent="0.3">
      <c r="A468" s="644"/>
      <c r="B468" s="645"/>
    </row>
    <row r="469" spans="1:2" x14ac:dyDescent="0.3">
      <c r="A469" s="644"/>
      <c r="B469" s="645"/>
    </row>
    <row r="470" spans="1:2" x14ac:dyDescent="0.3">
      <c r="A470" s="644"/>
      <c r="B470" s="645"/>
    </row>
    <row r="471" spans="1:2" x14ac:dyDescent="0.3">
      <c r="A471" s="644"/>
      <c r="B471" s="645"/>
    </row>
    <row r="472" spans="1:2" x14ac:dyDescent="0.3">
      <c r="A472" s="644"/>
      <c r="B472" s="645"/>
    </row>
    <row r="473" spans="1:2" x14ac:dyDescent="0.3">
      <c r="A473" s="644"/>
      <c r="B473" s="645"/>
    </row>
    <row r="474" spans="1:2" x14ac:dyDescent="0.3">
      <c r="A474" s="644"/>
      <c r="B474" s="645"/>
    </row>
    <row r="475" spans="1:2" x14ac:dyDescent="0.3">
      <c r="A475" s="644"/>
      <c r="B475" s="645"/>
    </row>
    <row r="476" spans="1:2" x14ac:dyDescent="0.3">
      <c r="A476" s="644"/>
      <c r="B476" s="645"/>
    </row>
    <row r="477" spans="1:2" x14ac:dyDescent="0.3">
      <c r="A477" s="644"/>
      <c r="B477" s="645"/>
    </row>
    <row r="478" spans="1:2" x14ac:dyDescent="0.3">
      <c r="A478" s="644"/>
      <c r="B478" s="645"/>
    </row>
    <row r="479" spans="1:2" x14ac:dyDescent="0.3">
      <c r="A479" s="644"/>
      <c r="B479" s="645"/>
    </row>
    <row r="480" spans="1:2" x14ac:dyDescent="0.3">
      <c r="A480" s="644"/>
      <c r="B480" s="645"/>
    </row>
    <row r="481" spans="1:2" x14ac:dyDescent="0.3">
      <c r="A481" s="644"/>
      <c r="B481" s="645"/>
    </row>
    <row r="482" spans="1:2" x14ac:dyDescent="0.3">
      <c r="A482" s="644"/>
      <c r="B482" s="645"/>
    </row>
    <row r="483" spans="1:2" x14ac:dyDescent="0.3">
      <c r="A483" s="644"/>
      <c r="B483" s="645"/>
    </row>
    <row r="484" spans="1:2" x14ac:dyDescent="0.3">
      <c r="A484" s="644"/>
      <c r="B484" s="645"/>
    </row>
    <row r="485" spans="1:2" x14ac:dyDescent="0.3">
      <c r="A485" s="644"/>
      <c r="B485" s="645"/>
    </row>
    <row r="486" spans="1:2" x14ac:dyDescent="0.3">
      <c r="A486" s="644"/>
      <c r="B486" s="645"/>
    </row>
    <row r="487" spans="1:2" x14ac:dyDescent="0.3">
      <c r="A487" s="644"/>
      <c r="B487" s="645"/>
    </row>
    <row r="488" spans="1:2" x14ac:dyDescent="0.3">
      <c r="A488" s="644"/>
      <c r="B488" s="645"/>
    </row>
    <row r="489" spans="1:2" x14ac:dyDescent="0.3">
      <c r="A489" s="644"/>
      <c r="B489" s="645"/>
    </row>
    <row r="490" spans="1:2" x14ac:dyDescent="0.3">
      <c r="A490" s="644"/>
      <c r="B490" s="645"/>
    </row>
    <row r="491" spans="1:2" x14ac:dyDescent="0.3">
      <c r="A491" s="644"/>
      <c r="B491" s="645"/>
    </row>
    <row r="492" spans="1:2" x14ac:dyDescent="0.3">
      <c r="A492" s="644"/>
      <c r="B492" s="645"/>
    </row>
    <row r="493" spans="1:2" x14ac:dyDescent="0.3">
      <c r="A493" s="644"/>
      <c r="B493" s="645"/>
    </row>
    <row r="494" spans="1:2" x14ac:dyDescent="0.3">
      <c r="A494" s="644"/>
      <c r="B494" s="645"/>
    </row>
    <row r="495" spans="1:2" x14ac:dyDescent="0.3">
      <c r="A495" s="644"/>
      <c r="B495" s="645"/>
    </row>
    <row r="496" spans="1:2" x14ac:dyDescent="0.3">
      <c r="A496" s="644"/>
      <c r="B496" s="645"/>
    </row>
    <row r="497" spans="1:2" x14ac:dyDescent="0.3">
      <c r="A497" s="644"/>
      <c r="B497" s="645"/>
    </row>
    <row r="498" spans="1:2" x14ac:dyDescent="0.3">
      <c r="A498" s="644"/>
      <c r="B498" s="645"/>
    </row>
    <row r="499" spans="1:2" x14ac:dyDescent="0.3">
      <c r="A499" s="644"/>
      <c r="B499" s="645"/>
    </row>
    <row r="500" spans="1:2" x14ac:dyDescent="0.3">
      <c r="A500" s="644"/>
      <c r="B500" s="645"/>
    </row>
    <row r="501" spans="1:2" x14ac:dyDescent="0.3">
      <c r="A501" s="644"/>
      <c r="B501" s="645"/>
    </row>
    <row r="502" spans="1:2" x14ac:dyDescent="0.3">
      <c r="A502" s="644"/>
      <c r="B502" s="645"/>
    </row>
    <row r="503" spans="1:2" x14ac:dyDescent="0.3">
      <c r="A503" s="644"/>
      <c r="B503" s="645"/>
    </row>
    <row r="504" spans="1:2" x14ac:dyDescent="0.3">
      <c r="A504" s="644"/>
      <c r="B504" s="645"/>
    </row>
    <row r="505" spans="1:2" x14ac:dyDescent="0.3">
      <c r="A505" s="644"/>
      <c r="B505" s="645"/>
    </row>
    <row r="506" spans="1:2" x14ac:dyDescent="0.3">
      <c r="A506" s="644"/>
      <c r="B506" s="645"/>
    </row>
    <row r="507" spans="1:2" x14ac:dyDescent="0.3">
      <c r="A507" s="644"/>
      <c r="B507" s="645"/>
    </row>
    <row r="508" spans="1:2" x14ac:dyDescent="0.3">
      <c r="A508" s="644"/>
      <c r="B508" s="645"/>
    </row>
    <row r="509" spans="1:2" x14ac:dyDescent="0.3">
      <c r="A509" s="644"/>
      <c r="B509" s="645"/>
    </row>
    <row r="510" spans="1:2" x14ac:dyDescent="0.3">
      <c r="A510" s="644"/>
      <c r="B510" s="645"/>
    </row>
    <row r="511" spans="1:2" x14ac:dyDescent="0.3">
      <c r="A511" s="644"/>
      <c r="B511" s="645"/>
    </row>
    <row r="512" spans="1:2" x14ac:dyDescent="0.3">
      <c r="A512" s="644"/>
      <c r="B512" s="645"/>
    </row>
    <row r="513" spans="1:2" x14ac:dyDescent="0.3">
      <c r="A513" s="644"/>
      <c r="B513" s="645"/>
    </row>
    <row r="514" spans="1:2" x14ac:dyDescent="0.3">
      <c r="A514" s="644"/>
      <c r="B514" s="645"/>
    </row>
    <row r="515" spans="1:2" x14ac:dyDescent="0.3">
      <c r="A515" s="644"/>
      <c r="B515" s="645"/>
    </row>
    <row r="516" spans="1:2" x14ac:dyDescent="0.3">
      <c r="A516" s="644"/>
      <c r="B516" s="645"/>
    </row>
    <row r="517" spans="1:2" x14ac:dyDescent="0.3">
      <c r="A517" s="644"/>
      <c r="B517" s="645"/>
    </row>
    <row r="518" spans="1:2" x14ac:dyDescent="0.3">
      <c r="A518" s="644"/>
      <c r="B518" s="645"/>
    </row>
    <row r="519" spans="1:2" x14ac:dyDescent="0.3">
      <c r="A519" s="644"/>
      <c r="B519" s="645"/>
    </row>
    <row r="520" spans="1:2" x14ac:dyDescent="0.3">
      <c r="A520" s="644"/>
      <c r="B520" s="645"/>
    </row>
    <row r="521" spans="1:2" x14ac:dyDescent="0.3">
      <c r="A521" s="644"/>
      <c r="B521" s="645"/>
    </row>
    <row r="522" spans="1:2" x14ac:dyDescent="0.3">
      <c r="A522" s="644"/>
      <c r="B522" s="645"/>
    </row>
    <row r="523" spans="1:2" x14ac:dyDescent="0.3">
      <c r="A523" s="644"/>
      <c r="B523" s="645"/>
    </row>
    <row r="524" spans="1:2" x14ac:dyDescent="0.3">
      <c r="A524" s="644"/>
      <c r="B524" s="645"/>
    </row>
    <row r="525" spans="1:2" x14ac:dyDescent="0.3">
      <c r="A525" s="644"/>
      <c r="B525" s="645"/>
    </row>
    <row r="526" spans="1:2" x14ac:dyDescent="0.3">
      <c r="A526" s="644"/>
      <c r="B526" s="645"/>
    </row>
    <row r="527" spans="1:2" x14ac:dyDescent="0.3">
      <c r="A527" s="644"/>
      <c r="B527" s="645"/>
    </row>
    <row r="528" spans="1:2" x14ac:dyDescent="0.3">
      <c r="A528" s="644"/>
      <c r="B528" s="645"/>
    </row>
    <row r="529" spans="1:2" x14ac:dyDescent="0.3">
      <c r="A529" s="644"/>
      <c r="B529" s="645"/>
    </row>
    <row r="530" spans="1:2" x14ac:dyDescent="0.3">
      <c r="A530" s="644"/>
      <c r="B530" s="645"/>
    </row>
    <row r="531" spans="1:2" x14ac:dyDescent="0.3">
      <c r="A531" s="644"/>
      <c r="B531" s="645"/>
    </row>
    <row r="532" spans="1:2" x14ac:dyDescent="0.3">
      <c r="A532" s="644"/>
      <c r="B532" s="645"/>
    </row>
    <row r="533" spans="1:2" x14ac:dyDescent="0.3">
      <c r="A533" s="644"/>
      <c r="B533" s="645"/>
    </row>
    <row r="534" spans="1:2" x14ac:dyDescent="0.3">
      <c r="A534" s="644"/>
      <c r="B534" s="645"/>
    </row>
    <row r="535" spans="1:2" x14ac:dyDescent="0.3">
      <c r="A535" s="644"/>
      <c r="B535" s="645"/>
    </row>
    <row r="536" spans="1:2" x14ac:dyDescent="0.3">
      <c r="A536" s="644"/>
      <c r="B536" s="645"/>
    </row>
    <row r="537" spans="1:2" x14ac:dyDescent="0.3">
      <c r="A537" s="644"/>
      <c r="B537" s="645"/>
    </row>
    <row r="538" spans="1:2" x14ac:dyDescent="0.3">
      <c r="A538" s="644"/>
      <c r="B538" s="645"/>
    </row>
    <row r="539" spans="1:2" x14ac:dyDescent="0.3">
      <c r="A539" s="644"/>
      <c r="B539" s="645"/>
    </row>
    <row r="540" spans="1:2" x14ac:dyDescent="0.3">
      <c r="A540" s="644"/>
      <c r="B540" s="645"/>
    </row>
    <row r="541" spans="1:2" x14ac:dyDescent="0.3">
      <c r="A541" s="644"/>
      <c r="B541" s="645"/>
    </row>
    <row r="542" spans="1:2" x14ac:dyDescent="0.3">
      <c r="A542" s="644"/>
      <c r="B542" s="645"/>
    </row>
    <row r="543" spans="1:2" x14ac:dyDescent="0.3">
      <c r="A543" s="644"/>
      <c r="B543" s="645"/>
    </row>
    <row r="544" spans="1:2" x14ac:dyDescent="0.3">
      <c r="A544" s="644"/>
      <c r="B544" s="645"/>
    </row>
    <row r="545" spans="1:2" x14ac:dyDescent="0.3">
      <c r="A545" s="644"/>
      <c r="B545" s="645"/>
    </row>
    <row r="546" spans="1:2" x14ac:dyDescent="0.3">
      <c r="A546" s="644"/>
      <c r="B546" s="645"/>
    </row>
    <row r="547" spans="1:2" x14ac:dyDescent="0.3">
      <c r="A547" s="644"/>
      <c r="B547" s="645"/>
    </row>
    <row r="548" spans="1:2" x14ac:dyDescent="0.3">
      <c r="A548" s="644"/>
      <c r="B548" s="645"/>
    </row>
    <row r="549" spans="1:2" x14ac:dyDescent="0.3">
      <c r="A549" s="644"/>
      <c r="B549" s="645"/>
    </row>
    <row r="550" spans="1:2" x14ac:dyDescent="0.3">
      <c r="A550" s="644"/>
      <c r="B550" s="645"/>
    </row>
    <row r="551" spans="1:2" x14ac:dyDescent="0.3">
      <c r="A551" s="644"/>
      <c r="B551" s="645"/>
    </row>
    <row r="552" spans="1:2" x14ac:dyDescent="0.3">
      <c r="A552" s="644"/>
      <c r="B552" s="645"/>
    </row>
    <row r="553" spans="1:2" x14ac:dyDescent="0.3">
      <c r="A553" s="644"/>
      <c r="B553" s="645"/>
    </row>
    <row r="554" spans="1:2" x14ac:dyDescent="0.3">
      <c r="A554" s="644"/>
      <c r="B554" s="645"/>
    </row>
    <row r="555" spans="1:2" x14ac:dyDescent="0.3">
      <c r="A555" s="644"/>
      <c r="B555" s="645"/>
    </row>
    <row r="556" spans="1:2" x14ac:dyDescent="0.3">
      <c r="A556" s="644"/>
      <c r="B556" s="645"/>
    </row>
    <row r="557" spans="1:2" x14ac:dyDescent="0.3">
      <c r="A557" s="644"/>
      <c r="B557" s="645"/>
    </row>
    <row r="558" spans="1:2" x14ac:dyDescent="0.3">
      <c r="A558" s="644"/>
      <c r="B558" s="645"/>
    </row>
    <row r="559" spans="1:2" x14ac:dyDescent="0.3">
      <c r="A559" s="644"/>
      <c r="B559" s="645"/>
    </row>
    <row r="560" spans="1:2" x14ac:dyDescent="0.3">
      <c r="A560" s="644"/>
      <c r="B560" s="645"/>
    </row>
    <row r="561" spans="1:2" x14ac:dyDescent="0.3">
      <c r="A561" s="644"/>
      <c r="B561" s="645"/>
    </row>
    <row r="562" spans="1:2" x14ac:dyDescent="0.3">
      <c r="A562" s="644"/>
      <c r="B562" s="645"/>
    </row>
    <row r="563" spans="1:2" x14ac:dyDescent="0.3">
      <c r="A563" s="644"/>
      <c r="B563" s="645"/>
    </row>
    <row r="564" spans="1:2" x14ac:dyDescent="0.3">
      <c r="A564" s="644"/>
      <c r="B564" s="645"/>
    </row>
    <row r="565" spans="1:2" x14ac:dyDescent="0.3">
      <c r="A565" s="644"/>
      <c r="B565" s="645"/>
    </row>
    <row r="566" spans="1:2" x14ac:dyDescent="0.3">
      <c r="A566" s="644"/>
      <c r="B566" s="645"/>
    </row>
    <row r="567" spans="1:2" x14ac:dyDescent="0.3">
      <c r="A567" s="644"/>
      <c r="B567" s="645"/>
    </row>
    <row r="568" spans="1:2" x14ac:dyDescent="0.3">
      <c r="A568" s="644"/>
      <c r="B568" s="645"/>
    </row>
    <row r="569" spans="1:2" x14ac:dyDescent="0.3">
      <c r="A569" s="644"/>
      <c r="B569" s="645"/>
    </row>
    <row r="570" spans="1:2" x14ac:dyDescent="0.3">
      <c r="A570" s="644"/>
      <c r="B570" s="645"/>
    </row>
    <row r="571" spans="1:2" x14ac:dyDescent="0.3">
      <c r="A571" s="644"/>
      <c r="B571" s="645"/>
    </row>
    <row r="572" spans="1:2" x14ac:dyDescent="0.3">
      <c r="A572" s="644"/>
      <c r="B572" s="645"/>
    </row>
    <row r="573" spans="1:2" x14ac:dyDescent="0.3">
      <c r="A573" s="644"/>
      <c r="B573" s="645"/>
    </row>
    <row r="574" spans="1:2" x14ac:dyDescent="0.3">
      <c r="A574" s="644"/>
      <c r="B574" s="645"/>
    </row>
    <row r="575" spans="1:2" x14ac:dyDescent="0.3">
      <c r="A575" s="644"/>
      <c r="B575" s="645"/>
    </row>
    <row r="576" spans="1:2" x14ac:dyDescent="0.3">
      <c r="A576" s="644"/>
      <c r="B576" s="645"/>
    </row>
    <row r="577" spans="1:2" x14ac:dyDescent="0.3">
      <c r="A577" s="644"/>
      <c r="B577" s="645"/>
    </row>
    <row r="578" spans="1:2" x14ac:dyDescent="0.3">
      <c r="A578" s="644"/>
      <c r="B578" s="645"/>
    </row>
    <row r="579" spans="1:2" x14ac:dyDescent="0.3">
      <c r="A579" s="644"/>
      <c r="B579" s="645"/>
    </row>
    <row r="580" spans="1:2" x14ac:dyDescent="0.3">
      <c r="A580" s="644"/>
      <c r="B580" s="645"/>
    </row>
    <row r="581" spans="1:2" x14ac:dyDescent="0.3">
      <c r="A581" s="644"/>
      <c r="B581" s="645"/>
    </row>
    <row r="582" spans="1:2" x14ac:dyDescent="0.3">
      <c r="A582" s="644"/>
      <c r="B582" s="645"/>
    </row>
    <row r="583" spans="1:2" x14ac:dyDescent="0.3">
      <c r="A583" s="644"/>
      <c r="B583" s="645"/>
    </row>
    <row r="584" spans="1:2" x14ac:dyDescent="0.3">
      <c r="A584" s="644"/>
      <c r="B584" s="645"/>
    </row>
    <row r="585" spans="1:2" x14ac:dyDescent="0.3">
      <c r="A585" s="644"/>
      <c r="B585" s="645"/>
    </row>
    <row r="586" spans="1:2" x14ac:dyDescent="0.3">
      <c r="A586" s="644"/>
      <c r="B586" s="645"/>
    </row>
    <row r="587" spans="1:2" x14ac:dyDescent="0.3">
      <c r="A587" s="644"/>
      <c r="B587" s="645"/>
    </row>
    <row r="588" spans="1:2" x14ac:dyDescent="0.3">
      <c r="A588" s="644"/>
      <c r="B588" s="645"/>
    </row>
    <row r="589" spans="1:2" x14ac:dyDescent="0.3">
      <c r="A589" s="644"/>
      <c r="B589" s="645"/>
    </row>
    <row r="590" spans="1:2" x14ac:dyDescent="0.3">
      <c r="A590" s="644"/>
      <c r="B590" s="645"/>
    </row>
    <row r="591" spans="1:2" x14ac:dyDescent="0.3">
      <c r="A591" s="644"/>
      <c r="B591" s="645"/>
    </row>
    <row r="592" spans="1:2" x14ac:dyDescent="0.3">
      <c r="A592" s="644"/>
      <c r="B592" s="645"/>
    </row>
    <row r="593" spans="1:2" x14ac:dyDescent="0.3">
      <c r="A593" s="644"/>
      <c r="B593" s="645"/>
    </row>
    <row r="594" spans="1:2" x14ac:dyDescent="0.3">
      <c r="A594" s="644"/>
      <c r="B594" s="645"/>
    </row>
    <row r="595" spans="1:2" x14ac:dyDescent="0.3">
      <c r="A595" s="644"/>
      <c r="B595" s="645"/>
    </row>
    <row r="596" spans="1:2" x14ac:dyDescent="0.3">
      <c r="A596" s="644"/>
      <c r="B596" s="645"/>
    </row>
    <row r="597" spans="1:2" x14ac:dyDescent="0.3">
      <c r="A597" s="644"/>
      <c r="B597" s="645"/>
    </row>
    <row r="598" spans="1:2" x14ac:dyDescent="0.3">
      <c r="A598" s="644"/>
      <c r="B598" s="645"/>
    </row>
    <row r="599" spans="1:2" x14ac:dyDescent="0.3">
      <c r="A599" s="644"/>
      <c r="B599" s="645"/>
    </row>
    <row r="600" spans="1:2" x14ac:dyDescent="0.3">
      <c r="A600" s="644"/>
      <c r="B600" s="645"/>
    </row>
    <row r="601" spans="1:2" x14ac:dyDescent="0.3">
      <c r="A601" s="644"/>
      <c r="B601" s="645"/>
    </row>
    <row r="602" spans="1:2" x14ac:dyDescent="0.3">
      <c r="A602" s="644"/>
      <c r="B602" s="645"/>
    </row>
    <row r="603" spans="1:2" x14ac:dyDescent="0.3">
      <c r="A603" s="644"/>
      <c r="B603" s="645"/>
    </row>
    <row r="604" spans="1:2" x14ac:dyDescent="0.3">
      <c r="A604" s="644"/>
      <c r="B604" s="645"/>
    </row>
    <row r="605" spans="1:2" x14ac:dyDescent="0.3">
      <c r="A605" s="644"/>
      <c r="B605" s="645"/>
    </row>
    <row r="606" spans="1:2" x14ac:dyDescent="0.3">
      <c r="A606" s="644"/>
      <c r="B606" s="645"/>
    </row>
    <row r="607" spans="1:2" x14ac:dyDescent="0.3">
      <c r="A607" s="644"/>
      <c r="B607" s="645"/>
    </row>
    <row r="608" spans="1:2" x14ac:dyDescent="0.3">
      <c r="A608" s="644"/>
      <c r="B608" s="645"/>
    </row>
    <row r="609" spans="1:2" x14ac:dyDescent="0.3">
      <c r="A609" s="644"/>
      <c r="B609" s="645"/>
    </row>
    <row r="610" spans="1:2" x14ac:dyDescent="0.3">
      <c r="A610" s="644"/>
      <c r="B610" s="645"/>
    </row>
    <row r="611" spans="1:2" x14ac:dyDescent="0.3">
      <c r="A611" s="644"/>
      <c r="B611" s="645"/>
    </row>
    <row r="612" spans="1:2" x14ac:dyDescent="0.3">
      <c r="A612" s="644"/>
      <c r="B612" s="645"/>
    </row>
    <row r="613" spans="1:2" x14ac:dyDescent="0.3">
      <c r="A613" s="644"/>
      <c r="B613" s="645"/>
    </row>
    <row r="614" spans="1:2" x14ac:dyDescent="0.3">
      <c r="A614" s="644"/>
      <c r="B614" s="645"/>
    </row>
    <row r="615" spans="1:2" x14ac:dyDescent="0.3">
      <c r="A615" s="644"/>
      <c r="B615" s="645"/>
    </row>
    <row r="616" spans="1:2" x14ac:dyDescent="0.3">
      <c r="A616" s="644"/>
      <c r="B616" s="645"/>
    </row>
    <row r="617" spans="1:2" x14ac:dyDescent="0.3">
      <c r="A617" s="644"/>
      <c r="B617" s="645"/>
    </row>
    <row r="618" spans="1:2" x14ac:dyDescent="0.3">
      <c r="A618" s="644"/>
      <c r="B618" s="645"/>
    </row>
    <row r="619" spans="1:2" x14ac:dyDescent="0.3">
      <c r="A619" s="644"/>
      <c r="B619" s="645"/>
    </row>
    <row r="620" spans="1:2" x14ac:dyDescent="0.3">
      <c r="A620" s="644"/>
      <c r="B620" s="645"/>
    </row>
    <row r="621" spans="1:2" x14ac:dyDescent="0.3">
      <c r="A621" s="644"/>
      <c r="B621" s="645"/>
    </row>
    <row r="622" spans="1:2" x14ac:dyDescent="0.3">
      <c r="A622" s="644"/>
      <c r="B622" s="645"/>
    </row>
    <row r="623" spans="1:2" x14ac:dyDescent="0.3">
      <c r="A623" s="644"/>
      <c r="B623" s="645"/>
    </row>
    <row r="624" spans="1:2" x14ac:dyDescent="0.3">
      <c r="A624" s="644"/>
      <c r="B624" s="645"/>
    </row>
    <row r="625" spans="1:2" x14ac:dyDescent="0.3">
      <c r="A625" s="644"/>
      <c r="B625" s="645"/>
    </row>
    <row r="626" spans="1:2" x14ac:dyDescent="0.3">
      <c r="A626" s="644"/>
      <c r="B626" s="645"/>
    </row>
    <row r="627" spans="1:2" x14ac:dyDescent="0.3">
      <c r="A627" s="644"/>
      <c r="B627" s="645"/>
    </row>
    <row r="628" spans="1:2" x14ac:dyDescent="0.3">
      <c r="A628" s="644"/>
      <c r="B628" s="645"/>
    </row>
    <row r="629" spans="1:2" x14ac:dyDescent="0.3">
      <c r="A629" s="644"/>
      <c r="B629" s="645"/>
    </row>
    <row r="630" spans="1:2" x14ac:dyDescent="0.3">
      <c r="A630" s="644"/>
      <c r="B630" s="645"/>
    </row>
    <row r="631" spans="1:2" x14ac:dyDescent="0.3">
      <c r="A631" s="644"/>
      <c r="B631" s="645"/>
    </row>
    <row r="632" spans="1:2" x14ac:dyDescent="0.3">
      <c r="A632" s="644"/>
      <c r="B632" s="645"/>
    </row>
    <row r="633" spans="1:2" x14ac:dyDescent="0.3">
      <c r="A633" s="644"/>
      <c r="B633" s="645"/>
    </row>
    <row r="634" spans="1:2" x14ac:dyDescent="0.3">
      <c r="A634" s="644"/>
      <c r="B634" s="645"/>
    </row>
    <row r="635" spans="1:2" x14ac:dyDescent="0.3">
      <c r="A635" s="644"/>
      <c r="B635" s="645"/>
    </row>
    <row r="636" spans="1:2" x14ac:dyDescent="0.3">
      <c r="A636" s="644"/>
      <c r="B636" s="645"/>
    </row>
    <row r="637" spans="1:2" x14ac:dyDescent="0.3">
      <c r="A637" s="644"/>
      <c r="B637" s="645"/>
    </row>
    <row r="638" spans="1:2" x14ac:dyDescent="0.3">
      <c r="A638" s="644"/>
      <c r="B638" s="645"/>
    </row>
    <row r="639" spans="1:2" x14ac:dyDescent="0.3">
      <c r="A639" s="644"/>
      <c r="B639" s="645"/>
    </row>
    <row r="640" spans="1:2" x14ac:dyDescent="0.3">
      <c r="A640" s="644"/>
      <c r="B640" s="645"/>
    </row>
    <row r="641" spans="1:2" x14ac:dyDescent="0.3">
      <c r="A641" s="644"/>
      <c r="B641" s="645"/>
    </row>
    <row r="642" spans="1:2" x14ac:dyDescent="0.3">
      <c r="A642" s="644"/>
      <c r="B642" s="645"/>
    </row>
    <row r="643" spans="1:2" x14ac:dyDescent="0.3">
      <c r="A643" s="644"/>
      <c r="B643" s="645"/>
    </row>
    <row r="644" spans="1:2" x14ac:dyDescent="0.3">
      <c r="A644" s="644"/>
      <c r="B644" s="645"/>
    </row>
    <row r="645" spans="1:2" x14ac:dyDescent="0.3">
      <c r="A645" s="644"/>
      <c r="B645" s="645"/>
    </row>
    <row r="646" spans="1:2" x14ac:dyDescent="0.3">
      <c r="A646" s="644"/>
      <c r="B646" s="645"/>
    </row>
    <row r="647" spans="1:2" x14ac:dyDescent="0.3">
      <c r="A647" s="644"/>
      <c r="B647" s="645"/>
    </row>
    <row r="648" spans="1:2" x14ac:dyDescent="0.3">
      <c r="A648" s="644"/>
      <c r="B648" s="645"/>
    </row>
    <row r="649" spans="1:2" x14ac:dyDescent="0.3">
      <c r="A649" s="644"/>
      <c r="B649" s="645"/>
    </row>
    <row r="650" spans="1:2" x14ac:dyDescent="0.3">
      <c r="A650" s="644"/>
      <c r="B650" s="645"/>
    </row>
    <row r="651" spans="1:2" x14ac:dyDescent="0.3">
      <c r="A651" s="644"/>
      <c r="B651" s="645"/>
    </row>
    <row r="652" spans="1:2" x14ac:dyDescent="0.3">
      <c r="A652" s="644"/>
      <c r="B652" s="645"/>
    </row>
    <row r="653" spans="1:2" x14ac:dyDescent="0.3">
      <c r="A653" s="644"/>
      <c r="B653" s="645"/>
    </row>
    <row r="654" spans="1:2" x14ac:dyDescent="0.3">
      <c r="A654" s="644"/>
      <c r="B654" s="645"/>
    </row>
    <row r="655" spans="1:2" x14ac:dyDescent="0.3">
      <c r="A655" s="644"/>
      <c r="B655" s="645"/>
    </row>
    <row r="656" spans="1:2" x14ac:dyDescent="0.3">
      <c r="A656" s="644"/>
      <c r="B656" s="645"/>
    </row>
    <row r="657" spans="1:2" x14ac:dyDescent="0.3">
      <c r="A657" s="644"/>
      <c r="B657" s="645"/>
    </row>
    <row r="658" spans="1:2" x14ac:dyDescent="0.3">
      <c r="A658" s="644"/>
      <c r="B658" s="645"/>
    </row>
    <row r="659" spans="1:2" x14ac:dyDescent="0.3">
      <c r="A659" s="644"/>
      <c r="B659" s="645"/>
    </row>
    <row r="660" spans="1:2" x14ac:dyDescent="0.3">
      <c r="A660" s="644"/>
      <c r="B660" s="645"/>
    </row>
    <row r="661" spans="1:2" x14ac:dyDescent="0.3">
      <c r="A661" s="644"/>
      <c r="B661" s="645"/>
    </row>
    <row r="662" spans="1:2" x14ac:dyDescent="0.3">
      <c r="A662" s="644"/>
      <c r="B662" s="645"/>
    </row>
    <row r="663" spans="1:2" x14ac:dyDescent="0.3">
      <c r="A663" s="644"/>
      <c r="B663" s="645"/>
    </row>
    <row r="664" spans="1:2" x14ac:dyDescent="0.3">
      <c r="A664" s="644"/>
      <c r="B664" s="645"/>
    </row>
    <row r="665" spans="1:2" x14ac:dyDescent="0.3">
      <c r="A665" s="644"/>
      <c r="B665" s="645"/>
    </row>
    <row r="666" spans="1:2" x14ac:dyDescent="0.3">
      <c r="A666" s="644"/>
      <c r="B666" s="645"/>
    </row>
    <row r="667" spans="1:2" x14ac:dyDescent="0.3">
      <c r="A667" s="644"/>
      <c r="B667" s="645"/>
    </row>
    <row r="668" spans="1:2" x14ac:dyDescent="0.3">
      <c r="A668" s="644"/>
      <c r="B668" s="645"/>
    </row>
    <row r="669" spans="1:2" x14ac:dyDescent="0.3">
      <c r="A669" s="644"/>
      <c r="B669" s="645"/>
    </row>
    <row r="670" spans="1:2" x14ac:dyDescent="0.3">
      <c r="A670" s="644"/>
      <c r="B670" s="645"/>
    </row>
    <row r="671" spans="1:2" x14ac:dyDescent="0.3">
      <c r="A671" s="644"/>
      <c r="B671" s="645"/>
    </row>
    <row r="672" spans="1:2" x14ac:dyDescent="0.3">
      <c r="A672" s="644"/>
      <c r="B672" s="645"/>
    </row>
    <row r="673" spans="1:2" x14ac:dyDescent="0.3">
      <c r="A673" s="644"/>
      <c r="B673" s="645"/>
    </row>
    <row r="674" spans="1:2" x14ac:dyDescent="0.3">
      <c r="A674" s="644"/>
      <c r="B674" s="645"/>
    </row>
    <row r="675" spans="1:2" x14ac:dyDescent="0.3">
      <c r="A675" s="644"/>
      <c r="B675" s="645"/>
    </row>
    <row r="676" spans="1:2" x14ac:dyDescent="0.3">
      <c r="A676" s="644"/>
      <c r="B676" s="645"/>
    </row>
    <row r="677" spans="1:2" x14ac:dyDescent="0.3">
      <c r="A677" s="644"/>
      <c r="B677" s="645"/>
    </row>
    <row r="678" spans="1:2" x14ac:dyDescent="0.3">
      <c r="A678" s="644"/>
      <c r="B678" s="645"/>
    </row>
    <row r="679" spans="1:2" x14ac:dyDescent="0.3">
      <c r="A679" s="644"/>
      <c r="B679" s="645"/>
    </row>
    <row r="680" spans="1:2" x14ac:dyDescent="0.3">
      <c r="A680" s="644"/>
      <c r="B680" s="645"/>
    </row>
    <row r="681" spans="1:2" x14ac:dyDescent="0.3">
      <c r="A681" s="644"/>
      <c r="B681" s="645"/>
    </row>
    <row r="682" spans="1:2" x14ac:dyDescent="0.3">
      <c r="A682" s="644"/>
      <c r="B682" s="645"/>
    </row>
    <row r="683" spans="1:2" x14ac:dyDescent="0.3">
      <c r="A683" s="644"/>
      <c r="B683" s="645"/>
    </row>
    <row r="684" spans="1:2" x14ac:dyDescent="0.3">
      <c r="A684" s="644"/>
      <c r="B684" s="645"/>
    </row>
    <row r="685" spans="1:2" x14ac:dyDescent="0.3">
      <c r="A685" s="644"/>
      <c r="B685" s="645"/>
    </row>
    <row r="686" spans="1:2" x14ac:dyDescent="0.3">
      <c r="A686" s="644"/>
      <c r="B686" s="645"/>
    </row>
    <row r="687" spans="1:2" x14ac:dyDescent="0.3">
      <c r="A687" s="644"/>
      <c r="B687" s="645"/>
    </row>
    <row r="688" spans="1:2" x14ac:dyDescent="0.3">
      <c r="A688" s="644"/>
      <c r="B688" s="645"/>
    </row>
    <row r="689" spans="1:2" x14ac:dyDescent="0.3">
      <c r="A689" s="644"/>
      <c r="B689" s="645"/>
    </row>
    <row r="690" spans="1:2" x14ac:dyDescent="0.3">
      <c r="A690" s="644"/>
      <c r="B690" s="645"/>
    </row>
    <row r="691" spans="1:2" x14ac:dyDescent="0.3">
      <c r="A691" s="644"/>
      <c r="B691" s="645"/>
    </row>
    <row r="692" spans="1:2" x14ac:dyDescent="0.3">
      <c r="A692" s="644"/>
      <c r="B692" s="645"/>
    </row>
    <row r="693" spans="1:2" x14ac:dyDescent="0.3">
      <c r="A693" s="644"/>
      <c r="B693" s="645"/>
    </row>
    <row r="694" spans="1:2" x14ac:dyDescent="0.3">
      <c r="A694" s="644"/>
      <c r="B694" s="645"/>
    </row>
    <row r="695" spans="1:2" x14ac:dyDescent="0.3">
      <c r="A695" s="644"/>
      <c r="B695" s="645"/>
    </row>
    <row r="696" spans="1:2" x14ac:dyDescent="0.3">
      <c r="A696" s="644"/>
      <c r="B696" s="645"/>
    </row>
    <row r="697" spans="1:2" x14ac:dyDescent="0.3">
      <c r="A697" s="644"/>
      <c r="B697" s="645"/>
    </row>
    <row r="698" spans="1:2" x14ac:dyDescent="0.3">
      <c r="A698" s="644"/>
      <c r="B698" s="645"/>
    </row>
    <row r="699" spans="1:2" x14ac:dyDescent="0.3">
      <c r="A699" s="644"/>
      <c r="B699" s="645"/>
    </row>
    <row r="700" spans="1:2" x14ac:dyDescent="0.3">
      <c r="A700" s="644"/>
      <c r="B700" s="645"/>
    </row>
    <row r="701" spans="1:2" x14ac:dyDescent="0.3">
      <c r="A701" s="644"/>
      <c r="B701" s="645"/>
    </row>
    <row r="702" spans="1:2" x14ac:dyDescent="0.3">
      <c r="A702" s="644"/>
      <c r="B702" s="645"/>
    </row>
    <row r="703" spans="1:2" x14ac:dyDescent="0.3">
      <c r="A703" s="644"/>
      <c r="B703" s="645"/>
    </row>
    <row r="704" spans="1:2" x14ac:dyDescent="0.3">
      <c r="A704" s="644"/>
      <c r="B704" s="645"/>
    </row>
    <row r="705" spans="1:2" x14ac:dyDescent="0.3">
      <c r="A705" s="644"/>
      <c r="B705" s="645"/>
    </row>
    <row r="706" spans="1:2" x14ac:dyDescent="0.3">
      <c r="A706" s="644"/>
      <c r="B706" s="645"/>
    </row>
    <row r="707" spans="1:2" x14ac:dyDescent="0.3">
      <c r="A707" s="644"/>
      <c r="B707" s="645"/>
    </row>
    <row r="708" spans="1:2" x14ac:dyDescent="0.3">
      <c r="A708" s="644"/>
      <c r="B708" s="645"/>
    </row>
    <row r="709" spans="1:2" x14ac:dyDescent="0.3">
      <c r="A709" s="644"/>
      <c r="B709" s="645"/>
    </row>
    <row r="710" spans="1:2" x14ac:dyDescent="0.3">
      <c r="A710" s="644"/>
      <c r="B710" s="645"/>
    </row>
    <row r="711" spans="1:2" x14ac:dyDescent="0.3">
      <c r="A711" s="644"/>
      <c r="B711" s="645"/>
    </row>
    <row r="712" spans="1:2" x14ac:dyDescent="0.3">
      <c r="A712" s="644"/>
      <c r="B712" s="645"/>
    </row>
    <row r="713" spans="1:2" x14ac:dyDescent="0.3">
      <c r="A713" s="644"/>
      <c r="B713" s="645"/>
    </row>
    <row r="714" spans="1:2" x14ac:dyDescent="0.3">
      <c r="A714" s="644"/>
      <c r="B714" s="645"/>
    </row>
    <row r="715" spans="1:2" x14ac:dyDescent="0.3">
      <c r="A715" s="644"/>
      <c r="B715" s="645"/>
    </row>
    <row r="716" spans="1:2" x14ac:dyDescent="0.3">
      <c r="A716" s="644"/>
      <c r="B716" s="645"/>
    </row>
    <row r="717" spans="1:2" x14ac:dyDescent="0.3">
      <c r="A717" s="644"/>
      <c r="B717" s="645"/>
    </row>
    <row r="718" spans="1:2" x14ac:dyDescent="0.3">
      <c r="A718" s="644"/>
      <c r="B718" s="645"/>
    </row>
    <row r="719" spans="1:2" x14ac:dyDescent="0.3">
      <c r="A719" s="644"/>
      <c r="B719" s="645"/>
    </row>
    <row r="720" spans="1:2" x14ac:dyDescent="0.3">
      <c r="A720" s="644"/>
      <c r="B720" s="645"/>
    </row>
    <row r="721" spans="1:2" x14ac:dyDescent="0.3">
      <c r="A721" s="644"/>
      <c r="B721" s="645"/>
    </row>
    <row r="722" spans="1:2" x14ac:dyDescent="0.3">
      <c r="A722" s="644"/>
      <c r="B722" s="645"/>
    </row>
    <row r="723" spans="1:2" x14ac:dyDescent="0.3">
      <c r="A723" s="644"/>
      <c r="B723" s="645"/>
    </row>
    <row r="724" spans="1:2" x14ac:dyDescent="0.3">
      <c r="A724" s="644"/>
      <c r="B724" s="645"/>
    </row>
    <row r="725" spans="1:2" x14ac:dyDescent="0.3">
      <c r="A725" s="644"/>
      <c r="B725" s="645"/>
    </row>
    <row r="726" spans="1:2" x14ac:dyDescent="0.3">
      <c r="A726" s="644"/>
      <c r="B726" s="645"/>
    </row>
    <row r="727" spans="1:2" x14ac:dyDescent="0.3">
      <c r="A727" s="644"/>
      <c r="B727" s="645"/>
    </row>
    <row r="728" spans="1:2" x14ac:dyDescent="0.3">
      <c r="A728" s="644"/>
      <c r="B728" s="645"/>
    </row>
    <row r="729" spans="1:2" x14ac:dyDescent="0.3">
      <c r="A729" s="644"/>
      <c r="B729" s="645"/>
    </row>
    <row r="730" spans="1:2" x14ac:dyDescent="0.3">
      <c r="A730" s="644"/>
      <c r="B730" s="645"/>
    </row>
    <row r="731" spans="1:2" x14ac:dyDescent="0.3">
      <c r="A731" s="644"/>
      <c r="B731" s="645"/>
    </row>
    <row r="732" spans="1:2" x14ac:dyDescent="0.3">
      <c r="A732" s="644"/>
      <c r="B732" s="645"/>
    </row>
    <row r="733" spans="1:2" x14ac:dyDescent="0.3">
      <c r="A733" s="644"/>
      <c r="B733" s="645"/>
    </row>
    <row r="734" spans="1:2" x14ac:dyDescent="0.3">
      <c r="A734" s="644"/>
      <c r="B734" s="645"/>
    </row>
    <row r="735" spans="1:2" x14ac:dyDescent="0.3">
      <c r="A735" s="644"/>
      <c r="B735" s="645"/>
    </row>
    <row r="736" spans="1:2" x14ac:dyDescent="0.3">
      <c r="A736" s="644"/>
      <c r="B736" s="645"/>
    </row>
    <row r="737" spans="1:2" x14ac:dyDescent="0.3">
      <c r="A737" s="644"/>
      <c r="B737" s="645"/>
    </row>
    <row r="738" spans="1:2" x14ac:dyDescent="0.3">
      <c r="A738" s="644"/>
      <c r="B738" s="645"/>
    </row>
    <row r="739" spans="1:2" x14ac:dyDescent="0.3">
      <c r="A739" s="644"/>
      <c r="B739" s="645"/>
    </row>
    <row r="740" spans="1:2" x14ac:dyDescent="0.3">
      <c r="A740" s="644"/>
      <c r="B740" s="645"/>
    </row>
    <row r="741" spans="1:2" x14ac:dyDescent="0.3">
      <c r="A741" s="644"/>
      <c r="B741" s="645"/>
    </row>
    <row r="742" spans="1:2" x14ac:dyDescent="0.3">
      <c r="A742" s="644"/>
      <c r="B742" s="645"/>
    </row>
    <row r="743" spans="1:2" x14ac:dyDescent="0.3">
      <c r="A743" s="644"/>
      <c r="B743" s="645"/>
    </row>
    <row r="744" spans="1:2" x14ac:dyDescent="0.3">
      <c r="A744" s="644"/>
      <c r="B744" s="645"/>
    </row>
    <row r="745" spans="1:2" x14ac:dyDescent="0.3">
      <c r="A745" s="644"/>
      <c r="B745" s="645"/>
    </row>
    <row r="746" spans="1:2" x14ac:dyDescent="0.3">
      <c r="A746" s="644"/>
      <c r="B746" s="645"/>
    </row>
    <row r="747" spans="1:2" x14ac:dyDescent="0.3">
      <c r="A747" s="644"/>
      <c r="B747" s="645"/>
    </row>
    <row r="748" spans="1:2" x14ac:dyDescent="0.3">
      <c r="A748" s="644"/>
      <c r="B748" s="645"/>
    </row>
    <row r="749" spans="1:2" x14ac:dyDescent="0.3">
      <c r="A749" s="644"/>
      <c r="B749" s="645"/>
    </row>
    <row r="750" spans="1:2" x14ac:dyDescent="0.3">
      <c r="A750" s="644"/>
      <c r="B750" s="645"/>
    </row>
    <row r="751" spans="1:2" x14ac:dyDescent="0.3">
      <c r="A751" s="644"/>
      <c r="B751" s="645"/>
    </row>
    <row r="752" spans="1:2" x14ac:dyDescent="0.3">
      <c r="A752" s="644"/>
      <c r="B752" s="645"/>
    </row>
    <row r="753" spans="1:2" x14ac:dyDescent="0.3">
      <c r="A753" s="644"/>
      <c r="B753" s="645"/>
    </row>
    <row r="754" spans="1:2" x14ac:dyDescent="0.3">
      <c r="A754" s="644"/>
      <c r="B754" s="645"/>
    </row>
    <row r="755" spans="1:2" x14ac:dyDescent="0.3">
      <c r="A755" s="644"/>
      <c r="B755" s="645"/>
    </row>
    <row r="756" spans="1:2" x14ac:dyDescent="0.3">
      <c r="A756" s="644"/>
      <c r="B756" s="645"/>
    </row>
    <row r="757" spans="1:2" x14ac:dyDescent="0.3">
      <c r="A757" s="644"/>
      <c r="B757" s="645"/>
    </row>
    <row r="758" spans="1:2" x14ac:dyDescent="0.3">
      <c r="A758" s="644"/>
      <c r="B758" s="645"/>
    </row>
    <row r="759" spans="1:2" x14ac:dyDescent="0.3">
      <c r="A759" s="644"/>
      <c r="B759" s="645"/>
    </row>
    <row r="760" spans="1:2" x14ac:dyDescent="0.3">
      <c r="A760" s="644"/>
      <c r="B760" s="645"/>
    </row>
    <row r="761" spans="1:2" x14ac:dyDescent="0.3">
      <c r="A761" s="644"/>
      <c r="B761" s="645"/>
    </row>
    <row r="762" spans="1:2" x14ac:dyDescent="0.3">
      <c r="A762" s="644"/>
      <c r="B762" s="645"/>
    </row>
    <row r="763" spans="1:2" x14ac:dyDescent="0.3">
      <c r="A763" s="644"/>
      <c r="B763" s="645"/>
    </row>
    <row r="764" spans="1:2" x14ac:dyDescent="0.3">
      <c r="A764" s="644"/>
      <c r="B764" s="645"/>
    </row>
    <row r="765" spans="1:2" x14ac:dyDescent="0.3">
      <c r="A765" s="644"/>
      <c r="B765" s="645"/>
    </row>
    <row r="766" spans="1:2" x14ac:dyDescent="0.3">
      <c r="A766" s="644"/>
      <c r="B766" s="645"/>
    </row>
    <row r="767" spans="1:2" x14ac:dyDescent="0.3">
      <c r="A767" s="644"/>
      <c r="B767" s="645"/>
    </row>
    <row r="768" spans="1:2" x14ac:dyDescent="0.3">
      <c r="A768" s="644"/>
      <c r="B768" s="645"/>
    </row>
    <row r="769" spans="1:2" x14ac:dyDescent="0.3">
      <c r="A769" s="644"/>
      <c r="B769" s="645"/>
    </row>
    <row r="770" spans="1:2" x14ac:dyDescent="0.3">
      <c r="A770" s="644"/>
      <c r="B770" s="645"/>
    </row>
    <row r="771" spans="1:2" x14ac:dyDescent="0.3">
      <c r="A771" s="644"/>
      <c r="B771" s="645"/>
    </row>
    <row r="772" spans="1:2" x14ac:dyDescent="0.3">
      <c r="A772" s="644"/>
      <c r="B772" s="645"/>
    </row>
    <row r="773" spans="1:2" x14ac:dyDescent="0.3">
      <c r="A773" s="644"/>
      <c r="B773" s="645"/>
    </row>
    <row r="774" spans="1:2" x14ac:dyDescent="0.3">
      <c r="A774" s="644"/>
      <c r="B774" s="645"/>
    </row>
    <row r="775" spans="1:2" x14ac:dyDescent="0.3">
      <c r="A775" s="644"/>
      <c r="B775" s="645"/>
    </row>
    <row r="776" spans="1:2" x14ac:dyDescent="0.3">
      <c r="A776" s="644"/>
      <c r="B776" s="645"/>
    </row>
    <row r="777" spans="1:2" x14ac:dyDescent="0.3">
      <c r="A777" s="644"/>
      <c r="B777" s="645"/>
    </row>
    <row r="778" spans="1:2" x14ac:dyDescent="0.3">
      <c r="A778" s="644"/>
      <c r="B778" s="645"/>
    </row>
    <row r="779" spans="1:2" x14ac:dyDescent="0.3">
      <c r="A779" s="644"/>
      <c r="B779" s="645"/>
    </row>
    <row r="780" spans="1:2" x14ac:dyDescent="0.3">
      <c r="A780" s="644"/>
      <c r="B780" s="645"/>
    </row>
    <row r="781" spans="1:2" x14ac:dyDescent="0.3">
      <c r="A781" s="644"/>
      <c r="B781" s="645"/>
    </row>
    <row r="782" spans="1:2" x14ac:dyDescent="0.3">
      <c r="A782" s="644"/>
      <c r="B782" s="645"/>
    </row>
    <row r="783" spans="1:2" x14ac:dyDescent="0.3">
      <c r="A783" s="644"/>
      <c r="B783" s="645"/>
    </row>
    <row r="784" spans="1:2" x14ac:dyDescent="0.3">
      <c r="A784" s="644"/>
      <c r="B784" s="645"/>
    </row>
    <row r="785" spans="1:2" x14ac:dyDescent="0.3">
      <c r="A785" s="644"/>
      <c r="B785" s="645"/>
    </row>
    <row r="786" spans="1:2" x14ac:dyDescent="0.3">
      <c r="A786" s="644"/>
      <c r="B786" s="645"/>
    </row>
    <row r="787" spans="1:2" x14ac:dyDescent="0.3">
      <c r="A787" s="644"/>
      <c r="B787" s="645"/>
    </row>
    <row r="788" spans="1:2" x14ac:dyDescent="0.3">
      <c r="A788" s="644"/>
      <c r="B788" s="645"/>
    </row>
    <row r="789" spans="1:2" x14ac:dyDescent="0.3">
      <c r="A789" s="644"/>
      <c r="B789" s="645"/>
    </row>
    <row r="790" spans="1:2" x14ac:dyDescent="0.3">
      <c r="A790" s="644"/>
      <c r="B790" s="645"/>
    </row>
    <row r="791" spans="1:2" x14ac:dyDescent="0.3">
      <c r="A791" s="644"/>
      <c r="B791" s="645"/>
    </row>
    <row r="792" spans="1:2" x14ac:dyDescent="0.3">
      <c r="A792" s="644"/>
      <c r="B792" s="645"/>
    </row>
    <row r="793" spans="1:2" x14ac:dyDescent="0.3">
      <c r="A793" s="644"/>
      <c r="B793" s="645"/>
    </row>
    <row r="794" spans="1:2" x14ac:dyDescent="0.3">
      <c r="A794" s="644"/>
      <c r="B794" s="645"/>
    </row>
    <row r="795" spans="1:2" x14ac:dyDescent="0.3">
      <c r="A795" s="644"/>
      <c r="B795" s="645"/>
    </row>
    <row r="796" spans="1:2" x14ac:dyDescent="0.3">
      <c r="A796" s="644"/>
      <c r="B796" s="645"/>
    </row>
    <row r="797" spans="1:2" x14ac:dyDescent="0.3">
      <c r="A797" s="644"/>
      <c r="B797" s="645"/>
    </row>
    <row r="798" spans="1:2" x14ac:dyDescent="0.3">
      <c r="A798" s="644"/>
      <c r="B798" s="645"/>
    </row>
    <row r="799" spans="1:2" x14ac:dyDescent="0.3">
      <c r="A799" s="644"/>
      <c r="B799" s="645"/>
    </row>
    <row r="800" spans="1:2" x14ac:dyDescent="0.3">
      <c r="A800" s="644"/>
      <c r="B800" s="645"/>
    </row>
    <row r="801" spans="1:2" x14ac:dyDescent="0.3">
      <c r="A801" s="644"/>
      <c r="B801" s="645"/>
    </row>
    <row r="802" spans="1:2" x14ac:dyDescent="0.3">
      <c r="A802" s="644"/>
      <c r="B802" s="645"/>
    </row>
    <row r="803" spans="1:2" x14ac:dyDescent="0.3">
      <c r="A803" s="644"/>
      <c r="B803" s="645"/>
    </row>
    <row r="804" spans="1:2" x14ac:dyDescent="0.3">
      <c r="A804" s="644"/>
      <c r="B804" s="645"/>
    </row>
    <row r="805" spans="1:2" x14ac:dyDescent="0.3">
      <c r="A805" s="644"/>
      <c r="B805" s="645"/>
    </row>
    <row r="806" spans="1:2" x14ac:dyDescent="0.3">
      <c r="A806" s="644"/>
      <c r="B806" s="645"/>
    </row>
    <row r="807" spans="1:2" x14ac:dyDescent="0.3">
      <c r="A807" s="644"/>
      <c r="B807" s="645"/>
    </row>
    <row r="808" spans="1:2" x14ac:dyDescent="0.3">
      <c r="A808" s="644"/>
      <c r="B808" s="645"/>
    </row>
    <row r="809" spans="1:2" x14ac:dyDescent="0.3">
      <c r="A809" s="644"/>
      <c r="B809" s="645"/>
    </row>
    <row r="810" spans="1:2" x14ac:dyDescent="0.3">
      <c r="A810" s="644"/>
      <c r="B810" s="645"/>
    </row>
    <row r="811" spans="1:2" x14ac:dyDescent="0.3">
      <c r="A811" s="644"/>
      <c r="B811" s="645"/>
    </row>
    <row r="812" spans="1:2" x14ac:dyDescent="0.3">
      <c r="A812" s="644"/>
      <c r="B812" s="645"/>
    </row>
    <row r="813" spans="1:2" x14ac:dyDescent="0.3">
      <c r="A813" s="644"/>
      <c r="B813" s="645"/>
    </row>
    <row r="814" spans="1:2" x14ac:dyDescent="0.3">
      <c r="A814" s="644"/>
      <c r="B814" s="645"/>
    </row>
    <row r="815" spans="1:2" x14ac:dyDescent="0.3">
      <c r="A815" s="644"/>
      <c r="B815" s="645"/>
    </row>
    <row r="816" spans="1:2" x14ac:dyDescent="0.3">
      <c r="A816" s="644"/>
      <c r="B816" s="645"/>
    </row>
    <row r="817" spans="1:2" x14ac:dyDescent="0.3">
      <c r="A817" s="644"/>
      <c r="B817" s="645"/>
    </row>
    <row r="818" spans="1:2" x14ac:dyDescent="0.3">
      <c r="A818" s="644"/>
      <c r="B818" s="645"/>
    </row>
    <row r="819" spans="1:2" x14ac:dyDescent="0.3">
      <c r="A819" s="644"/>
      <c r="B819" s="645"/>
    </row>
    <row r="820" spans="1:2" x14ac:dyDescent="0.3">
      <c r="A820" s="644"/>
      <c r="B820" s="645"/>
    </row>
    <row r="821" spans="1:2" x14ac:dyDescent="0.3">
      <c r="A821" s="644"/>
      <c r="B821" s="645"/>
    </row>
    <row r="822" spans="1:2" x14ac:dyDescent="0.3">
      <c r="A822" s="644"/>
      <c r="B822" s="645"/>
    </row>
    <row r="823" spans="1:2" x14ac:dyDescent="0.3">
      <c r="A823" s="644"/>
      <c r="B823" s="645"/>
    </row>
    <row r="824" spans="1:2" x14ac:dyDescent="0.3">
      <c r="A824" s="644"/>
      <c r="B824" s="645"/>
    </row>
    <row r="825" spans="1:2" x14ac:dyDescent="0.3">
      <c r="A825" s="644"/>
      <c r="B825" s="645"/>
    </row>
    <row r="826" spans="1:2" x14ac:dyDescent="0.3">
      <c r="A826" s="644"/>
      <c r="B826" s="645"/>
    </row>
    <row r="827" spans="1:2" x14ac:dyDescent="0.3">
      <c r="A827" s="644"/>
      <c r="B827" s="645"/>
    </row>
    <row r="828" spans="1:2" x14ac:dyDescent="0.3">
      <c r="A828" s="644"/>
      <c r="B828" s="645"/>
    </row>
    <row r="829" spans="1:2" x14ac:dyDescent="0.3">
      <c r="A829" s="644"/>
      <c r="B829" s="645"/>
    </row>
    <row r="830" spans="1:2" x14ac:dyDescent="0.3">
      <c r="A830" s="644"/>
      <c r="B830" s="645"/>
    </row>
    <row r="831" spans="1:2" x14ac:dyDescent="0.3">
      <c r="A831" s="644"/>
      <c r="B831" s="645"/>
    </row>
    <row r="832" spans="1:2" x14ac:dyDescent="0.3">
      <c r="A832" s="644"/>
      <c r="B832" s="645"/>
    </row>
    <row r="833" spans="1:2" x14ac:dyDescent="0.3">
      <c r="A833" s="644"/>
      <c r="B833" s="645"/>
    </row>
    <row r="834" spans="1:2" x14ac:dyDescent="0.3">
      <c r="A834" s="644"/>
      <c r="B834" s="645"/>
    </row>
    <row r="835" spans="1:2" x14ac:dyDescent="0.3">
      <c r="A835" s="644"/>
      <c r="B835" s="645"/>
    </row>
    <row r="836" spans="1:2" x14ac:dyDescent="0.3">
      <c r="A836" s="644"/>
      <c r="B836" s="645"/>
    </row>
    <row r="837" spans="1:2" x14ac:dyDescent="0.3">
      <c r="A837" s="644"/>
      <c r="B837" s="645"/>
    </row>
    <row r="838" spans="1:2" x14ac:dyDescent="0.3">
      <c r="A838" s="644"/>
      <c r="B838" s="645"/>
    </row>
    <row r="839" spans="1:2" x14ac:dyDescent="0.3">
      <c r="A839" s="644"/>
      <c r="B839" s="645"/>
    </row>
    <row r="840" spans="1:2" x14ac:dyDescent="0.3">
      <c r="A840" s="644"/>
      <c r="B840" s="645"/>
    </row>
    <row r="841" spans="1:2" x14ac:dyDescent="0.3">
      <c r="A841" s="644"/>
      <c r="B841" s="645"/>
    </row>
    <row r="842" spans="1:2" x14ac:dyDescent="0.3">
      <c r="A842" s="644"/>
      <c r="B842" s="645"/>
    </row>
    <row r="843" spans="1:2" x14ac:dyDescent="0.3">
      <c r="A843" s="644"/>
      <c r="B843" s="645"/>
    </row>
    <row r="844" spans="1:2" x14ac:dyDescent="0.3">
      <c r="A844" s="644"/>
      <c r="B844" s="645"/>
    </row>
    <row r="845" spans="1:2" x14ac:dyDescent="0.3">
      <c r="A845" s="644"/>
      <c r="B845" s="645"/>
    </row>
    <row r="846" spans="1:2" x14ac:dyDescent="0.3">
      <c r="A846" s="644"/>
      <c r="B846" s="645"/>
    </row>
    <row r="847" spans="1:2" x14ac:dyDescent="0.3">
      <c r="A847" s="644"/>
      <c r="B847" s="645"/>
    </row>
    <row r="848" spans="1:2" x14ac:dyDescent="0.3">
      <c r="A848" s="644"/>
      <c r="B848" s="645"/>
    </row>
    <row r="849" spans="1:2" x14ac:dyDescent="0.3">
      <c r="A849" s="644"/>
      <c r="B849" s="645"/>
    </row>
    <row r="850" spans="1:2" x14ac:dyDescent="0.3">
      <c r="A850" s="644"/>
      <c r="B850" s="645"/>
    </row>
    <row r="851" spans="1:2" x14ac:dyDescent="0.3">
      <c r="A851" s="644"/>
      <c r="B851" s="645"/>
    </row>
    <row r="852" spans="1:2" x14ac:dyDescent="0.3">
      <c r="A852" s="644"/>
      <c r="B852" s="645"/>
    </row>
    <row r="853" spans="1:2" x14ac:dyDescent="0.3">
      <c r="A853" s="644"/>
      <c r="B853" s="645"/>
    </row>
    <row r="854" spans="1:2" x14ac:dyDescent="0.3">
      <c r="A854" s="644"/>
      <c r="B854" s="645"/>
    </row>
    <row r="855" spans="1:2" x14ac:dyDescent="0.3">
      <c r="A855" s="644"/>
      <c r="B855" s="645"/>
    </row>
    <row r="856" spans="1:2" x14ac:dyDescent="0.3">
      <c r="A856" s="644"/>
      <c r="B856" s="645"/>
    </row>
    <row r="857" spans="1:2" x14ac:dyDescent="0.3">
      <c r="A857" s="644"/>
      <c r="B857" s="645"/>
    </row>
    <row r="858" spans="1:2" x14ac:dyDescent="0.3">
      <c r="A858" s="644"/>
      <c r="B858" s="645"/>
    </row>
    <row r="859" spans="1:2" x14ac:dyDescent="0.3">
      <c r="A859" s="644"/>
      <c r="B859" s="645"/>
    </row>
    <row r="860" spans="1:2" x14ac:dyDescent="0.3">
      <c r="A860" s="644"/>
      <c r="B860" s="645"/>
    </row>
    <row r="861" spans="1:2" x14ac:dyDescent="0.3">
      <c r="A861" s="644"/>
      <c r="B861" s="645"/>
    </row>
    <row r="862" spans="1:2" x14ac:dyDescent="0.3">
      <c r="A862" s="644"/>
      <c r="B862" s="645"/>
    </row>
    <row r="863" spans="1:2" x14ac:dyDescent="0.3">
      <c r="A863" s="644"/>
      <c r="B863" s="645"/>
    </row>
    <row r="864" spans="1:2" x14ac:dyDescent="0.3">
      <c r="A864" s="644"/>
      <c r="B864" s="645"/>
    </row>
    <row r="865" spans="1:2" x14ac:dyDescent="0.3">
      <c r="A865" s="644"/>
      <c r="B865" s="645"/>
    </row>
    <row r="866" spans="1:2" x14ac:dyDescent="0.3">
      <c r="A866" s="644"/>
      <c r="B866" s="645"/>
    </row>
    <row r="867" spans="1:2" x14ac:dyDescent="0.3">
      <c r="A867" s="644"/>
      <c r="B867" s="645"/>
    </row>
    <row r="868" spans="1:2" x14ac:dyDescent="0.3">
      <c r="A868" s="644"/>
      <c r="B868" s="645"/>
    </row>
    <row r="869" spans="1:2" x14ac:dyDescent="0.3">
      <c r="A869" s="644"/>
      <c r="B869" s="645"/>
    </row>
    <row r="870" spans="1:2" x14ac:dyDescent="0.3">
      <c r="A870" s="644"/>
      <c r="B870" s="645"/>
    </row>
    <row r="871" spans="1:2" x14ac:dyDescent="0.3">
      <c r="A871" s="644"/>
      <c r="B871" s="645"/>
    </row>
    <row r="872" spans="1:2" x14ac:dyDescent="0.3">
      <c r="A872" s="644"/>
      <c r="B872" s="645"/>
    </row>
    <row r="873" spans="1:2" x14ac:dyDescent="0.3">
      <c r="A873" s="644"/>
      <c r="B873" s="645"/>
    </row>
    <row r="874" spans="1:2" x14ac:dyDescent="0.3">
      <c r="A874" s="644"/>
      <c r="B874" s="645"/>
    </row>
    <row r="875" spans="1:2" x14ac:dyDescent="0.3">
      <c r="A875" s="644"/>
      <c r="B875" s="645"/>
    </row>
    <row r="876" spans="1:2" x14ac:dyDescent="0.3">
      <c r="A876" s="644"/>
      <c r="B876" s="645"/>
    </row>
    <row r="877" spans="1:2" x14ac:dyDescent="0.3">
      <c r="A877" s="644"/>
      <c r="B877" s="645"/>
    </row>
    <row r="878" spans="1:2" x14ac:dyDescent="0.3">
      <c r="A878" s="644"/>
      <c r="B878" s="645"/>
    </row>
    <row r="879" spans="1:2" x14ac:dyDescent="0.3">
      <c r="A879" s="644"/>
      <c r="B879" s="645"/>
    </row>
    <row r="880" spans="1:2" x14ac:dyDescent="0.3">
      <c r="A880" s="644"/>
      <c r="B880" s="645"/>
    </row>
    <row r="881" spans="1:2" x14ac:dyDescent="0.3">
      <c r="A881" s="644"/>
      <c r="B881" s="645"/>
    </row>
    <row r="882" spans="1:2" x14ac:dyDescent="0.3">
      <c r="A882" s="644"/>
      <c r="B882" s="645"/>
    </row>
    <row r="883" spans="1:2" x14ac:dyDescent="0.3">
      <c r="A883" s="644"/>
      <c r="B883" s="645"/>
    </row>
    <row r="884" spans="1:2" x14ac:dyDescent="0.3">
      <c r="A884" s="644"/>
      <c r="B884" s="645"/>
    </row>
    <row r="885" spans="1:2" x14ac:dyDescent="0.3">
      <c r="A885" s="644"/>
      <c r="B885" s="645"/>
    </row>
    <row r="886" spans="1:2" x14ac:dyDescent="0.3">
      <c r="A886" s="644"/>
      <c r="B886" s="645"/>
    </row>
    <row r="887" spans="1:2" x14ac:dyDescent="0.3">
      <c r="A887" s="644"/>
      <c r="B887" s="645"/>
    </row>
    <row r="888" spans="1:2" x14ac:dyDescent="0.3">
      <c r="A888" s="644"/>
      <c r="B888" s="645"/>
    </row>
    <row r="889" spans="1:2" x14ac:dyDescent="0.3">
      <c r="A889" s="644"/>
      <c r="B889" s="645"/>
    </row>
    <row r="890" spans="1:2" x14ac:dyDescent="0.3">
      <c r="A890" s="644"/>
      <c r="B890" s="645"/>
    </row>
    <row r="891" spans="1:2" x14ac:dyDescent="0.3">
      <c r="A891" s="644"/>
      <c r="B891" s="645"/>
    </row>
    <row r="892" spans="1:2" x14ac:dyDescent="0.3">
      <c r="A892" s="644"/>
      <c r="B892" s="645"/>
    </row>
    <row r="893" spans="1:2" x14ac:dyDescent="0.3">
      <c r="A893" s="644"/>
      <c r="B893" s="645"/>
    </row>
    <row r="894" spans="1:2" x14ac:dyDescent="0.3">
      <c r="A894" s="644"/>
      <c r="B894" s="645"/>
    </row>
    <row r="895" spans="1:2" x14ac:dyDescent="0.3">
      <c r="A895" s="644"/>
      <c r="B895" s="645"/>
    </row>
    <row r="896" spans="1:2" x14ac:dyDescent="0.3">
      <c r="A896" s="644"/>
      <c r="B896" s="645"/>
    </row>
    <row r="897" spans="1:2" x14ac:dyDescent="0.3">
      <c r="A897" s="644"/>
      <c r="B897" s="645"/>
    </row>
    <row r="898" spans="1:2" x14ac:dyDescent="0.3">
      <c r="A898" s="644"/>
      <c r="B898" s="645"/>
    </row>
    <row r="899" spans="1:2" x14ac:dyDescent="0.3">
      <c r="A899" s="644"/>
      <c r="B899" s="645"/>
    </row>
    <row r="900" spans="1:2" x14ac:dyDescent="0.3">
      <c r="A900" s="644"/>
      <c r="B900" s="645"/>
    </row>
    <row r="901" spans="1:2" x14ac:dyDescent="0.3">
      <c r="A901" s="644"/>
      <c r="B901" s="645"/>
    </row>
    <row r="902" spans="1:2" x14ac:dyDescent="0.3">
      <c r="A902" s="644"/>
      <c r="B902" s="645"/>
    </row>
    <row r="903" spans="1:2" x14ac:dyDescent="0.3">
      <c r="A903" s="644"/>
      <c r="B903" s="645"/>
    </row>
    <row r="904" spans="1:2" x14ac:dyDescent="0.3">
      <c r="A904" s="644"/>
      <c r="B904" s="645"/>
    </row>
    <row r="905" spans="1:2" x14ac:dyDescent="0.3">
      <c r="A905" s="644"/>
      <c r="B905" s="645"/>
    </row>
    <row r="906" spans="1:2" x14ac:dyDescent="0.3">
      <c r="A906" s="644"/>
      <c r="B906" s="645"/>
    </row>
    <row r="907" spans="1:2" x14ac:dyDescent="0.3">
      <c r="A907" s="644"/>
      <c r="B907" s="645"/>
    </row>
    <row r="908" spans="1:2" x14ac:dyDescent="0.3">
      <c r="A908" s="644"/>
      <c r="B908" s="645"/>
    </row>
    <row r="909" spans="1:2" x14ac:dyDescent="0.3">
      <c r="A909" s="644"/>
      <c r="B909" s="645"/>
    </row>
    <row r="910" spans="1:2" x14ac:dyDescent="0.3">
      <c r="A910" s="644"/>
      <c r="B910" s="645"/>
    </row>
    <row r="911" spans="1:2" x14ac:dyDescent="0.3">
      <c r="A911" s="644"/>
      <c r="B911" s="645"/>
    </row>
    <row r="912" spans="1:2" x14ac:dyDescent="0.3">
      <c r="A912" s="644"/>
      <c r="B912" s="645"/>
    </row>
    <row r="913" spans="1:2" x14ac:dyDescent="0.3">
      <c r="A913" s="644"/>
      <c r="B913" s="645"/>
    </row>
    <row r="914" spans="1:2" x14ac:dyDescent="0.3">
      <c r="A914" s="644"/>
      <c r="B914" s="645"/>
    </row>
    <row r="915" spans="1:2" x14ac:dyDescent="0.3">
      <c r="A915" s="644"/>
      <c r="B915" s="645"/>
    </row>
    <row r="916" spans="1:2" x14ac:dyDescent="0.3">
      <c r="A916" s="644"/>
      <c r="B916" s="645"/>
    </row>
    <row r="917" spans="1:2" x14ac:dyDescent="0.3">
      <c r="A917" s="644"/>
      <c r="B917" s="645"/>
    </row>
    <row r="918" spans="1:2" x14ac:dyDescent="0.3">
      <c r="A918" s="644"/>
      <c r="B918" s="645"/>
    </row>
    <row r="919" spans="1:2" x14ac:dyDescent="0.3">
      <c r="A919" s="644"/>
      <c r="B919" s="645"/>
    </row>
    <row r="920" spans="1:2" x14ac:dyDescent="0.3">
      <c r="A920" s="644"/>
      <c r="B920" s="645"/>
    </row>
    <row r="921" spans="1:2" x14ac:dyDescent="0.3">
      <c r="A921" s="644"/>
      <c r="B921" s="645"/>
    </row>
    <row r="922" spans="1:2" x14ac:dyDescent="0.3">
      <c r="A922" s="644"/>
      <c r="B922" s="645"/>
    </row>
    <row r="923" spans="1:2" x14ac:dyDescent="0.3">
      <c r="A923" s="644"/>
      <c r="B923" s="645"/>
    </row>
    <row r="924" spans="1:2" x14ac:dyDescent="0.3">
      <c r="A924" s="644"/>
      <c r="B924" s="645"/>
    </row>
    <row r="925" spans="1:2" x14ac:dyDescent="0.3">
      <c r="A925" s="644"/>
      <c r="B925" s="645"/>
    </row>
    <row r="926" spans="1:2" x14ac:dyDescent="0.3">
      <c r="A926" s="644"/>
      <c r="B926" s="645"/>
    </row>
    <row r="927" spans="1:2" x14ac:dyDescent="0.3">
      <c r="A927" s="644"/>
      <c r="B927" s="645"/>
    </row>
    <row r="928" spans="1:2" x14ac:dyDescent="0.3">
      <c r="A928" s="644"/>
      <c r="B928" s="645"/>
    </row>
    <row r="929" spans="1:2" x14ac:dyDescent="0.3">
      <c r="A929" s="644"/>
      <c r="B929" s="645"/>
    </row>
    <row r="930" spans="1:2" x14ac:dyDescent="0.3">
      <c r="A930" s="644"/>
      <c r="B930" s="645"/>
    </row>
    <row r="931" spans="1:2" x14ac:dyDescent="0.3">
      <c r="A931" s="644"/>
      <c r="B931" s="645"/>
    </row>
    <row r="932" spans="1:2" x14ac:dyDescent="0.3">
      <c r="A932" s="644"/>
      <c r="B932" s="645"/>
    </row>
    <row r="933" spans="1:2" x14ac:dyDescent="0.3">
      <c r="A933" s="644"/>
      <c r="B933" s="645"/>
    </row>
    <row r="934" spans="1:2" x14ac:dyDescent="0.3">
      <c r="A934" s="644"/>
      <c r="B934" s="645"/>
    </row>
    <row r="935" spans="1:2" x14ac:dyDescent="0.3">
      <c r="A935" s="644"/>
      <c r="B935" s="645"/>
    </row>
    <row r="936" spans="1:2" x14ac:dyDescent="0.3">
      <c r="A936" s="644"/>
      <c r="B936" s="645"/>
    </row>
    <row r="937" spans="1:2" x14ac:dyDescent="0.3">
      <c r="A937" s="644"/>
      <c r="B937" s="645"/>
    </row>
    <row r="938" spans="1:2" x14ac:dyDescent="0.3">
      <c r="A938" s="644"/>
      <c r="B938" s="645"/>
    </row>
    <row r="939" spans="1:2" x14ac:dyDescent="0.3">
      <c r="A939" s="644"/>
      <c r="B939" s="645"/>
    </row>
    <row r="940" spans="1:2" x14ac:dyDescent="0.3">
      <c r="A940" s="644"/>
      <c r="B940" s="645"/>
    </row>
    <row r="941" spans="1:2" x14ac:dyDescent="0.3">
      <c r="A941" s="644"/>
      <c r="B941" s="645"/>
    </row>
    <row r="942" spans="1:2" x14ac:dyDescent="0.3">
      <c r="A942" s="644"/>
      <c r="B942" s="645"/>
    </row>
    <row r="943" spans="1:2" x14ac:dyDescent="0.3">
      <c r="A943" s="644"/>
      <c r="B943" s="645"/>
    </row>
    <row r="944" spans="1:2" x14ac:dyDescent="0.3">
      <c r="A944" s="644"/>
      <c r="B944" s="645"/>
    </row>
    <row r="945" spans="1:2" x14ac:dyDescent="0.3">
      <c r="A945" s="644"/>
      <c r="B945" s="645"/>
    </row>
    <row r="946" spans="1:2" x14ac:dyDescent="0.3">
      <c r="A946" s="644"/>
      <c r="B946" s="645"/>
    </row>
    <row r="947" spans="1:2" x14ac:dyDescent="0.3">
      <c r="A947" s="644"/>
      <c r="B947" s="645"/>
    </row>
    <row r="948" spans="1:2" x14ac:dyDescent="0.3">
      <c r="A948" s="644"/>
      <c r="B948" s="645"/>
    </row>
    <row r="949" spans="1:2" x14ac:dyDescent="0.3">
      <c r="A949" s="644"/>
      <c r="B949" s="645"/>
    </row>
    <row r="950" spans="1:2" x14ac:dyDescent="0.3">
      <c r="A950" s="644"/>
      <c r="B950" s="645"/>
    </row>
    <row r="951" spans="1:2" x14ac:dyDescent="0.3">
      <c r="A951" s="644"/>
      <c r="B951" s="645"/>
    </row>
    <row r="952" spans="1:2" x14ac:dyDescent="0.3">
      <c r="A952" s="644"/>
      <c r="B952" s="645"/>
    </row>
    <row r="953" spans="1:2" x14ac:dyDescent="0.3">
      <c r="A953" s="644"/>
      <c r="B953" s="645"/>
    </row>
    <row r="954" spans="1:2" x14ac:dyDescent="0.3">
      <c r="A954" s="644"/>
      <c r="B954" s="645"/>
    </row>
    <row r="955" spans="1:2" x14ac:dyDescent="0.3">
      <c r="A955" s="644"/>
      <c r="B955" s="645"/>
    </row>
    <row r="956" spans="1:2" x14ac:dyDescent="0.3">
      <c r="A956" s="644"/>
      <c r="B956" s="645"/>
    </row>
    <row r="957" spans="1:2" x14ac:dyDescent="0.3">
      <c r="A957" s="644"/>
      <c r="B957" s="645"/>
    </row>
    <row r="958" spans="1:2" x14ac:dyDescent="0.3">
      <c r="A958" s="644"/>
      <c r="B958" s="645"/>
    </row>
    <row r="959" spans="1:2" x14ac:dyDescent="0.3">
      <c r="A959" s="644"/>
      <c r="B959" s="645"/>
    </row>
    <row r="960" spans="1:2" x14ac:dyDescent="0.3">
      <c r="A960" s="644"/>
      <c r="B960" s="645"/>
    </row>
    <row r="961" spans="1:2" x14ac:dyDescent="0.3">
      <c r="A961" s="644"/>
      <c r="B961" s="645"/>
    </row>
    <row r="962" spans="1:2" x14ac:dyDescent="0.3">
      <c r="A962" s="644"/>
      <c r="B962" s="645"/>
    </row>
    <row r="963" spans="1:2" x14ac:dyDescent="0.3">
      <c r="A963" s="644"/>
      <c r="B963" s="645"/>
    </row>
    <row r="964" spans="1:2" x14ac:dyDescent="0.3">
      <c r="A964" s="644"/>
      <c r="B964" s="645"/>
    </row>
    <row r="965" spans="1:2" x14ac:dyDescent="0.3">
      <c r="A965" s="644"/>
      <c r="B965" s="645"/>
    </row>
    <row r="966" spans="1:2" x14ac:dyDescent="0.3">
      <c r="A966" s="644"/>
      <c r="B966" s="645"/>
    </row>
    <row r="967" spans="1:2" x14ac:dyDescent="0.3">
      <c r="A967" s="644"/>
      <c r="B967" s="645"/>
    </row>
    <row r="968" spans="1:2" x14ac:dyDescent="0.3">
      <c r="A968" s="644"/>
      <c r="B968" s="645"/>
    </row>
    <row r="969" spans="1:2" x14ac:dyDescent="0.3">
      <c r="A969" s="644"/>
      <c r="B969" s="645"/>
    </row>
    <row r="970" spans="1:2" x14ac:dyDescent="0.3">
      <c r="A970" s="644"/>
      <c r="B970" s="645"/>
    </row>
    <row r="971" spans="1:2" x14ac:dyDescent="0.3">
      <c r="A971" s="644"/>
      <c r="B971" s="645"/>
    </row>
    <row r="972" spans="1:2" x14ac:dyDescent="0.3">
      <c r="A972" s="644"/>
      <c r="B972" s="645"/>
    </row>
    <row r="973" spans="1:2" x14ac:dyDescent="0.3">
      <c r="A973" s="644"/>
      <c r="B973" s="645"/>
    </row>
    <row r="974" spans="1:2" x14ac:dyDescent="0.3">
      <c r="A974" s="644"/>
      <c r="B974" s="645"/>
    </row>
    <row r="975" spans="1:2" x14ac:dyDescent="0.3">
      <c r="A975" s="644"/>
      <c r="B975" s="645"/>
    </row>
    <row r="976" spans="1:2" x14ac:dyDescent="0.3">
      <c r="A976" s="644"/>
      <c r="B976" s="645"/>
    </row>
    <row r="977" spans="1:2" x14ac:dyDescent="0.3">
      <c r="A977" s="644"/>
      <c r="B977" s="645"/>
    </row>
    <row r="978" spans="1:2" x14ac:dyDescent="0.3">
      <c r="A978" s="644"/>
      <c r="B978" s="645"/>
    </row>
    <row r="979" spans="1:2" x14ac:dyDescent="0.3">
      <c r="A979" s="644"/>
      <c r="B979" s="645"/>
    </row>
    <row r="980" spans="1:2" x14ac:dyDescent="0.3">
      <c r="A980" s="644"/>
      <c r="B980" s="645"/>
    </row>
    <row r="981" spans="1:2" x14ac:dyDescent="0.3">
      <c r="A981" s="644"/>
      <c r="B981" s="645"/>
    </row>
    <row r="982" spans="1:2" x14ac:dyDescent="0.3">
      <c r="A982" s="644"/>
      <c r="B982" s="645"/>
    </row>
    <row r="983" spans="1:2" x14ac:dyDescent="0.3">
      <c r="A983" s="644"/>
      <c r="B983" s="645"/>
    </row>
    <row r="984" spans="1:2" x14ac:dyDescent="0.3">
      <c r="A984" s="644"/>
      <c r="B984" s="645"/>
    </row>
    <row r="985" spans="1:2" x14ac:dyDescent="0.3">
      <c r="A985" s="644"/>
      <c r="B985" s="645"/>
    </row>
    <row r="986" spans="1:2" x14ac:dyDescent="0.3">
      <c r="A986" s="644"/>
      <c r="B986" s="645"/>
    </row>
    <row r="987" spans="1:2" x14ac:dyDescent="0.3">
      <c r="A987" s="644"/>
      <c r="B987" s="645"/>
    </row>
    <row r="988" spans="1:2" x14ac:dyDescent="0.3">
      <c r="A988" s="644"/>
      <c r="B988" s="645"/>
    </row>
    <row r="989" spans="1:2" x14ac:dyDescent="0.3">
      <c r="A989" s="644"/>
      <c r="B989" s="645"/>
    </row>
    <row r="990" spans="1:2" x14ac:dyDescent="0.3">
      <c r="A990" s="644"/>
      <c r="B990" s="645"/>
    </row>
    <row r="991" spans="1:2" x14ac:dyDescent="0.3">
      <c r="A991" s="644"/>
      <c r="B991" s="645"/>
    </row>
    <row r="992" spans="1:2" x14ac:dyDescent="0.3">
      <c r="A992" s="644"/>
      <c r="B992" s="645"/>
    </row>
    <row r="993" spans="1:2" x14ac:dyDescent="0.3">
      <c r="A993" s="644"/>
      <c r="B993" s="645"/>
    </row>
    <row r="994" spans="1:2" x14ac:dyDescent="0.3">
      <c r="A994" s="644"/>
      <c r="B994" s="645"/>
    </row>
    <row r="995" spans="1:2" x14ac:dyDescent="0.3">
      <c r="A995" s="644"/>
      <c r="B995" s="645"/>
    </row>
    <row r="996" spans="1:2" x14ac:dyDescent="0.3">
      <c r="A996" s="644"/>
      <c r="B996" s="645"/>
    </row>
    <row r="997" spans="1:2" x14ac:dyDescent="0.3">
      <c r="A997" s="644"/>
      <c r="B997" s="645"/>
    </row>
    <row r="998" spans="1:2" x14ac:dyDescent="0.3">
      <c r="A998" s="644"/>
      <c r="B998" s="645"/>
    </row>
    <row r="999" spans="1:2" x14ac:dyDescent="0.3">
      <c r="A999" s="644"/>
      <c r="B999" s="645"/>
    </row>
    <row r="1000" spans="1:2" x14ac:dyDescent="0.3">
      <c r="A1000" s="644"/>
      <c r="B1000" s="645"/>
    </row>
    <row r="1001" spans="1:2" x14ac:dyDescent="0.3">
      <c r="A1001" s="644"/>
      <c r="B1001" s="645"/>
    </row>
    <row r="1002" spans="1:2" x14ac:dyDescent="0.3">
      <c r="A1002" s="644"/>
      <c r="B1002" s="645"/>
    </row>
    <row r="1003" spans="1:2" x14ac:dyDescent="0.3">
      <c r="A1003" s="644"/>
      <c r="B1003" s="645"/>
    </row>
    <row r="1004" spans="1:2" x14ac:dyDescent="0.3">
      <c r="A1004" s="644"/>
      <c r="B1004" s="645"/>
    </row>
    <row r="1005" spans="1:2" x14ac:dyDescent="0.3">
      <c r="A1005" s="644"/>
      <c r="B1005" s="645"/>
    </row>
    <row r="1006" spans="1:2" x14ac:dyDescent="0.3">
      <c r="A1006" s="644"/>
      <c r="B1006" s="645"/>
    </row>
    <row r="1007" spans="1:2" x14ac:dyDescent="0.3">
      <c r="A1007" s="644"/>
      <c r="B1007" s="645"/>
    </row>
    <row r="1008" spans="1:2" x14ac:dyDescent="0.3">
      <c r="A1008" s="644"/>
      <c r="B1008" s="645"/>
    </row>
    <row r="1009" spans="1:2" x14ac:dyDescent="0.3">
      <c r="A1009" s="644"/>
      <c r="B1009" s="645"/>
    </row>
    <row r="1010" spans="1:2" x14ac:dyDescent="0.3">
      <c r="A1010" s="644"/>
      <c r="B1010" s="645"/>
    </row>
    <row r="1011" spans="1:2" x14ac:dyDescent="0.3">
      <c r="A1011" s="644"/>
      <c r="B1011" s="645"/>
    </row>
    <row r="1012" spans="1:2" x14ac:dyDescent="0.3">
      <c r="A1012" s="644"/>
      <c r="B1012" s="645"/>
    </row>
    <row r="1013" spans="1:2" x14ac:dyDescent="0.3">
      <c r="A1013" s="644"/>
      <c r="B1013" s="645"/>
    </row>
    <row r="1014" spans="1:2" x14ac:dyDescent="0.3">
      <c r="A1014" s="644"/>
      <c r="B1014" s="645"/>
    </row>
    <row r="1015" spans="1:2" x14ac:dyDescent="0.3">
      <c r="A1015" s="644"/>
      <c r="B1015" s="645"/>
    </row>
    <row r="1016" spans="1:2" x14ac:dyDescent="0.3">
      <c r="A1016" s="644"/>
      <c r="B1016" s="645"/>
    </row>
    <row r="1017" spans="1:2" x14ac:dyDescent="0.3">
      <c r="A1017" s="644"/>
      <c r="B1017" s="645"/>
    </row>
    <row r="1018" spans="1:2" x14ac:dyDescent="0.3">
      <c r="A1018" s="644"/>
      <c r="B1018" s="645"/>
    </row>
    <row r="1019" spans="1:2" x14ac:dyDescent="0.3">
      <c r="A1019" s="644"/>
      <c r="B1019" s="645"/>
    </row>
    <row r="1020" spans="1:2" x14ac:dyDescent="0.3">
      <c r="A1020" s="644"/>
      <c r="B1020" s="645"/>
    </row>
    <row r="1021" spans="1:2" x14ac:dyDescent="0.3">
      <c r="A1021" s="644"/>
      <c r="B1021" s="645"/>
    </row>
    <row r="1022" spans="1:2" x14ac:dyDescent="0.3">
      <c r="A1022" s="644"/>
      <c r="B1022" s="645"/>
    </row>
    <row r="1023" spans="1:2" x14ac:dyDescent="0.3">
      <c r="A1023" s="644"/>
      <c r="B1023" s="645"/>
    </row>
    <row r="1024" spans="1:2" x14ac:dyDescent="0.3">
      <c r="A1024" s="644"/>
      <c r="B1024" s="645"/>
    </row>
    <row r="1025" spans="1:2" x14ac:dyDescent="0.3">
      <c r="A1025" s="644"/>
      <c r="B1025" s="645"/>
    </row>
    <row r="1026" spans="1:2" x14ac:dyDescent="0.3">
      <c r="A1026" s="644"/>
      <c r="B1026" s="645"/>
    </row>
    <row r="1027" spans="1:2" x14ac:dyDescent="0.3">
      <c r="A1027" s="644"/>
      <c r="B1027" s="645"/>
    </row>
    <row r="1028" spans="1:2" x14ac:dyDescent="0.3">
      <c r="A1028" s="644"/>
      <c r="B1028" s="645"/>
    </row>
    <row r="1029" spans="1:2" x14ac:dyDescent="0.3">
      <c r="A1029" s="644"/>
      <c r="B1029" s="645"/>
    </row>
    <row r="1030" spans="1:2" x14ac:dyDescent="0.3">
      <c r="A1030" s="644"/>
      <c r="B1030" s="645"/>
    </row>
    <row r="1031" spans="1:2" x14ac:dyDescent="0.3">
      <c r="A1031" s="644"/>
      <c r="B1031" s="645"/>
    </row>
    <row r="1032" spans="1:2" x14ac:dyDescent="0.3">
      <c r="A1032" s="644"/>
      <c r="B1032" s="645"/>
    </row>
    <row r="1033" spans="1:2" x14ac:dyDescent="0.3">
      <c r="A1033" s="644"/>
      <c r="B1033" s="645"/>
    </row>
    <row r="1034" spans="1:2" x14ac:dyDescent="0.3">
      <c r="A1034" s="644"/>
      <c r="B1034" s="645"/>
    </row>
    <row r="1035" spans="1:2" x14ac:dyDescent="0.3">
      <c r="A1035" s="644"/>
      <c r="B1035" s="645"/>
    </row>
    <row r="1036" spans="1:2" x14ac:dyDescent="0.3">
      <c r="A1036" s="644"/>
      <c r="B1036" s="645"/>
    </row>
    <row r="1037" spans="1:2" x14ac:dyDescent="0.3">
      <c r="A1037" s="644"/>
      <c r="B1037" s="645"/>
    </row>
    <row r="1038" spans="1:2" x14ac:dyDescent="0.3">
      <c r="A1038" s="644"/>
      <c r="B1038" s="645"/>
    </row>
    <row r="1039" spans="1:2" x14ac:dyDescent="0.3">
      <c r="A1039" s="644"/>
      <c r="B1039" s="645"/>
    </row>
    <row r="1040" spans="1:2" x14ac:dyDescent="0.3">
      <c r="A1040" s="644"/>
      <c r="B1040" s="645"/>
    </row>
    <row r="1041" spans="1:2" x14ac:dyDescent="0.3">
      <c r="A1041" s="644"/>
      <c r="B1041" s="645"/>
    </row>
    <row r="1042" spans="1:2" x14ac:dyDescent="0.3">
      <c r="A1042" s="644"/>
      <c r="B1042" s="645"/>
    </row>
    <row r="1043" spans="1:2" x14ac:dyDescent="0.3">
      <c r="A1043" s="644"/>
      <c r="B1043" s="645"/>
    </row>
    <row r="1044" spans="1:2" x14ac:dyDescent="0.3">
      <c r="A1044" s="644"/>
      <c r="B1044" s="645"/>
    </row>
    <row r="1045" spans="1:2" x14ac:dyDescent="0.3">
      <c r="A1045" s="644"/>
      <c r="B1045" s="645"/>
    </row>
    <row r="1046" spans="1:2" x14ac:dyDescent="0.3">
      <c r="A1046" s="644"/>
      <c r="B1046" s="645"/>
    </row>
    <row r="1047" spans="1:2" x14ac:dyDescent="0.3">
      <c r="A1047" s="644"/>
      <c r="B1047" s="645"/>
    </row>
    <row r="1048" spans="1:2" x14ac:dyDescent="0.3">
      <c r="A1048" s="644"/>
      <c r="B1048" s="645"/>
    </row>
    <row r="1049" spans="1:2" x14ac:dyDescent="0.3">
      <c r="A1049" s="644"/>
      <c r="B1049" s="645"/>
    </row>
    <row r="1050" spans="1:2" x14ac:dyDescent="0.3">
      <c r="A1050" s="644"/>
      <c r="B1050" s="645"/>
    </row>
    <row r="1051" spans="1:2" x14ac:dyDescent="0.3">
      <c r="A1051" s="644"/>
      <c r="B1051" s="645"/>
    </row>
    <row r="1052" spans="1:2" x14ac:dyDescent="0.3">
      <c r="A1052" s="644"/>
      <c r="B1052" s="645"/>
    </row>
    <row r="1053" spans="1:2" x14ac:dyDescent="0.3">
      <c r="A1053" s="644"/>
      <c r="B1053" s="645"/>
    </row>
    <row r="1054" spans="1:2" x14ac:dyDescent="0.3">
      <c r="A1054" s="644"/>
      <c r="B1054" s="645"/>
    </row>
    <row r="1055" spans="1:2" x14ac:dyDescent="0.3">
      <c r="A1055" s="644"/>
      <c r="B1055" s="645"/>
    </row>
    <row r="1056" spans="1:2" x14ac:dyDescent="0.3">
      <c r="A1056" s="644"/>
      <c r="B1056" s="645"/>
    </row>
    <row r="1057" spans="1:2" x14ac:dyDescent="0.3">
      <c r="A1057" s="644"/>
      <c r="B1057" s="645"/>
    </row>
    <row r="1058" spans="1:2" x14ac:dyDescent="0.3">
      <c r="A1058" s="644"/>
      <c r="B1058" s="645"/>
    </row>
    <row r="1059" spans="1:2" x14ac:dyDescent="0.3">
      <c r="A1059" s="644"/>
      <c r="B1059" s="645"/>
    </row>
    <row r="1060" spans="1:2" x14ac:dyDescent="0.3">
      <c r="A1060" s="644"/>
      <c r="B1060" s="645"/>
    </row>
    <row r="1061" spans="1:2" x14ac:dyDescent="0.3">
      <c r="A1061" s="644"/>
      <c r="B1061" s="645"/>
    </row>
    <row r="1062" spans="1:2" x14ac:dyDescent="0.3">
      <c r="A1062" s="644"/>
      <c r="B1062" s="645"/>
    </row>
    <row r="1063" spans="1:2" x14ac:dyDescent="0.3">
      <c r="A1063" s="644"/>
      <c r="B1063" s="645"/>
    </row>
    <row r="1064" spans="1:2" x14ac:dyDescent="0.3">
      <c r="A1064" s="644"/>
      <c r="B1064" s="645"/>
    </row>
    <row r="1065" spans="1:2" x14ac:dyDescent="0.3">
      <c r="A1065" s="644"/>
      <c r="B1065" s="645"/>
    </row>
    <row r="1066" spans="1:2" x14ac:dyDescent="0.3">
      <c r="A1066" s="644"/>
      <c r="B1066" s="645"/>
    </row>
    <row r="1067" spans="1:2" x14ac:dyDescent="0.3">
      <c r="A1067" s="644"/>
      <c r="B1067" s="645"/>
    </row>
    <row r="1068" spans="1:2" x14ac:dyDescent="0.3">
      <c r="A1068" s="644"/>
      <c r="B1068" s="645"/>
    </row>
    <row r="1069" spans="1:2" x14ac:dyDescent="0.3">
      <c r="A1069" s="644"/>
      <c r="B1069" s="645"/>
    </row>
    <row r="1070" spans="1:2" x14ac:dyDescent="0.3">
      <c r="A1070" s="644"/>
      <c r="B1070" s="645"/>
    </row>
    <row r="1071" spans="1:2" x14ac:dyDescent="0.3">
      <c r="A1071" s="644"/>
      <c r="B1071" s="645"/>
    </row>
    <row r="1072" spans="1:2" x14ac:dyDescent="0.3">
      <c r="A1072" s="644"/>
      <c r="B1072" s="645"/>
    </row>
    <row r="1073" spans="1:2" x14ac:dyDescent="0.3">
      <c r="A1073" s="644"/>
      <c r="B1073" s="645"/>
    </row>
    <row r="1074" spans="1:2" x14ac:dyDescent="0.3">
      <c r="A1074" s="644"/>
      <c r="B1074" s="645"/>
    </row>
    <row r="1075" spans="1:2" x14ac:dyDescent="0.3">
      <c r="A1075" s="644"/>
      <c r="B1075" s="645"/>
    </row>
    <row r="1076" spans="1:2" x14ac:dyDescent="0.3">
      <c r="A1076" s="644"/>
      <c r="B1076" s="645"/>
    </row>
    <row r="1077" spans="1:2" x14ac:dyDescent="0.3">
      <c r="A1077" s="644"/>
      <c r="B1077" s="645"/>
    </row>
    <row r="1078" spans="1:2" x14ac:dyDescent="0.3">
      <c r="A1078" s="644"/>
      <c r="B1078" s="645"/>
    </row>
    <row r="1079" spans="1:2" x14ac:dyDescent="0.3">
      <c r="A1079" s="644"/>
      <c r="B1079" s="645"/>
    </row>
    <row r="1080" spans="1:2" x14ac:dyDescent="0.3">
      <c r="A1080" s="644"/>
      <c r="B1080" s="645"/>
    </row>
    <row r="1081" spans="1:2" x14ac:dyDescent="0.3">
      <c r="A1081" s="644"/>
      <c r="B1081" s="645"/>
    </row>
    <row r="1082" spans="1:2" x14ac:dyDescent="0.3">
      <c r="A1082" s="644"/>
      <c r="B1082" s="645"/>
    </row>
    <row r="1083" spans="1:2" x14ac:dyDescent="0.3">
      <c r="A1083" s="644"/>
      <c r="B1083" s="645"/>
    </row>
    <row r="1084" spans="1:2" x14ac:dyDescent="0.3">
      <c r="A1084" s="644"/>
      <c r="B1084" s="645"/>
    </row>
    <row r="1085" spans="1:2" x14ac:dyDescent="0.3">
      <c r="A1085" s="644"/>
      <c r="B1085" s="645"/>
    </row>
    <row r="1086" spans="1:2" x14ac:dyDescent="0.3">
      <c r="A1086" s="644"/>
      <c r="B1086" s="645"/>
    </row>
    <row r="1087" spans="1:2" x14ac:dyDescent="0.3">
      <c r="A1087" s="644"/>
      <c r="B1087" s="645"/>
    </row>
    <row r="1088" spans="1:2" x14ac:dyDescent="0.3">
      <c r="A1088" s="644"/>
      <c r="B1088" s="645"/>
    </row>
    <row r="1089" spans="1:2" x14ac:dyDescent="0.3">
      <c r="A1089" s="644"/>
      <c r="B1089" s="645"/>
    </row>
    <row r="1090" spans="1:2" x14ac:dyDescent="0.3">
      <c r="A1090" s="644"/>
      <c r="B1090" s="645"/>
    </row>
    <row r="1091" spans="1:2" x14ac:dyDescent="0.3">
      <c r="A1091" s="644"/>
      <c r="B1091" s="645"/>
    </row>
    <row r="1092" spans="1:2" x14ac:dyDescent="0.3">
      <c r="A1092" s="644"/>
      <c r="B1092" s="645"/>
    </row>
    <row r="1093" spans="1:2" x14ac:dyDescent="0.3">
      <c r="A1093" s="644"/>
      <c r="B1093" s="645"/>
    </row>
    <row r="1094" spans="1:2" x14ac:dyDescent="0.3">
      <c r="A1094" s="644"/>
      <c r="B1094" s="645"/>
    </row>
    <row r="1095" spans="1:2" x14ac:dyDescent="0.3">
      <c r="A1095" s="644"/>
      <c r="B1095" s="645"/>
    </row>
    <row r="1096" spans="1:2" x14ac:dyDescent="0.3">
      <c r="A1096" s="644"/>
      <c r="B1096" s="645"/>
    </row>
    <row r="1097" spans="1:2" x14ac:dyDescent="0.3">
      <c r="A1097" s="644"/>
      <c r="B1097" s="645"/>
    </row>
    <row r="1098" spans="1:2" x14ac:dyDescent="0.3">
      <c r="A1098" s="644"/>
      <c r="B1098" s="645"/>
    </row>
    <row r="1099" spans="1:2" x14ac:dyDescent="0.3">
      <c r="A1099" s="644"/>
      <c r="B1099" s="645"/>
    </row>
    <row r="1100" spans="1:2" x14ac:dyDescent="0.3">
      <c r="A1100" s="644"/>
      <c r="B1100" s="645"/>
    </row>
    <row r="1101" spans="1:2" x14ac:dyDescent="0.3">
      <c r="A1101" s="644"/>
      <c r="B1101" s="645"/>
    </row>
    <row r="1102" spans="1:2" x14ac:dyDescent="0.3">
      <c r="A1102" s="644"/>
      <c r="B1102" s="645"/>
    </row>
    <row r="1103" spans="1:2" x14ac:dyDescent="0.3">
      <c r="A1103" s="644"/>
      <c r="B1103" s="645"/>
    </row>
    <row r="1104" spans="1:2" x14ac:dyDescent="0.3">
      <c r="A1104" s="644"/>
      <c r="B1104" s="645"/>
    </row>
    <row r="1105" spans="1:2" x14ac:dyDescent="0.3">
      <c r="A1105" s="644"/>
      <c r="B1105" s="645"/>
    </row>
    <row r="1106" spans="1:2" x14ac:dyDescent="0.3">
      <c r="A1106" s="644"/>
      <c r="B1106" s="645"/>
    </row>
    <row r="1107" spans="1:2" x14ac:dyDescent="0.3">
      <c r="A1107" s="644"/>
      <c r="B1107" s="645"/>
    </row>
    <row r="1108" spans="1:2" x14ac:dyDescent="0.3">
      <c r="A1108" s="644"/>
      <c r="B1108" s="645"/>
    </row>
    <row r="1109" spans="1:2" x14ac:dyDescent="0.3">
      <c r="A1109" s="644"/>
      <c r="B1109" s="645"/>
    </row>
    <row r="1110" spans="1:2" x14ac:dyDescent="0.3">
      <c r="A1110" s="644"/>
      <c r="B1110" s="645"/>
    </row>
    <row r="1111" spans="1:2" x14ac:dyDescent="0.3">
      <c r="A1111" s="644"/>
      <c r="B1111" s="645"/>
    </row>
    <row r="1112" spans="1:2" x14ac:dyDescent="0.3">
      <c r="A1112" s="644"/>
      <c r="B1112" s="645"/>
    </row>
    <row r="1113" spans="1:2" x14ac:dyDescent="0.3">
      <c r="A1113" s="644"/>
      <c r="B1113" s="645"/>
    </row>
    <row r="1114" spans="1:2" x14ac:dyDescent="0.3">
      <c r="A1114" s="644"/>
      <c r="B1114" s="645"/>
    </row>
    <row r="1115" spans="1:2" x14ac:dyDescent="0.3">
      <c r="A1115" s="644"/>
      <c r="B1115" s="645"/>
    </row>
    <row r="1116" spans="1:2" x14ac:dyDescent="0.3">
      <c r="A1116" s="644"/>
      <c r="B1116" s="645"/>
    </row>
    <row r="1117" spans="1:2" x14ac:dyDescent="0.3">
      <c r="A1117" s="644"/>
      <c r="B1117" s="645"/>
    </row>
    <row r="1118" spans="1:2" x14ac:dyDescent="0.3">
      <c r="A1118" s="644"/>
      <c r="B1118" s="645"/>
    </row>
    <row r="1119" spans="1:2" x14ac:dyDescent="0.3">
      <c r="A1119" s="644"/>
      <c r="B1119" s="645"/>
    </row>
    <row r="1120" spans="1:2" x14ac:dyDescent="0.3">
      <c r="A1120" s="644"/>
      <c r="B1120" s="645"/>
    </row>
    <row r="1121" spans="1:2" x14ac:dyDescent="0.3">
      <c r="A1121" s="644"/>
      <c r="B1121" s="645"/>
    </row>
    <row r="1122" spans="1:2" x14ac:dyDescent="0.3">
      <c r="A1122" s="644"/>
      <c r="B1122" s="645"/>
    </row>
    <row r="1123" spans="1:2" x14ac:dyDescent="0.3">
      <c r="A1123" s="644"/>
      <c r="B1123" s="645"/>
    </row>
    <row r="1124" spans="1:2" x14ac:dyDescent="0.3">
      <c r="A1124" s="644"/>
      <c r="B1124" s="645"/>
    </row>
    <row r="1125" spans="1:2" x14ac:dyDescent="0.3">
      <c r="A1125" s="644"/>
      <c r="B1125" s="645"/>
    </row>
    <row r="1126" spans="1:2" x14ac:dyDescent="0.3">
      <c r="A1126" s="644"/>
      <c r="B1126" s="645"/>
    </row>
    <row r="1127" spans="1:2" x14ac:dyDescent="0.3">
      <c r="A1127" s="644"/>
      <c r="B1127" s="645"/>
    </row>
    <row r="1128" spans="1:2" x14ac:dyDescent="0.3">
      <c r="A1128" s="644"/>
      <c r="B1128" s="645"/>
    </row>
    <row r="1129" spans="1:2" x14ac:dyDescent="0.3">
      <c r="A1129" s="644"/>
      <c r="B1129" s="645"/>
    </row>
    <row r="1130" spans="1:2" x14ac:dyDescent="0.3">
      <c r="A1130" s="644"/>
      <c r="B1130" s="645"/>
    </row>
    <row r="1131" spans="1:2" x14ac:dyDescent="0.3">
      <c r="A1131" s="644"/>
      <c r="B1131" s="645"/>
    </row>
    <row r="1132" spans="1:2" x14ac:dyDescent="0.3">
      <c r="A1132" s="644"/>
      <c r="B1132" s="645"/>
    </row>
    <row r="1133" spans="1:2" x14ac:dyDescent="0.3">
      <c r="A1133" s="644"/>
      <c r="B1133" s="645"/>
    </row>
    <row r="1134" spans="1:2" x14ac:dyDescent="0.3">
      <c r="A1134" s="644"/>
      <c r="B1134" s="645"/>
    </row>
    <row r="1135" spans="1:2" x14ac:dyDescent="0.3">
      <c r="A1135" s="644"/>
      <c r="B1135" s="645"/>
    </row>
    <row r="1136" spans="1:2" x14ac:dyDescent="0.3">
      <c r="A1136" s="644"/>
      <c r="B1136" s="645"/>
    </row>
    <row r="1137" spans="1:2" x14ac:dyDescent="0.3">
      <c r="A1137" s="644"/>
      <c r="B1137" s="645"/>
    </row>
    <row r="1138" spans="1:2" x14ac:dyDescent="0.3">
      <c r="A1138" s="644"/>
      <c r="B1138" s="645"/>
    </row>
    <row r="1139" spans="1:2" x14ac:dyDescent="0.3">
      <c r="A1139" s="644"/>
      <c r="B1139" s="645"/>
    </row>
    <row r="1140" spans="1:2" x14ac:dyDescent="0.3">
      <c r="A1140" s="644"/>
      <c r="B1140" s="645"/>
    </row>
    <row r="1141" spans="1:2" x14ac:dyDescent="0.3">
      <c r="A1141" s="644"/>
      <c r="B1141" s="645"/>
    </row>
    <row r="1142" spans="1:2" x14ac:dyDescent="0.3">
      <c r="A1142" s="644"/>
      <c r="B1142" s="645"/>
    </row>
    <row r="1143" spans="1:2" x14ac:dyDescent="0.3">
      <c r="A1143" s="644"/>
      <c r="B1143" s="645"/>
    </row>
    <row r="1144" spans="1:2" x14ac:dyDescent="0.3">
      <c r="A1144" s="644"/>
      <c r="B1144" s="645"/>
    </row>
    <row r="1145" spans="1:2" x14ac:dyDescent="0.3">
      <c r="A1145" s="644"/>
      <c r="B1145" s="645"/>
    </row>
    <row r="1146" spans="1:2" x14ac:dyDescent="0.3">
      <c r="A1146" s="644"/>
      <c r="B1146" s="645"/>
    </row>
    <row r="1147" spans="1:2" x14ac:dyDescent="0.3">
      <c r="A1147" s="644"/>
      <c r="B1147" s="645"/>
    </row>
    <row r="1148" spans="1:2" x14ac:dyDescent="0.3">
      <c r="A1148" s="644"/>
      <c r="B1148" s="645"/>
    </row>
    <row r="1149" spans="1:2" x14ac:dyDescent="0.3">
      <c r="A1149" s="644"/>
      <c r="B1149" s="645"/>
    </row>
    <row r="1150" spans="1:2" x14ac:dyDescent="0.3">
      <c r="A1150" s="644"/>
      <c r="B1150" s="645"/>
    </row>
    <row r="1151" spans="1:2" x14ac:dyDescent="0.3">
      <c r="A1151" s="644"/>
      <c r="B1151" s="645"/>
    </row>
    <row r="1152" spans="1:2" x14ac:dyDescent="0.3">
      <c r="A1152" s="644"/>
      <c r="B1152" s="645"/>
    </row>
    <row r="1153" spans="1:2" x14ac:dyDescent="0.3">
      <c r="A1153" s="644"/>
      <c r="B1153" s="645"/>
    </row>
    <row r="1154" spans="1:2" x14ac:dyDescent="0.3">
      <c r="A1154" s="644"/>
      <c r="B1154" s="645"/>
    </row>
    <row r="1155" spans="1:2" x14ac:dyDescent="0.3">
      <c r="A1155" s="644"/>
      <c r="B1155" s="645"/>
    </row>
    <row r="1156" spans="1:2" x14ac:dyDescent="0.3">
      <c r="A1156" s="644"/>
      <c r="B1156" s="645"/>
    </row>
    <row r="1157" spans="1:2" x14ac:dyDescent="0.3">
      <c r="A1157" s="644"/>
      <c r="B1157" s="645"/>
    </row>
    <row r="1158" spans="1:2" x14ac:dyDescent="0.3">
      <c r="A1158" s="644"/>
      <c r="B1158" s="645"/>
    </row>
    <row r="1159" spans="1:2" x14ac:dyDescent="0.3">
      <c r="A1159" s="644"/>
      <c r="B1159" s="645"/>
    </row>
    <row r="1160" spans="1:2" x14ac:dyDescent="0.3">
      <c r="A1160" s="644"/>
      <c r="B1160" s="645"/>
    </row>
    <row r="1161" spans="1:2" x14ac:dyDescent="0.3">
      <c r="A1161" s="644"/>
      <c r="B1161" s="645"/>
    </row>
    <row r="1162" spans="1:2" x14ac:dyDescent="0.3">
      <c r="A1162" s="644"/>
      <c r="B1162" s="645"/>
    </row>
    <row r="1163" spans="1:2" x14ac:dyDescent="0.3">
      <c r="A1163" s="644"/>
      <c r="B1163" s="645"/>
    </row>
    <row r="1164" spans="1:2" x14ac:dyDescent="0.3">
      <c r="A1164" s="644"/>
      <c r="B1164" s="645"/>
    </row>
    <row r="1165" spans="1:2" x14ac:dyDescent="0.3">
      <c r="A1165" s="644"/>
      <c r="B1165" s="645"/>
    </row>
    <row r="1166" spans="1:2" x14ac:dyDescent="0.3">
      <c r="A1166" s="644"/>
      <c r="B1166" s="645"/>
    </row>
    <row r="1167" spans="1:2" x14ac:dyDescent="0.3">
      <c r="A1167" s="644"/>
      <c r="B1167" s="645"/>
    </row>
    <row r="1168" spans="1:2" x14ac:dyDescent="0.3">
      <c r="A1168" s="644"/>
      <c r="B1168" s="645"/>
    </row>
    <row r="1169" spans="1:2" x14ac:dyDescent="0.3">
      <c r="A1169" s="644"/>
      <c r="B1169" s="645"/>
    </row>
    <row r="1170" spans="1:2" x14ac:dyDescent="0.3">
      <c r="A1170" s="644"/>
      <c r="B1170" s="645"/>
    </row>
    <row r="1171" spans="1:2" x14ac:dyDescent="0.3">
      <c r="A1171" s="644"/>
      <c r="B1171" s="645"/>
    </row>
    <row r="1172" spans="1:2" x14ac:dyDescent="0.3">
      <c r="A1172" s="644"/>
      <c r="B1172" s="645"/>
    </row>
    <row r="1173" spans="1:2" x14ac:dyDescent="0.3">
      <c r="A1173" s="644"/>
      <c r="B1173" s="645"/>
    </row>
    <row r="1174" spans="1:2" x14ac:dyDescent="0.3">
      <c r="A1174" s="644"/>
      <c r="B1174" s="645"/>
    </row>
    <row r="1175" spans="1:2" x14ac:dyDescent="0.3">
      <c r="A1175" s="644"/>
      <c r="B1175" s="645"/>
    </row>
    <row r="1176" spans="1:2" x14ac:dyDescent="0.3">
      <c r="A1176" s="644"/>
      <c r="B1176" s="645"/>
    </row>
    <row r="1177" spans="1:2" x14ac:dyDescent="0.3">
      <c r="A1177" s="644"/>
      <c r="B1177" s="645"/>
    </row>
    <row r="1178" spans="1:2" x14ac:dyDescent="0.3">
      <c r="A1178" s="644"/>
      <c r="B1178" s="645"/>
    </row>
    <row r="1179" spans="1:2" x14ac:dyDescent="0.3">
      <c r="A1179" s="644"/>
      <c r="B1179" s="645"/>
    </row>
    <row r="1180" spans="1:2" x14ac:dyDescent="0.3">
      <c r="A1180" s="644"/>
      <c r="B1180" s="645"/>
    </row>
    <row r="1181" spans="1:2" x14ac:dyDescent="0.3">
      <c r="A1181" s="644"/>
      <c r="B1181" s="645"/>
    </row>
    <row r="1182" spans="1:2" x14ac:dyDescent="0.3">
      <c r="A1182" s="644"/>
      <c r="B1182" s="645"/>
    </row>
    <row r="1183" spans="1:2" x14ac:dyDescent="0.3">
      <c r="A1183" s="644"/>
      <c r="B1183" s="645"/>
    </row>
    <row r="1184" spans="1:2" x14ac:dyDescent="0.3">
      <c r="A1184" s="644"/>
      <c r="B1184" s="645"/>
    </row>
    <row r="1185" spans="1:2" x14ac:dyDescent="0.3">
      <c r="A1185" s="644"/>
      <c r="B1185" s="645"/>
    </row>
    <row r="1186" spans="1:2" x14ac:dyDescent="0.3">
      <c r="A1186" s="644"/>
      <c r="B1186" s="645"/>
    </row>
    <row r="1187" spans="1:2" x14ac:dyDescent="0.3">
      <c r="A1187" s="644"/>
      <c r="B1187" s="645"/>
    </row>
    <row r="1188" spans="1:2" x14ac:dyDescent="0.3">
      <c r="A1188" s="644"/>
      <c r="B1188" s="645"/>
    </row>
    <row r="1189" spans="1:2" x14ac:dyDescent="0.3">
      <c r="A1189" s="644"/>
      <c r="B1189" s="645"/>
    </row>
    <row r="1190" spans="1:2" x14ac:dyDescent="0.3">
      <c r="A1190" s="644"/>
      <c r="B1190" s="645"/>
    </row>
    <row r="1191" spans="1:2" x14ac:dyDescent="0.3">
      <c r="A1191" s="644"/>
      <c r="B1191" s="645"/>
    </row>
    <row r="1192" spans="1:2" x14ac:dyDescent="0.3">
      <c r="A1192" s="644"/>
      <c r="B1192" s="645"/>
    </row>
    <row r="1193" spans="1:2" x14ac:dyDescent="0.3">
      <c r="A1193" s="644"/>
      <c r="B1193" s="645"/>
    </row>
    <row r="1194" spans="1:2" x14ac:dyDescent="0.3">
      <c r="A1194" s="644"/>
      <c r="B1194" s="645"/>
    </row>
    <row r="1195" spans="1:2" x14ac:dyDescent="0.3">
      <c r="A1195" s="644"/>
      <c r="B1195" s="645"/>
    </row>
    <row r="1196" spans="1:2" x14ac:dyDescent="0.3">
      <c r="A1196" s="644"/>
      <c r="B1196" s="645"/>
    </row>
    <row r="1197" spans="1:2" x14ac:dyDescent="0.3">
      <c r="A1197" s="644"/>
      <c r="B1197" s="645"/>
    </row>
    <row r="1198" spans="1:2" x14ac:dyDescent="0.3">
      <c r="A1198" s="644"/>
      <c r="B1198" s="645"/>
    </row>
    <row r="1199" spans="1:2" x14ac:dyDescent="0.3">
      <c r="A1199" s="644"/>
      <c r="B1199" s="645"/>
    </row>
    <row r="1200" spans="1:2" x14ac:dyDescent="0.3">
      <c r="A1200" s="644"/>
      <c r="B1200" s="645"/>
    </row>
    <row r="1201" spans="1:2" x14ac:dyDescent="0.3">
      <c r="A1201" s="644"/>
      <c r="B1201" s="645"/>
    </row>
    <row r="1202" spans="1:2" x14ac:dyDescent="0.3">
      <c r="A1202" s="644"/>
      <c r="B1202" s="645"/>
    </row>
    <row r="1203" spans="1:2" x14ac:dyDescent="0.3">
      <c r="A1203" s="644"/>
      <c r="B1203" s="645"/>
    </row>
    <row r="1204" spans="1:2" x14ac:dyDescent="0.3">
      <c r="A1204" s="644"/>
      <c r="B1204" s="645"/>
    </row>
    <row r="1205" spans="1:2" x14ac:dyDescent="0.3">
      <c r="A1205" s="644"/>
      <c r="B1205" s="645"/>
    </row>
    <row r="1206" spans="1:2" x14ac:dyDescent="0.3">
      <c r="A1206" s="644"/>
      <c r="B1206" s="645"/>
    </row>
    <row r="1207" spans="1:2" x14ac:dyDescent="0.3">
      <c r="A1207" s="644"/>
      <c r="B1207" s="645"/>
    </row>
    <row r="1208" spans="1:2" x14ac:dyDescent="0.3">
      <c r="A1208" s="644"/>
      <c r="B1208" s="645"/>
    </row>
    <row r="1209" spans="1:2" x14ac:dyDescent="0.3">
      <c r="A1209" s="644"/>
      <c r="B1209" s="645"/>
    </row>
    <row r="1210" spans="1:2" x14ac:dyDescent="0.3">
      <c r="A1210" s="644"/>
      <c r="B1210" s="645"/>
    </row>
    <row r="1211" spans="1:2" x14ac:dyDescent="0.3">
      <c r="A1211" s="644"/>
      <c r="B1211" s="645"/>
    </row>
    <row r="1212" spans="1:2" x14ac:dyDescent="0.3">
      <c r="A1212" s="644"/>
      <c r="B1212" s="645"/>
    </row>
    <row r="1213" spans="1:2" x14ac:dyDescent="0.3">
      <c r="A1213" s="644"/>
      <c r="B1213" s="645"/>
    </row>
    <row r="1214" spans="1:2" x14ac:dyDescent="0.3">
      <c r="A1214" s="644"/>
      <c r="B1214" s="645"/>
    </row>
    <row r="1215" spans="1:2" x14ac:dyDescent="0.3">
      <c r="A1215" s="644"/>
      <c r="B1215" s="645"/>
    </row>
    <row r="1216" spans="1:2" x14ac:dyDescent="0.3">
      <c r="A1216" s="644"/>
      <c r="B1216" s="645"/>
    </row>
    <row r="1217" spans="1:2" x14ac:dyDescent="0.3">
      <c r="A1217" s="644"/>
      <c r="B1217" s="645"/>
    </row>
    <row r="1218" spans="1:2" x14ac:dyDescent="0.3">
      <c r="A1218" s="644"/>
      <c r="B1218" s="645"/>
    </row>
    <row r="1219" spans="1:2" x14ac:dyDescent="0.3">
      <c r="A1219" s="644"/>
      <c r="B1219" s="645"/>
    </row>
    <row r="1220" spans="1:2" x14ac:dyDescent="0.3">
      <c r="A1220" s="644"/>
      <c r="B1220" s="645"/>
    </row>
    <row r="1221" spans="1:2" x14ac:dyDescent="0.3">
      <c r="A1221" s="644"/>
      <c r="B1221" s="645"/>
    </row>
    <row r="1222" spans="1:2" x14ac:dyDescent="0.3">
      <c r="A1222" s="644"/>
      <c r="B1222" s="645"/>
    </row>
    <row r="1223" spans="1:2" x14ac:dyDescent="0.3">
      <c r="A1223" s="644"/>
      <c r="B1223" s="645"/>
    </row>
    <row r="1224" spans="1:2" x14ac:dyDescent="0.3">
      <c r="A1224" s="644"/>
      <c r="B1224" s="645"/>
    </row>
    <row r="1225" spans="1:2" x14ac:dyDescent="0.3">
      <c r="A1225" s="644"/>
      <c r="B1225" s="645"/>
    </row>
    <row r="1226" spans="1:2" x14ac:dyDescent="0.3">
      <c r="A1226" s="644"/>
      <c r="B1226" s="645"/>
    </row>
    <row r="1227" spans="1:2" x14ac:dyDescent="0.3">
      <c r="A1227" s="644"/>
      <c r="B1227" s="645"/>
    </row>
    <row r="1228" spans="1:2" x14ac:dyDescent="0.3">
      <c r="A1228" s="644"/>
      <c r="B1228" s="645"/>
    </row>
    <row r="1229" spans="1:2" x14ac:dyDescent="0.3">
      <c r="A1229" s="644"/>
      <c r="B1229" s="645"/>
    </row>
    <row r="1230" spans="1:2" x14ac:dyDescent="0.3">
      <c r="A1230" s="644"/>
      <c r="B1230" s="645"/>
    </row>
    <row r="1231" spans="1:2" x14ac:dyDescent="0.3">
      <c r="A1231" s="644"/>
      <c r="B1231" s="645"/>
    </row>
    <row r="1232" spans="1:2" x14ac:dyDescent="0.3">
      <c r="A1232" s="644"/>
      <c r="B1232" s="645"/>
    </row>
    <row r="1233" spans="1:2" x14ac:dyDescent="0.3">
      <c r="A1233" s="644"/>
      <c r="B1233" s="645"/>
    </row>
    <row r="1234" spans="1:2" x14ac:dyDescent="0.3">
      <c r="A1234" s="644"/>
      <c r="B1234" s="645"/>
    </row>
    <row r="1235" spans="1:2" x14ac:dyDescent="0.3">
      <c r="A1235" s="644"/>
      <c r="B1235" s="645"/>
    </row>
    <row r="1236" spans="1:2" x14ac:dyDescent="0.3">
      <c r="A1236" s="644"/>
      <c r="B1236" s="645"/>
    </row>
    <row r="1237" spans="1:2" x14ac:dyDescent="0.3">
      <c r="A1237" s="644"/>
      <c r="B1237" s="645"/>
    </row>
    <row r="1238" spans="1:2" x14ac:dyDescent="0.3">
      <c r="A1238" s="644"/>
      <c r="B1238" s="645"/>
    </row>
    <row r="1239" spans="1:2" x14ac:dyDescent="0.3">
      <c r="A1239" s="644"/>
      <c r="B1239" s="645"/>
    </row>
    <row r="1240" spans="1:2" x14ac:dyDescent="0.3">
      <c r="A1240" s="644"/>
      <c r="B1240" s="645"/>
    </row>
    <row r="1241" spans="1:2" x14ac:dyDescent="0.3">
      <c r="A1241" s="644"/>
      <c r="B1241" s="645"/>
    </row>
    <row r="1242" spans="1:2" x14ac:dyDescent="0.3">
      <c r="A1242" s="644"/>
      <c r="B1242" s="645"/>
    </row>
    <row r="1243" spans="1:2" x14ac:dyDescent="0.3">
      <c r="A1243" s="644"/>
      <c r="B1243" s="645"/>
    </row>
    <row r="1244" spans="1:2" x14ac:dyDescent="0.3">
      <c r="A1244" s="644"/>
      <c r="B1244" s="645"/>
    </row>
    <row r="1245" spans="1:2" x14ac:dyDescent="0.3">
      <c r="A1245" s="644"/>
      <c r="B1245" s="645"/>
    </row>
    <row r="1246" spans="1:2" x14ac:dyDescent="0.3">
      <c r="A1246" s="644"/>
      <c r="B1246" s="645"/>
    </row>
    <row r="1247" spans="1:2" x14ac:dyDescent="0.3">
      <c r="A1247" s="644"/>
      <c r="B1247" s="645"/>
    </row>
    <row r="1248" spans="1:2" x14ac:dyDescent="0.3">
      <c r="A1248" s="644"/>
      <c r="B1248" s="645"/>
    </row>
    <row r="1249" spans="1:2" x14ac:dyDescent="0.3">
      <c r="A1249" s="644"/>
      <c r="B1249" s="645"/>
    </row>
    <row r="1250" spans="1:2" x14ac:dyDescent="0.3">
      <c r="A1250" s="644"/>
      <c r="B1250" s="645"/>
    </row>
    <row r="1251" spans="1:2" x14ac:dyDescent="0.3">
      <c r="A1251" s="644"/>
      <c r="B1251" s="645"/>
    </row>
    <row r="1252" spans="1:2" x14ac:dyDescent="0.3">
      <c r="A1252" s="644"/>
      <c r="B1252" s="645"/>
    </row>
    <row r="1253" spans="1:2" x14ac:dyDescent="0.3">
      <c r="A1253" s="644"/>
      <c r="B1253" s="645"/>
    </row>
    <row r="1254" spans="1:2" x14ac:dyDescent="0.3">
      <c r="A1254" s="644"/>
      <c r="B1254" s="645"/>
    </row>
    <row r="1255" spans="1:2" x14ac:dyDescent="0.3">
      <c r="A1255" s="644"/>
      <c r="B1255" s="645"/>
    </row>
    <row r="1256" spans="1:2" x14ac:dyDescent="0.3">
      <c r="A1256" s="644"/>
      <c r="B1256" s="645"/>
    </row>
    <row r="1257" spans="1:2" x14ac:dyDescent="0.3">
      <c r="A1257" s="644"/>
      <c r="B1257" s="645"/>
    </row>
    <row r="1258" spans="1:2" x14ac:dyDescent="0.3">
      <c r="A1258" s="644"/>
      <c r="B1258" s="645"/>
    </row>
    <row r="1259" spans="1:2" x14ac:dyDescent="0.3">
      <c r="A1259" s="644"/>
      <c r="B1259" s="645"/>
    </row>
    <row r="1260" spans="1:2" x14ac:dyDescent="0.3">
      <c r="A1260" s="644"/>
      <c r="B1260" s="645"/>
    </row>
    <row r="1261" spans="1:2" x14ac:dyDescent="0.3">
      <c r="A1261" s="644"/>
      <c r="B1261" s="645"/>
    </row>
    <row r="1262" spans="1:2" x14ac:dyDescent="0.3">
      <c r="A1262" s="644"/>
      <c r="B1262" s="645"/>
    </row>
    <row r="1263" spans="1:2" x14ac:dyDescent="0.3">
      <c r="A1263" s="644"/>
      <c r="B1263" s="645"/>
    </row>
    <row r="1264" spans="1:2" x14ac:dyDescent="0.3">
      <c r="A1264" s="644"/>
      <c r="B1264" s="645"/>
    </row>
    <row r="1265" spans="1:2" x14ac:dyDescent="0.3">
      <c r="A1265" s="644"/>
      <c r="B1265" s="645"/>
    </row>
    <row r="1266" spans="1:2" x14ac:dyDescent="0.3">
      <c r="A1266" s="644"/>
      <c r="B1266" s="645"/>
    </row>
    <row r="1267" spans="1:2" x14ac:dyDescent="0.3">
      <c r="A1267" s="644"/>
      <c r="B1267" s="645"/>
    </row>
    <row r="1268" spans="1:2" x14ac:dyDescent="0.3">
      <c r="A1268" s="644"/>
      <c r="B1268" s="645"/>
    </row>
    <row r="1269" spans="1:2" x14ac:dyDescent="0.3">
      <c r="A1269" s="644"/>
      <c r="B1269" s="645"/>
    </row>
    <row r="1270" spans="1:2" x14ac:dyDescent="0.3">
      <c r="A1270" s="644"/>
      <c r="B1270" s="645"/>
    </row>
    <row r="1271" spans="1:2" x14ac:dyDescent="0.3">
      <c r="A1271" s="644"/>
      <c r="B1271" s="645"/>
    </row>
    <row r="1272" spans="1:2" x14ac:dyDescent="0.3">
      <c r="A1272" s="644"/>
      <c r="B1272" s="645"/>
    </row>
    <row r="1273" spans="1:2" x14ac:dyDescent="0.3">
      <c r="A1273" s="644"/>
      <c r="B1273" s="645"/>
    </row>
    <row r="1274" spans="1:2" x14ac:dyDescent="0.3">
      <c r="A1274" s="644"/>
      <c r="B1274" s="645"/>
    </row>
    <row r="1275" spans="1:2" x14ac:dyDescent="0.3">
      <c r="A1275" s="644"/>
      <c r="B1275" s="645"/>
    </row>
    <row r="1276" spans="1:2" x14ac:dyDescent="0.3">
      <c r="A1276" s="644"/>
      <c r="B1276" s="645"/>
    </row>
    <row r="1277" spans="1:2" x14ac:dyDescent="0.3">
      <c r="A1277" s="644"/>
      <c r="B1277" s="645"/>
    </row>
    <row r="1278" spans="1:2" x14ac:dyDescent="0.3">
      <c r="A1278" s="644"/>
      <c r="B1278" s="645"/>
    </row>
    <row r="1279" spans="1:2" x14ac:dyDescent="0.3">
      <c r="A1279" s="644"/>
      <c r="B1279" s="645"/>
    </row>
    <row r="1280" spans="1:2" x14ac:dyDescent="0.3">
      <c r="A1280" s="644"/>
      <c r="B1280" s="645"/>
    </row>
    <row r="1281" spans="1:2" x14ac:dyDescent="0.3">
      <c r="A1281" s="644"/>
      <c r="B1281" s="645"/>
    </row>
    <row r="1282" spans="1:2" x14ac:dyDescent="0.3">
      <c r="A1282" s="644"/>
      <c r="B1282" s="645"/>
    </row>
    <row r="1283" spans="1:2" x14ac:dyDescent="0.3">
      <c r="A1283" s="644"/>
      <c r="B1283" s="645"/>
    </row>
    <row r="1284" spans="1:2" x14ac:dyDescent="0.3">
      <c r="A1284" s="644"/>
      <c r="B1284" s="645"/>
    </row>
    <row r="1285" spans="1:2" x14ac:dyDescent="0.3">
      <c r="A1285" s="644"/>
      <c r="B1285" s="645"/>
    </row>
    <row r="1286" spans="1:2" x14ac:dyDescent="0.3">
      <c r="A1286" s="644"/>
      <c r="B1286" s="645"/>
    </row>
    <row r="1287" spans="1:2" x14ac:dyDescent="0.3">
      <c r="A1287" s="644"/>
      <c r="B1287" s="645"/>
    </row>
    <row r="1288" spans="1:2" x14ac:dyDescent="0.3">
      <c r="A1288" s="644"/>
      <c r="B1288" s="645"/>
    </row>
    <row r="1289" spans="1:2" x14ac:dyDescent="0.3">
      <c r="A1289" s="644"/>
      <c r="B1289" s="645"/>
    </row>
    <row r="1290" spans="1:2" x14ac:dyDescent="0.3">
      <c r="A1290" s="644"/>
      <c r="B1290" s="645"/>
    </row>
    <row r="1291" spans="1:2" x14ac:dyDescent="0.3">
      <c r="A1291" s="644"/>
      <c r="B1291" s="645"/>
    </row>
    <row r="1292" spans="1:2" x14ac:dyDescent="0.3">
      <c r="A1292" s="644"/>
      <c r="B1292" s="645"/>
    </row>
    <row r="1293" spans="1:2" x14ac:dyDescent="0.3">
      <c r="A1293" s="644"/>
      <c r="B1293" s="645"/>
    </row>
    <row r="1294" spans="1:2" x14ac:dyDescent="0.3">
      <c r="A1294" s="644"/>
      <c r="B1294" s="645"/>
    </row>
    <row r="1295" spans="1:2" x14ac:dyDescent="0.3">
      <c r="A1295" s="644"/>
      <c r="B1295" s="645"/>
    </row>
    <row r="1296" spans="1:2" x14ac:dyDescent="0.3">
      <c r="A1296" s="644"/>
      <c r="B1296" s="645"/>
    </row>
    <row r="1297" spans="1:2" x14ac:dyDescent="0.3">
      <c r="A1297" s="644"/>
      <c r="B1297" s="645"/>
    </row>
    <row r="1298" spans="1:2" x14ac:dyDescent="0.3">
      <c r="A1298" s="644"/>
      <c r="B1298" s="645"/>
    </row>
    <row r="1299" spans="1:2" x14ac:dyDescent="0.3">
      <c r="A1299" s="644"/>
      <c r="B1299" s="645"/>
    </row>
    <row r="1300" spans="1:2" x14ac:dyDescent="0.3">
      <c r="A1300" s="644"/>
      <c r="B1300" s="645"/>
    </row>
    <row r="1301" spans="1:2" x14ac:dyDescent="0.3">
      <c r="A1301" s="644"/>
      <c r="B1301" s="645"/>
    </row>
    <row r="1302" spans="1:2" x14ac:dyDescent="0.3">
      <c r="A1302" s="644"/>
      <c r="B1302" s="645"/>
    </row>
    <row r="1303" spans="1:2" x14ac:dyDescent="0.3">
      <c r="A1303" s="644"/>
      <c r="B1303" s="645"/>
    </row>
    <row r="1304" spans="1:2" x14ac:dyDescent="0.3">
      <c r="A1304" s="644"/>
      <c r="B1304" s="645"/>
    </row>
    <row r="1305" spans="1:2" x14ac:dyDescent="0.3">
      <c r="A1305" s="644"/>
      <c r="B1305" s="645"/>
    </row>
    <row r="1306" spans="1:2" x14ac:dyDescent="0.3">
      <c r="A1306" s="644"/>
      <c r="B1306" s="645"/>
    </row>
    <row r="1307" spans="1:2" x14ac:dyDescent="0.3">
      <c r="A1307" s="644"/>
      <c r="B1307" s="645"/>
    </row>
    <row r="1308" spans="1:2" x14ac:dyDescent="0.3">
      <c r="A1308" s="644"/>
      <c r="B1308" s="645"/>
    </row>
    <row r="1309" spans="1:2" x14ac:dyDescent="0.3">
      <c r="A1309" s="644"/>
      <c r="B1309" s="645"/>
    </row>
    <row r="1310" spans="1:2" x14ac:dyDescent="0.3">
      <c r="A1310" s="644"/>
      <c r="B1310" s="645"/>
    </row>
    <row r="1311" spans="1:2" x14ac:dyDescent="0.3">
      <c r="A1311" s="644"/>
      <c r="B1311" s="645"/>
    </row>
    <row r="1312" spans="1:2" x14ac:dyDescent="0.3">
      <c r="A1312" s="644"/>
      <c r="B1312" s="645"/>
    </row>
    <row r="1313" spans="1:2" x14ac:dyDescent="0.3">
      <c r="A1313" s="644"/>
      <c r="B1313" s="645"/>
    </row>
    <row r="1314" spans="1:2" x14ac:dyDescent="0.3">
      <c r="A1314" s="644"/>
      <c r="B1314" s="645"/>
    </row>
    <row r="1315" spans="1:2" x14ac:dyDescent="0.3">
      <c r="A1315" s="644"/>
      <c r="B1315" s="645"/>
    </row>
    <row r="1316" spans="1:2" x14ac:dyDescent="0.3">
      <c r="A1316" s="644"/>
      <c r="B1316" s="645"/>
    </row>
    <row r="1317" spans="1:2" x14ac:dyDescent="0.3">
      <c r="A1317" s="644"/>
      <c r="B1317" s="645"/>
    </row>
    <row r="1318" spans="1:2" x14ac:dyDescent="0.3">
      <c r="A1318" s="644"/>
      <c r="B1318" s="645"/>
    </row>
    <row r="1319" spans="1:2" x14ac:dyDescent="0.3">
      <c r="A1319" s="644"/>
      <c r="B1319" s="645"/>
    </row>
    <row r="1320" spans="1:2" x14ac:dyDescent="0.3">
      <c r="A1320" s="644"/>
      <c r="B1320" s="645"/>
    </row>
    <row r="1321" spans="1:2" x14ac:dyDescent="0.3">
      <c r="A1321" s="644"/>
      <c r="B1321" s="645"/>
    </row>
    <row r="1322" spans="1:2" x14ac:dyDescent="0.3">
      <c r="A1322" s="644"/>
      <c r="B1322" s="645"/>
    </row>
    <row r="1323" spans="1:2" x14ac:dyDescent="0.3">
      <c r="A1323" s="644"/>
      <c r="B1323" s="645"/>
    </row>
    <row r="1324" spans="1:2" x14ac:dyDescent="0.3">
      <c r="A1324" s="644"/>
      <c r="B1324" s="645"/>
    </row>
    <row r="1325" spans="1:2" x14ac:dyDescent="0.3">
      <c r="A1325" s="644"/>
      <c r="B1325" s="645"/>
    </row>
    <row r="1326" spans="1:2" x14ac:dyDescent="0.3">
      <c r="A1326" s="644"/>
      <c r="B1326" s="645"/>
    </row>
    <row r="1327" spans="1:2" x14ac:dyDescent="0.3">
      <c r="A1327" s="644"/>
      <c r="B1327" s="645"/>
    </row>
    <row r="1328" spans="1:2" x14ac:dyDescent="0.3">
      <c r="A1328" s="644"/>
      <c r="B1328" s="645"/>
    </row>
    <row r="1329" spans="1:2" x14ac:dyDescent="0.3">
      <c r="A1329" s="644"/>
      <c r="B1329" s="645"/>
    </row>
    <row r="1330" spans="1:2" x14ac:dyDescent="0.3">
      <c r="A1330" s="644"/>
      <c r="B1330" s="645"/>
    </row>
    <row r="1331" spans="1:2" x14ac:dyDescent="0.3">
      <c r="A1331" s="644"/>
      <c r="B1331" s="645"/>
    </row>
    <row r="1332" spans="1:2" x14ac:dyDescent="0.3">
      <c r="A1332" s="644"/>
      <c r="B1332" s="645"/>
    </row>
    <row r="1333" spans="1:2" x14ac:dyDescent="0.3">
      <c r="A1333" s="644"/>
      <c r="B1333" s="645"/>
    </row>
    <row r="1334" spans="1:2" x14ac:dyDescent="0.3">
      <c r="A1334" s="644"/>
      <c r="B1334" s="645"/>
    </row>
    <row r="1335" spans="1:2" x14ac:dyDescent="0.3">
      <c r="A1335" s="644"/>
      <c r="B1335" s="645"/>
    </row>
    <row r="1336" spans="1:2" x14ac:dyDescent="0.3">
      <c r="A1336" s="644"/>
      <c r="B1336" s="645"/>
    </row>
    <row r="1337" spans="1:2" x14ac:dyDescent="0.3">
      <c r="A1337" s="644"/>
      <c r="B1337" s="645"/>
    </row>
    <row r="1338" spans="1:2" x14ac:dyDescent="0.3">
      <c r="A1338" s="644"/>
      <c r="B1338" s="645"/>
    </row>
    <row r="1339" spans="1:2" x14ac:dyDescent="0.3">
      <c r="A1339" s="644"/>
      <c r="B1339" s="645"/>
    </row>
    <row r="1340" spans="1:2" x14ac:dyDescent="0.3">
      <c r="A1340" s="644"/>
      <c r="B1340" s="645"/>
    </row>
    <row r="1341" spans="1:2" x14ac:dyDescent="0.3">
      <c r="A1341" s="644"/>
      <c r="B1341" s="645"/>
    </row>
    <row r="1342" spans="1:2" x14ac:dyDescent="0.3">
      <c r="A1342" s="644"/>
      <c r="B1342" s="645"/>
    </row>
    <row r="1343" spans="1:2" x14ac:dyDescent="0.3">
      <c r="A1343" s="644"/>
      <c r="B1343" s="645"/>
    </row>
    <row r="1344" spans="1:2" x14ac:dyDescent="0.3">
      <c r="A1344" s="644"/>
      <c r="B1344" s="645"/>
    </row>
    <row r="1345" spans="1:2" x14ac:dyDescent="0.3">
      <c r="A1345" s="644"/>
      <c r="B1345" s="645"/>
    </row>
    <row r="1346" spans="1:2" x14ac:dyDescent="0.3">
      <c r="A1346" s="644"/>
      <c r="B1346" s="645"/>
    </row>
    <row r="1347" spans="1:2" x14ac:dyDescent="0.3">
      <c r="A1347" s="644"/>
      <c r="B1347" s="645"/>
    </row>
    <row r="1348" spans="1:2" x14ac:dyDescent="0.3">
      <c r="A1348" s="644"/>
      <c r="B1348" s="645"/>
    </row>
    <row r="1349" spans="1:2" x14ac:dyDescent="0.3">
      <c r="A1349" s="644"/>
      <c r="B1349" s="645"/>
    </row>
    <row r="1350" spans="1:2" x14ac:dyDescent="0.3">
      <c r="A1350" s="644"/>
      <c r="B1350" s="645"/>
    </row>
    <row r="1351" spans="1:2" x14ac:dyDescent="0.3">
      <c r="A1351" s="644"/>
      <c r="B1351" s="645"/>
    </row>
    <row r="1352" spans="1:2" x14ac:dyDescent="0.3">
      <c r="A1352" s="644"/>
      <c r="B1352" s="645"/>
    </row>
    <row r="1353" spans="1:2" x14ac:dyDescent="0.3">
      <c r="A1353" s="644"/>
      <c r="B1353" s="645"/>
    </row>
    <row r="1354" spans="1:2" x14ac:dyDescent="0.3">
      <c r="A1354" s="644"/>
      <c r="B1354" s="645"/>
    </row>
    <row r="1355" spans="1:2" x14ac:dyDescent="0.3">
      <c r="A1355" s="644"/>
      <c r="B1355" s="645"/>
    </row>
    <row r="1356" spans="1:2" x14ac:dyDescent="0.3">
      <c r="A1356" s="644"/>
      <c r="B1356" s="645"/>
    </row>
    <row r="1357" spans="1:2" x14ac:dyDescent="0.3">
      <c r="A1357" s="644"/>
      <c r="B1357" s="645"/>
    </row>
    <row r="1358" spans="1:2" x14ac:dyDescent="0.3">
      <c r="A1358" s="644"/>
      <c r="B1358" s="645"/>
    </row>
    <row r="1359" spans="1:2" x14ac:dyDescent="0.3">
      <c r="A1359" s="644"/>
      <c r="B1359" s="645"/>
    </row>
    <row r="1360" spans="1:2" x14ac:dyDescent="0.3">
      <c r="A1360" s="644"/>
      <c r="B1360" s="645"/>
    </row>
    <row r="1361" spans="1:2" x14ac:dyDescent="0.3">
      <c r="A1361" s="644"/>
      <c r="B1361" s="645"/>
    </row>
    <row r="1362" spans="1:2" x14ac:dyDescent="0.3">
      <c r="A1362" s="644"/>
      <c r="B1362" s="645"/>
    </row>
    <row r="1363" spans="1:2" x14ac:dyDescent="0.3">
      <c r="A1363" s="644"/>
      <c r="B1363" s="645"/>
    </row>
    <row r="1364" spans="1:2" x14ac:dyDescent="0.3">
      <c r="A1364" s="644"/>
      <c r="B1364" s="645"/>
    </row>
    <row r="1365" spans="1:2" x14ac:dyDescent="0.3">
      <c r="A1365" s="644"/>
      <c r="B1365" s="645"/>
    </row>
    <row r="1366" spans="1:2" x14ac:dyDescent="0.3">
      <c r="A1366" s="644"/>
      <c r="B1366" s="645"/>
    </row>
    <row r="1367" spans="1:2" x14ac:dyDescent="0.3">
      <c r="A1367" s="644"/>
      <c r="B1367" s="645"/>
    </row>
    <row r="1368" spans="1:2" x14ac:dyDescent="0.3">
      <c r="A1368" s="644"/>
      <c r="B1368" s="645"/>
    </row>
    <row r="1369" spans="1:2" x14ac:dyDescent="0.3">
      <c r="A1369" s="644"/>
      <c r="B1369" s="645"/>
    </row>
    <row r="1370" spans="1:2" x14ac:dyDescent="0.3">
      <c r="A1370" s="644"/>
      <c r="B1370" s="645"/>
    </row>
    <row r="1371" spans="1:2" x14ac:dyDescent="0.3">
      <c r="A1371" s="644"/>
      <c r="B1371" s="645"/>
    </row>
    <row r="1372" spans="1:2" x14ac:dyDescent="0.3">
      <c r="A1372" s="644"/>
      <c r="B1372" s="645"/>
    </row>
    <row r="1373" spans="1:2" x14ac:dyDescent="0.3">
      <c r="A1373" s="644"/>
      <c r="B1373" s="645"/>
    </row>
    <row r="1374" spans="1:2" x14ac:dyDescent="0.3">
      <c r="A1374" s="644"/>
      <c r="B1374" s="645"/>
    </row>
    <row r="1375" spans="1:2" x14ac:dyDescent="0.3">
      <c r="A1375" s="644"/>
      <c r="B1375" s="645"/>
    </row>
    <row r="1376" spans="1:2" x14ac:dyDescent="0.3">
      <c r="A1376" s="644"/>
      <c r="B1376" s="645"/>
    </row>
    <row r="1377" spans="1:2" x14ac:dyDescent="0.3">
      <c r="A1377" s="644"/>
      <c r="B1377" s="645"/>
    </row>
    <row r="1378" spans="1:2" x14ac:dyDescent="0.3">
      <c r="A1378" s="644"/>
      <c r="B1378" s="645"/>
    </row>
    <row r="1379" spans="1:2" x14ac:dyDescent="0.3">
      <c r="A1379" s="644"/>
      <c r="B1379" s="645"/>
    </row>
    <row r="1380" spans="1:2" x14ac:dyDescent="0.3">
      <c r="A1380" s="644"/>
      <c r="B1380" s="645"/>
    </row>
    <row r="1381" spans="1:2" x14ac:dyDescent="0.3">
      <c r="A1381" s="644"/>
      <c r="B1381" s="645"/>
    </row>
    <row r="1382" spans="1:2" x14ac:dyDescent="0.3">
      <c r="A1382" s="644"/>
      <c r="B1382" s="645"/>
    </row>
    <row r="1383" spans="1:2" x14ac:dyDescent="0.3">
      <c r="A1383" s="644"/>
      <c r="B1383" s="645"/>
    </row>
    <row r="1384" spans="1:2" x14ac:dyDescent="0.3">
      <c r="A1384" s="644"/>
      <c r="B1384" s="645"/>
    </row>
    <row r="1385" spans="1:2" x14ac:dyDescent="0.3">
      <c r="A1385" s="644"/>
      <c r="B1385" s="645"/>
    </row>
    <row r="1386" spans="1:2" x14ac:dyDescent="0.3">
      <c r="A1386" s="644"/>
      <c r="B1386" s="645"/>
    </row>
    <row r="1387" spans="1:2" x14ac:dyDescent="0.3">
      <c r="A1387" s="644"/>
      <c r="B1387" s="645"/>
    </row>
    <row r="1388" spans="1:2" x14ac:dyDescent="0.3">
      <c r="A1388" s="644"/>
      <c r="B1388" s="645"/>
    </row>
    <row r="1389" spans="1:2" x14ac:dyDescent="0.3">
      <c r="A1389" s="644"/>
      <c r="B1389" s="645"/>
    </row>
    <row r="1390" spans="1:2" x14ac:dyDescent="0.3">
      <c r="A1390" s="644"/>
      <c r="B1390" s="645"/>
    </row>
    <row r="1391" spans="1:2" x14ac:dyDescent="0.3">
      <c r="A1391" s="644"/>
      <c r="B1391" s="645"/>
    </row>
    <row r="1392" spans="1:2" x14ac:dyDescent="0.3">
      <c r="A1392" s="644"/>
      <c r="B1392" s="645"/>
    </row>
    <row r="1393" spans="1:2" x14ac:dyDescent="0.3">
      <c r="A1393" s="644"/>
      <c r="B1393" s="645"/>
    </row>
    <row r="1394" spans="1:2" x14ac:dyDescent="0.3">
      <c r="A1394" s="644"/>
      <c r="B1394" s="645"/>
    </row>
    <row r="1395" spans="1:2" x14ac:dyDescent="0.3">
      <c r="A1395" s="644"/>
      <c r="B1395" s="645"/>
    </row>
    <row r="1396" spans="1:2" x14ac:dyDescent="0.3">
      <c r="A1396" s="644"/>
      <c r="B1396" s="645"/>
    </row>
    <row r="1397" spans="1:2" x14ac:dyDescent="0.3">
      <c r="A1397" s="644"/>
      <c r="B1397" s="645"/>
    </row>
    <row r="1398" spans="1:2" x14ac:dyDescent="0.3">
      <c r="A1398" s="644"/>
      <c r="B1398" s="645"/>
    </row>
    <row r="1399" spans="1:2" x14ac:dyDescent="0.3">
      <c r="A1399" s="644"/>
      <c r="B1399" s="645"/>
    </row>
    <row r="1400" spans="1:2" x14ac:dyDescent="0.3">
      <c r="A1400" s="644"/>
      <c r="B1400" s="645"/>
    </row>
    <row r="1401" spans="1:2" x14ac:dyDescent="0.3">
      <c r="A1401" s="644"/>
      <c r="B1401" s="645"/>
    </row>
    <row r="1402" spans="1:2" x14ac:dyDescent="0.3">
      <c r="A1402" s="644"/>
      <c r="B1402" s="645"/>
    </row>
    <row r="1403" spans="1:2" x14ac:dyDescent="0.3">
      <c r="A1403" s="644"/>
      <c r="B1403" s="645"/>
    </row>
    <row r="1404" spans="1:2" x14ac:dyDescent="0.3">
      <c r="A1404" s="644"/>
      <c r="B1404" s="645"/>
    </row>
    <row r="1405" spans="1:2" x14ac:dyDescent="0.3">
      <c r="A1405" s="644"/>
      <c r="B1405" s="645"/>
    </row>
    <row r="1406" spans="1:2" x14ac:dyDescent="0.3">
      <c r="A1406" s="644"/>
      <c r="B1406" s="645"/>
    </row>
    <row r="1407" spans="1:2" x14ac:dyDescent="0.3">
      <c r="A1407" s="644"/>
      <c r="B1407" s="645"/>
    </row>
    <row r="1408" spans="1:2" x14ac:dyDescent="0.3">
      <c r="A1408" s="644"/>
      <c r="B1408" s="645"/>
    </row>
    <row r="1409" spans="1:2" x14ac:dyDescent="0.3">
      <c r="A1409" s="644"/>
      <c r="B1409" s="645"/>
    </row>
    <row r="1410" spans="1:2" x14ac:dyDescent="0.3">
      <c r="A1410" s="644"/>
      <c r="B1410" s="645"/>
    </row>
    <row r="1411" spans="1:2" x14ac:dyDescent="0.3">
      <c r="A1411" s="644"/>
      <c r="B1411" s="645"/>
    </row>
    <row r="1412" spans="1:2" x14ac:dyDescent="0.3">
      <c r="A1412" s="644"/>
      <c r="B1412" s="645"/>
    </row>
    <row r="1413" spans="1:2" x14ac:dyDescent="0.3">
      <c r="A1413" s="644"/>
      <c r="B1413" s="645"/>
    </row>
    <row r="1414" spans="1:2" x14ac:dyDescent="0.3">
      <c r="A1414" s="644"/>
      <c r="B1414" s="645"/>
    </row>
    <row r="1415" spans="1:2" x14ac:dyDescent="0.3">
      <c r="A1415" s="644"/>
      <c r="B1415" s="645"/>
    </row>
    <row r="1416" spans="1:2" x14ac:dyDescent="0.3">
      <c r="A1416" s="644"/>
      <c r="B1416" s="645"/>
    </row>
    <row r="1417" spans="1:2" x14ac:dyDescent="0.3">
      <c r="A1417" s="644"/>
      <c r="B1417" s="645"/>
    </row>
    <row r="1418" spans="1:2" x14ac:dyDescent="0.3">
      <c r="A1418" s="644"/>
      <c r="B1418" s="645"/>
    </row>
    <row r="1419" spans="1:2" x14ac:dyDescent="0.3">
      <c r="A1419" s="644"/>
      <c r="B1419" s="645"/>
    </row>
    <row r="1420" spans="1:2" x14ac:dyDescent="0.3">
      <c r="A1420" s="644"/>
      <c r="B1420" s="645"/>
    </row>
    <row r="1421" spans="1:2" x14ac:dyDescent="0.3">
      <c r="A1421" s="644"/>
      <c r="B1421" s="645"/>
    </row>
    <row r="1422" spans="1:2" x14ac:dyDescent="0.3">
      <c r="A1422" s="644"/>
      <c r="B1422" s="645"/>
    </row>
    <row r="1423" spans="1:2" x14ac:dyDescent="0.3">
      <c r="A1423" s="644"/>
      <c r="B1423" s="645"/>
    </row>
    <row r="1424" spans="1:2" x14ac:dyDescent="0.3">
      <c r="A1424" s="644"/>
      <c r="B1424" s="645"/>
    </row>
    <row r="1425" spans="1:2" x14ac:dyDescent="0.3">
      <c r="A1425" s="644"/>
      <c r="B1425" s="645"/>
    </row>
    <row r="1426" spans="1:2" x14ac:dyDescent="0.3">
      <c r="A1426" s="644"/>
      <c r="B1426" s="645"/>
    </row>
    <row r="1427" spans="1:2" x14ac:dyDescent="0.3">
      <c r="A1427" s="644"/>
      <c r="B1427" s="645"/>
    </row>
    <row r="1428" spans="1:2" x14ac:dyDescent="0.3">
      <c r="A1428" s="644"/>
      <c r="B1428" s="645"/>
    </row>
    <row r="1429" spans="1:2" x14ac:dyDescent="0.3">
      <c r="A1429" s="644"/>
      <c r="B1429" s="645"/>
    </row>
    <row r="1430" spans="1:2" x14ac:dyDescent="0.3">
      <c r="A1430" s="644"/>
      <c r="B1430" s="645"/>
    </row>
    <row r="1431" spans="1:2" x14ac:dyDescent="0.3">
      <c r="A1431" s="644"/>
      <c r="B1431" s="645"/>
    </row>
    <row r="1432" spans="1:2" x14ac:dyDescent="0.3">
      <c r="A1432" s="644"/>
      <c r="B1432" s="645"/>
    </row>
    <row r="1433" spans="1:2" x14ac:dyDescent="0.3">
      <c r="A1433" s="644"/>
      <c r="B1433" s="645"/>
    </row>
    <row r="1434" spans="1:2" x14ac:dyDescent="0.3">
      <c r="A1434" s="644"/>
      <c r="B1434" s="645"/>
    </row>
    <row r="1435" spans="1:2" x14ac:dyDescent="0.3">
      <c r="A1435" s="644"/>
      <c r="B1435" s="645"/>
    </row>
    <row r="1436" spans="1:2" x14ac:dyDescent="0.3">
      <c r="A1436" s="644"/>
      <c r="B1436" s="645"/>
    </row>
    <row r="1437" spans="1:2" x14ac:dyDescent="0.3">
      <c r="A1437" s="644"/>
      <c r="B1437" s="645"/>
    </row>
    <row r="1438" spans="1:2" x14ac:dyDescent="0.3">
      <c r="A1438" s="644"/>
      <c r="B1438" s="645"/>
    </row>
    <row r="1439" spans="1:2" x14ac:dyDescent="0.3">
      <c r="A1439" s="644"/>
      <c r="B1439" s="645"/>
    </row>
    <row r="1440" spans="1:2" x14ac:dyDescent="0.3">
      <c r="A1440" s="644"/>
      <c r="B1440" s="645"/>
    </row>
    <row r="1441" spans="1:2" x14ac:dyDescent="0.3">
      <c r="A1441" s="644"/>
      <c r="B1441" s="645"/>
    </row>
    <row r="1442" spans="1:2" x14ac:dyDescent="0.3">
      <c r="A1442" s="644"/>
      <c r="B1442" s="645"/>
    </row>
    <row r="1443" spans="1:2" x14ac:dyDescent="0.3">
      <c r="A1443" s="644"/>
      <c r="B1443" s="645"/>
    </row>
    <row r="1444" spans="1:2" x14ac:dyDescent="0.3">
      <c r="A1444" s="644"/>
      <c r="B1444" s="645"/>
    </row>
    <row r="1445" spans="1:2" x14ac:dyDescent="0.3">
      <c r="A1445" s="644"/>
      <c r="B1445" s="645"/>
    </row>
    <row r="1446" spans="1:2" x14ac:dyDescent="0.3">
      <c r="A1446" s="644"/>
      <c r="B1446" s="645"/>
    </row>
    <row r="1447" spans="1:2" x14ac:dyDescent="0.3">
      <c r="A1447" s="644"/>
      <c r="B1447" s="645"/>
    </row>
    <row r="1448" spans="1:2" x14ac:dyDescent="0.3">
      <c r="A1448" s="644"/>
      <c r="B1448" s="645"/>
    </row>
    <row r="1449" spans="1:2" x14ac:dyDescent="0.3">
      <c r="A1449" s="644"/>
      <c r="B1449" s="645"/>
    </row>
    <row r="1450" spans="1:2" x14ac:dyDescent="0.3">
      <c r="A1450" s="644"/>
      <c r="B1450" s="645"/>
    </row>
    <row r="1451" spans="1:2" x14ac:dyDescent="0.3">
      <c r="A1451" s="644"/>
      <c r="B1451" s="645"/>
    </row>
    <row r="1452" spans="1:2" x14ac:dyDescent="0.3">
      <c r="A1452" s="644"/>
      <c r="B1452" s="645"/>
    </row>
    <row r="1453" spans="1:2" x14ac:dyDescent="0.3">
      <c r="A1453" s="644"/>
      <c r="B1453" s="645"/>
    </row>
    <row r="1454" spans="1:2" x14ac:dyDescent="0.3">
      <c r="A1454" s="644"/>
      <c r="B1454" s="645"/>
    </row>
    <row r="1455" spans="1:2" x14ac:dyDescent="0.3">
      <c r="A1455" s="644"/>
      <c r="B1455" s="645"/>
    </row>
    <row r="1456" spans="1:2" x14ac:dyDescent="0.3">
      <c r="A1456" s="644"/>
      <c r="B1456" s="645"/>
    </row>
    <row r="1457" spans="1:2" x14ac:dyDescent="0.3">
      <c r="A1457" s="644"/>
      <c r="B1457" s="645"/>
    </row>
    <row r="1458" spans="1:2" x14ac:dyDescent="0.3">
      <c r="A1458" s="644"/>
      <c r="B1458" s="645"/>
    </row>
    <row r="1459" spans="1:2" x14ac:dyDescent="0.3">
      <c r="A1459" s="644"/>
      <c r="B1459" s="645"/>
    </row>
    <row r="1460" spans="1:2" x14ac:dyDescent="0.3">
      <c r="A1460" s="644"/>
      <c r="B1460" s="645"/>
    </row>
    <row r="1461" spans="1:2" x14ac:dyDescent="0.3">
      <c r="A1461" s="644"/>
      <c r="B1461" s="645"/>
    </row>
    <row r="1462" spans="1:2" x14ac:dyDescent="0.3">
      <c r="A1462" s="644"/>
      <c r="B1462" s="645"/>
    </row>
    <row r="1463" spans="1:2" x14ac:dyDescent="0.3">
      <c r="A1463" s="644"/>
      <c r="B1463" s="645"/>
    </row>
    <row r="1464" spans="1:2" x14ac:dyDescent="0.3">
      <c r="A1464" s="644"/>
      <c r="B1464" s="645"/>
    </row>
    <row r="1465" spans="1:2" x14ac:dyDescent="0.3">
      <c r="A1465" s="644"/>
      <c r="B1465" s="645"/>
    </row>
    <row r="1466" spans="1:2" x14ac:dyDescent="0.3">
      <c r="A1466" s="644"/>
      <c r="B1466" s="645"/>
    </row>
    <row r="1467" spans="1:2" x14ac:dyDescent="0.3">
      <c r="A1467" s="644"/>
      <c r="B1467" s="645"/>
    </row>
    <row r="1468" spans="1:2" x14ac:dyDescent="0.3">
      <c r="A1468" s="644"/>
      <c r="B1468" s="645"/>
    </row>
    <row r="1469" spans="1:2" x14ac:dyDescent="0.3">
      <c r="A1469" s="644"/>
      <c r="B1469" s="645"/>
    </row>
    <row r="1470" spans="1:2" x14ac:dyDescent="0.3">
      <c r="A1470" s="644"/>
      <c r="B1470" s="645"/>
    </row>
    <row r="1471" spans="1:2" x14ac:dyDescent="0.3">
      <c r="A1471" s="644"/>
      <c r="B1471" s="645"/>
    </row>
    <row r="1472" spans="1:2" x14ac:dyDescent="0.3">
      <c r="A1472" s="644"/>
      <c r="B1472" s="645"/>
    </row>
    <row r="1473" spans="1:2" x14ac:dyDescent="0.3">
      <c r="A1473" s="644"/>
      <c r="B1473" s="645"/>
    </row>
    <row r="1474" spans="1:2" x14ac:dyDescent="0.3">
      <c r="A1474" s="644"/>
      <c r="B1474" s="645"/>
    </row>
    <row r="1475" spans="1:2" x14ac:dyDescent="0.3">
      <c r="A1475" s="644"/>
      <c r="B1475" s="645"/>
    </row>
    <row r="1476" spans="1:2" x14ac:dyDescent="0.3">
      <c r="A1476" s="644"/>
      <c r="B1476" s="645"/>
    </row>
    <row r="1477" spans="1:2" x14ac:dyDescent="0.3">
      <c r="A1477" s="644"/>
      <c r="B1477" s="645"/>
    </row>
    <row r="1478" spans="1:2" x14ac:dyDescent="0.3">
      <c r="A1478" s="644"/>
      <c r="B1478" s="645"/>
    </row>
    <row r="1479" spans="1:2" x14ac:dyDescent="0.3">
      <c r="A1479" s="644"/>
      <c r="B1479" s="645"/>
    </row>
    <row r="1480" spans="1:2" x14ac:dyDescent="0.3">
      <c r="A1480" s="644"/>
      <c r="B1480" s="645"/>
    </row>
    <row r="1481" spans="1:2" x14ac:dyDescent="0.3">
      <c r="A1481" s="644"/>
      <c r="B1481" s="645"/>
    </row>
    <row r="1482" spans="1:2" x14ac:dyDescent="0.3">
      <c r="A1482" s="644"/>
      <c r="B1482" s="645"/>
    </row>
    <row r="1483" spans="1:2" x14ac:dyDescent="0.3">
      <c r="A1483" s="644"/>
      <c r="B1483" s="645"/>
    </row>
    <row r="1484" spans="1:2" x14ac:dyDescent="0.3">
      <c r="A1484" s="644"/>
      <c r="B1484" s="645"/>
    </row>
    <row r="1485" spans="1:2" x14ac:dyDescent="0.3">
      <c r="A1485" s="644"/>
      <c r="B1485" s="645"/>
    </row>
    <row r="1486" spans="1:2" x14ac:dyDescent="0.3">
      <c r="A1486" s="644"/>
      <c r="B1486" s="645"/>
    </row>
    <row r="1487" spans="1:2" x14ac:dyDescent="0.3">
      <c r="A1487" s="644"/>
      <c r="B1487" s="645"/>
    </row>
    <row r="1488" spans="1:2" x14ac:dyDescent="0.3">
      <c r="A1488" s="644"/>
      <c r="B1488" s="645"/>
    </row>
    <row r="1489" spans="1:2" x14ac:dyDescent="0.3">
      <c r="A1489" s="644"/>
      <c r="B1489" s="645"/>
    </row>
    <row r="1490" spans="1:2" x14ac:dyDescent="0.3">
      <c r="A1490" s="644"/>
      <c r="B1490" s="645"/>
    </row>
    <row r="1491" spans="1:2" x14ac:dyDescent="0.3">
      <c r="A1491" s="644"/>
      <c r="B1491" s="645"/>
    </row>
    <row r="1492" spans="1:2" x14ac:dyDescent="0.3">
      <c r="A1492" s="644"/>
      <c r="B1492" s="645"/>
    </row>
    <row r="1493" spans="1:2" x14ac:dyDescent="0.3">
      <c r="A1493" s="644"/>
      <c r="B1493" s="645"/>
    </row>
    <row r="1494" spans="1:2" x14ac:dyDescent="0.3">
      <c r="A1494" s="644"/>
      <c r="B1494" s="645"/>
    </row>
    <row r="1495" spans="1:2" x14ac:dyDescent="0.3">
      <c r="A1495" s="644"/>
      <c r="B1495" s="645"/>
    </row>
    <row r="1496" spans="1:2" x14ac:dyDescent="0.3">
      <c r="A1496" s="644"/>
      <c r="B1496" s="645"/>
    </row>
    <row r="1497" spans="1:2" x14ac:dyDescent="0.3">
      <c r="A1497" s="644"/>
      <c r="B1497" s="645"/>
    </row>
    <row r="1498" spans="1:2" x14ac:dyDescent="0.3">
      <c r="A1498" s="644"/>
      <c r="B1498" s="645"/>
    </row>
    <row r="1499" spans="1:2" x14ac:dyDescent="0.3">
      <c r="A1499" s="644"/>
      <c r="B1499" s="645"/>
    </row>
    <row r="1500" spans="1:2" x14ac:dyDescent="0.3">
      <c r="A1500" s="644"/>
      <c r="B1500" s="645"/>
    </row>
    <row r="1501" spans="1:2" x14ac:dyDescent="0.3">
      <c r="A1501" s="644"/>
      <c r="B1501" s="645"/>
    </row>
    <row r="1502" spans="1:2" x14ac:dyDescent="0.3">
      <c r="A1502" s="644"/>
      <c r="B1502" s="645"/>
    </row>
    <row r="1503" spans="1:2" x14ac:dyDescent="0.3">
      <c r="A1503" s="644"/>
      <c r="B1503" s="645"/>
    </row>
    <row r="1504" spans="1:2" x14ac:dyDescent="0.3">
      <c r="A1504" s="644"/>
      <c r="B1504" s="645"/>
    </row>
    <row r="1505" spans="1:2" x14ac:dyDescent="0.3">
      <c r="A1505" s="644"/>
      <c r="B1505" s="645"/>
    </row>
    <row r="1506" spans="1:2" x14ac:dyDescent="0.3">
      <c r="A1506" s="644"/>
      <c r="B1506" s="645"/>
    </row>
    <row r="1507" spans="1:2" x14ac:dyDescent="0.3">
      <c r="A1507" s="644"/>
      <c r="B1507" s="645"/>
    </row>
    <row r="1508" spans="1:2" x14ac:dyDescent="0.3">
      <c r="A1508" s="644"/>
      <c r="B1508" s="645"/>
    </row>
    <row r="1509" spans="1:2" x14ac:dyDescent="0.3">
      <c r="A1509" s="644"/>
      <c r="B1509" s="645"/>
    </row>
    <row r="1510" spans="1:2" x14ac:dyDescent="0.3">
      <c r="A1510" s="644"/>
      <c r="B1510" s="645"/>
    </row>
    <row r="1511" spans="1:2" x14ac:dyDescent="0.3">
      <c r="A1511" s="644"/>
      <c r="B1511" s="645"/>
    </row>
    <row r="1512" spans="1:2" x14ac:dyDescent="0.3">
      <c r="A1512" s="644"/>
      <c r="B1512" s="645"/>
    </row>
    <row r="1513" spans="1:2" x14ac:dyDescent="0.3">
      <c r="A1513" s="644"/>
      <c r="B1513" s="645"/>
    </row>
    <row r="1514" spans="1:2" x14ac:dyDescent="0.3">
      <c r="A1514" s="644"/>
      <c r="B1514" s="645"/>
    </row>
    <row r="1515" spans="1:2" x14ac:dyDescent="0.3">
      <c r="A1515" s="644"/>
      <c r="B1515" s="645"/>
    </row>
    <row r="1516" spans="1:2" x14ac:dyDescent="0.3">
      <c r="A1516" s="644"/>
      <c r="B1516" s="645"/>
    </row>
    <row r="1517" spans="1:2" x14ac:dyDescent="0.3">
      <c r="A1517" s="644"/>
      <c r="B1517" s="645"/>
    </row>
    <row r="1518" spans="1:2" x14ac:dyDescent="0.3">
      <c r="A1518" s="644"/>
      <c r="B1518" s="645"/>
    </row>
    <row r="1519" spans="1:2" x14ac:dyDescent="0.3">
      <c r="A1519" s="644"/>
      <c r="B1519" s="645"/>
    </row>
    <row r="1520" spans="1:2" x14ac:dyDescent="0.3">
      <c r="A1520" s="644"/>
      <c r="B1520" s="645"/>
    </row>
    <row r="1521" spans="1:2" x14ac:dyDescent="0.3">
      <c r="A1521" s="644"/>
      <c r="B1521" s="645"/>
    </row>
    <row r="1522" spans="1:2" x14ac:dyDescent="0.3">
      <c r="A1522" s="644"/>
      <c r="B1522" s="645"/>
    </row>
    <row r="1523" spans="1:2" x14ac:dyDescent="0.3">
      <c r="A1523" s="644"/>
      <c r="B1523" s="645"/>
    </row>
    <row r="1524" spans="1:2" x14ac:dyDescent="0.3">
      <c r="A1524" s="644"/>
      <c r="B1524" s="645"/>
    </row>
    <row r="1525" spans="1:2" x14ac:dyDescent="0.3">
      <c r="A1525" s="644"/>
      <c r="B1525" s="645"/>
    </row>
    <row r="1526" spans="1:2" x14ac:dyDescent="0.3">
      <c r="A1526" s="644"/>
      <c r="B1526" s="645"/>
    </row>
    <row r="1527" spans="1:2" x14ac:dyDescent="0.3">
      <c r="A1527" s="644"/>
      <c r="B1527" s="645"/>
    </row>
    <row r="1528" spans="1:2" x14ac:dyDescent="0.3">
      <c r="A1528" s="644"/>
      <c r="B1528" s="645"/>
    </row>
    <row r="1529" spans="1:2" x14ac:dyDescent="0.3">
      <c r="A1529" s="644"/>
      <c r="B1529" s="645"/>
    </row>
    <row r="1530" spans="1:2" x14ac:dyDescent="0.3">
      <c r="A1530" s="644"/>
      <c r="B1530" s="645"/>
    </row>
    <row r="1531" spans="1:2" x14ac:dyDescent="0.3">
      <c r="A1531" s="644"/>
      <c r="B1531" s="645"/>
    </row>
    <row r="1532" spans="1:2" x14ac:dyDescent="0.3">
      <c r="A1532" s="644"/>
      <c r="B1532" s="645"/>
    </row>
    <row r="1533" spans="1:2" x14ac:dyDescent="0.3">
      <c r="A1533" s="644"/>
      <c r="B1533" s="645"/>
    </row>
    <row r="1534" spans="1:2" x14ac:dyDescent="0.3">
      <c r="A1534" s="644"/>
      <c r="B1534" s="645"/>
    </row>
    <row r="1535" spans="1:2" x14ac:dyDescent="0.3">
      <c r="A1535" s="644"/>
      <c r="B1535" s="645"/>
    </row>
    <row r="1536" spans="1:2" x14ac:dyDescent="0.3">
      <c r="A1536" s="644"/>
      <c r="B1536" s="645"/>
    </row>
    <row r="1537" spans="1:2" x14ac:dyDescent="0.3">
      <c r="A1537" s="644"/>
      <c r="B1537" s="645"/>
    </row>
    <row r="1538" spans="1:2" x14ac:dyDescent="0.3">
      <c r="A1538" s="644"/>
      <c r="B1538" s="645"/>
    </row>
    <row r="1539" spans="1:2" x14ac:dyDescent="0.3">
      <c r="A1539" s="644"/>
      <c r="B1539" s="645"/>
    </row>
    <row r="1540" spans="1:2" x14ac:dyDescent="0.3">
      <c r="A1540" s="644"/>
      <c r="B1540" s="645"/>
    </row>
    <row r="1541" spans="1:2" x14ac:dyDescent="0.3">
      <c r="A1541" s="644"/>
      <c r="B1541" s="645"/>
    </row>
    <row r="1542" spans="1:2" x14ac:dyDescent="0.3">
      <c r="A1542" s="644"/>
      <c r="B1542" s="645"/>
    </row>
    <row r="1543" spans="1:2" x14ac:dyDescent="0.3">
      <c r="A1543" s="644"/>
      <c r="B1543" s="645"/>
    </row>
    <row r="1544" spans="1:2" x14ac:dyDescent="0.3">
      <c r="A1544" s="644"/>
      <c r="B1544" s="645"/>
    </row>
    <row r="1545" spans="1:2" x14ac:dyDescent="0.3">
      <c r="A1545" s="644"/>
      <c r="B1545" s="645"/>
    </row>
    <row r="1546" spans="1:2" x14ac:dyDescent="0.3">
      <c r="A1546" s="644"/>
      <c r="B1546" s="645"/>
    </row>
    <row r="1547" spans="1:2" x14ac:dyDescent="0.3">
      <c r="A1547" s="644"/>
      <c r="B1547" s="645"/>
    </row>
    <row r="1548" spans="1:2" x14ac:dyDescent="0.3">
      <c r="A1548" s="644"/>
      <c r="B1548" s="645"/>
    </row>
    <row r="1549" spans="1:2" x14ac:dyDescent="0.3">
      <c r="A1549" s="644"/>
      <c r="B1549" s="645"/>
    </row>
    <row r="1550" spans="1:2" x14ac:dyDescent="0.3">
      <c r="A1550" s="644"/>
      <c r="B1550" s="645"/>
    </row>
    <row r="1551" spans="1:2" x14ac:dyDescent="0.3">
      <c r="A1551" s="644"/>
      <c r="B1551" s="645"/>
    </row>
    <row r="1552" spans="1:2" x14ac:dyDescent="0.3">
      <c r="A1552" s="644"/>
      <c r="B1552" s="645"/>
    </row>
    <row r="1553" spans="1:2" x14ac:dyDescent="0.3">
      <c r="A1553" s="644"/>
      <c r="B1553" s="645"/>
    </row>
    <row r="1554" spans="1:2" x14ac:dyDescent="0.3">
      <c r="A1554" s="644"/>
      <c r="B1554" s="645"/>
    </row>
    <row r="1555" spans="1:2" x14ac:dyDescent="0.3">
      <c r="A1555" s="644"/>
      <c r="B1555" s="645"/>
    </row>
    <row r="1556" spans="1:2" x14ac:dyDescent="0.3">
      <c r="A1556" s="644"/>
      <c r="B1556" s="645"/>
    </row>
    <row r="1557" spans="1:2" x14ac:dyDescent="0.3">
      <c r="A1557" s="644"/>
      <c r="B1557" s="645"/>
    </row>
    <row r="1558" spans="1:2" x14ac:dyDescent="0.3">
      <c r="A1558" s="644"/>
      <c r="B1558" s="645"/>
    </row>
    <row r="1559" spans="1:2" x14ac:dyDescent="0.3">
      <c r="A1559" s="644"/>
      <c r="B1559" s="645"/>
    </row>
    <row r="1560" spans="1:2" x14ac:dyDescent="0.3">
      <c r="A1560" s="644"/>
      <c r="B1560" s="645"/>
    </row>
    <row r="1561" spans="1:2" x14ac:dyDescent="0.3">
      <c r="A1561" s="644"/>
      <c r="B1561" s="645"/>
    </row>
    <row r="1562" spans="1:2" x14ac:dyDescent="0.3">
      <c r="A1562" s="644"/>
      <c r="B1562" s="645"/>
    </row>
    <row r="1563" spans="1:2" x14ac:dyDescent="0.3">
      <c r="A1563" s="644"/>
      <c r="B1563" s="645"/>
    </row>
    <row r="1564" spans="1:2" x14ac:dyDescent="0.3">
      <c r="A1564" s="644"/>
      <c r="B1564" s="645"/>
    </row>
    <row r="1565" spans="1:2" x14ac:dyDescent="0.3">
      <c r="A1565" s="644"/>
      <c r="B1565" s="645"/>
    </row>
    <row r="1566" spans="1:2" x14ac:dyDescent="0.3">
      <c r="A1566" s="644"/>
      <c r="B1566" s="645"/>
    </row>
    <row r="1567" spans="1:2" x14ac:dyDescent="0.3">
      <c r="A1567" s="644"/>
      <c r="B1567" s="645"/>
    </row>
    <row r="1568" spans="1:2" x14ac:dyDescent="0.3">
      <c r="A1568" s="644"/>
      <c r="B1568" s="645"/>
    </row>
    <row r="1569" spans="1:2" x14ac:dyDescent="0.3">
      <c r="A1569" s="644"/>
      <c r="B1569" s="645"/>
    </row>
    <row r="1570" spans="1:2" x14ac:dyDescent="0.3">
      <c r="A1570" s="644"/>
      <c r="B1570" s="645"/>
    </row>
    <row r="1571" spans="1:2" x14ac:dyDescent="0.3">
      <c r="A1571" s="644"/>
      <c r="B1571" s="645"/>
    </row>
    <row r="1572" spans="1:2" x14ac:dyDescent="0.3">
      <c r="A1572" s="644"/>
      <c r="B1572" s="645"/>
    </row>
    <row r="1573" spans="1:2" x14ac:dyDescent="0.3">
      <c r="A1573" s="644"/>
      <c r="B1573" s="645"/>
    </row>
    <row r="1574" spans="1:2" x14ac:dyDescent="0.3">
      <c r="A1574" s="644"/>
      <c r="B1574" s="645"/>
    </row>
    <row r="1575" spans="1:2" x14ac:dyDescent="0.3">
      <c r="A1575" s="644"/>
      <c r="B1575" s="645"/>
    </row>
    <row r="1576" spans="1:2" x14ac:dyDescent="0.3">
      <c r="A1576" s="644"/>
      <c r="B1576" s="645"/>
    </row>
    <row r="1577" spans="1:2" x14ac:dyDescent="0.3">
      <c r="A1577" s="644"/>
      <c r="B1577" s="645"/>
    </row>
    <row r="1578" spans="1:2" x14ac:dyDescent="0.3">
      <c r="A1578" s="644"/>
      <c r="B1578" s="645"/>
    </row>
    <row r="1579" spans="1:2" x14ac:dyDescent="0.3">
      <c r="A1579" s="644"/>
      <c r="B1579" s="645"/>
    </row>
    <row r="1580" spans="1:2" x14ac:dyDescent="0.3">
      <c r="A1580" s="644"/>
      <c r="B1580" s="645"/>
    </row>
    <row r="1581" spans="1:2" x14ac:dyDescent="0.3">
      <c r="A1581" s="644"/>
      <c r="B1581" s="645"/>
    </row>
    <row r="1582" spans="1:2" x14ac:dyDescent="0.3">
      <c r="A1582" s="644"/>
      <c r="B1582" s="645"/>
    </row>
    <row r="1583" spans="1:2" x14ac:dyDescent="0.3">
      <c r="A1583" s="644"/>
      <c r="B1583" s="645"/>
    </row>
    <row r="1584" spans="1:2" x14ac:dyDescent="0.3">
      <c r="A1584" s="644"/>
      <c r="B1584" s="645"/>
    </row>
    <row r="1585" spans="1:2" x14ac:dyDescent="0.3">
      <c r="A1585" s="644"/>
      <c r="B1585" s="645"/>
    </row>
    <row r="1586" spans="1:2" x14ac:dyDescent="0.3">
      <c r="A1586" s="644"/>
      <c r="B1586" s="645"/>
    </row>
    <row r="1587" spans="1:2" x14ac:dyDescent="0.3">
      <c r="A1587" s="644"/>
      <c r="B1587" s="645"/>
    </row>
    <row r="1588" spans="1:2" x14ac:dyDescent="0.3">
      <c r="A1588" s="644"/>
      <c r="B1588" s="645"/>
    </row>
    <row r="1589" spans="1:2" x14ac:dyDescent="0.3">
      <c r="A1589" s="644"/>
      <c r="B1589" s="645"/>
    </row>
    <row r="1590" spans="1:2" x14ac:dyDescent="0.3">
      <c r="A1590" s="644"/>
      <c r="B1590" s="645"/>
    </row>
    <row r="1591" spans="1:2" x14ac:dyDescent="0.3">
      <c r="A1591" s="644"/>
      <c r="B1591" s="645"/>
    </row>
    <row r="1592" spans="1:2" x14ac:dyDescent="0.3">
      <c r="A1592" s="644"/>
      <c r="B1592" s="645"/>
    </row>
    <row r="1593" spans="1:2" x14ac:dyDescent="0.3">
      <c r="A1593" s="644"/>
      <c r="B1593" s="645"/>
    </row>
    <row r="1594" spans="1:2" x14ac:dyDescent="0.3">
      <c r="A1594" s="644"/>
      <c r="B1594" s="645"/>
    </row>
    <row r="1595" spans="1:2" x14ac:dyDescent="0.3">
      <c r="A1595" s="644"/>
      <c r="B1595" s="645"/>
    </row>
    <row r="1596" spans="1:2" x14ac:dyDescent="0.3">
      <c r="A1596" s="644"/>
      <c r="B1596" s="645"/>
    </row>
    <row r="1597" spans="1:2" x14ac:dyDescent="0.3">
      <c r="A1597" s="644"/>
      <c r="B1597" s="645"/>
    </row>
    <row r="1598" spans="1:2" x14ac:dyDescent="0.3">
      <c r="A1598" s="644"/>
      <c r="B1598" s="645"/>
    </row>
    <row r="1599" spans="1:2" x14ac:dyDescent="0.3">
      <c r="A1599" s="644"/>
      <c r="B1599" s="645"/>
    </row>
    <row r="1600" spans="1:2" x14ac:dyDescent="0.3">
      <c r="A1600" s="644"/>
      <c r="B1600" s="645"/>
    </row>
    <row r="1601" spans="1:2" x14ac:dyDescent="0.3">
      <c r="A1601" s="644"/>
      <c r="B1601" s="645"/>
    </row>
    <row r="1602" spans="1:2" x14ac:dyDescent="0.3">
      <c r="A1602" s="644"/>
      <c r="B1602" s="645"/>
    </row>
    <row r="1603" spans="1:2" x14ac:dyDescent="0.3">
      <c r="A1603" s="644"/>
      <c r="B1603" s="645"/>
    </row>
    <row r="1604" spans="1:2" x14ac:dyDescent="0.3">
      <c r="A1604" s="644"/>
      <c r="B1604" s="645"/>
    </row>
    <row r="1605" spans="1:2" x14ac:dyDescent="0.3">
      <c r="A1605" s="644"/>
      <c r="B1605" s="645"/>
    </row>
    <row r="1606" spans="1:2" x14ac:dyDescent="0.3">
      <c r="A1606" s="644"/>
      <c r="B1606" s="645"/>
    </row>
    <row r="1607" spans="1:2" x14ac:dyDescent="0.3">
      <c r="A1607" s="644"/>
      <c r="B1607" s="645"/>
    </row>
    <row r="1608" spans="1:2" x14ac:dyDescent="0.3">
      <c r="A1608" s="644"/>
      <c r="B1608" s="645"/>
    </row>
    <row r="1609" spans="1:2" x14ac:dyDescent="0.3">
      <c r="A1609" s="644"/>
      <c r="B1609" s="645"/>
    </row>
    <row r="1610" spans="1:2" x14ac:dyDescent="0.3">
      <c r="A1610" s="644"/>
      <c r="B1610" s="645"/>
    </row>
    <row r="1611" spans="1:2" x14ac:dyDescent="0.3">
      <c r="A1611" s="644"/>
      <c r="B1611" s="645"/>
    </row>
    <row r="1612" spans="1:2" x14ac:dyDescent="0.3">
      <c r="A1612" s="644"/>
      <c r="B1612" s="645"/>
    </row>
    <row r="1613" spans="1:2" x14ac:dyDescent="0.3">
      <c r="A1613" s="644"/>
      <c r="B1613" s="645"/>
    </row>
    <row r="1614" spans="1:2" x14ac:dyDescent="0.3">
      <c r="A1614" s="644"/>
      <c r="B1614" s="645"/>
    </row>
    <row r="1615" spans="1:2" x14ac:dyDescent="0.3">
      <c r="A1615" s="644"/>
      <c r="B1615" s="645"/>
    </row>
    <row r="1616" spans="1:2" x14ac:dyDescent="0.3">
      <c r="A1616" s="644"/>
      <c r="B1616" s="645"/>
    </row>
    <row r="1617" spans="1:2" x14ac:dyDescent="0.3">
      <c r="A1617" s="644"/>
      <c r="B1617" s="645"/>
    </row>
    <row r="1618" spans="1:2" x14ac:dyDescent="0.3">
      <c r="A1618" s="644"/>
      <c r="B1618" s="645"/>
    </row>
    <row r="1619" spans="1:2" x14ac:dyDescent="0.3">
      <c r="A1619" s="644"/>
      <c r="B1619" s="645"/>
    </row>
    <row r="1620" spans="1:2" x14ac:dyDescent="0.3">
      <c r="A1620" s="644"/>
      <c r="B1620" s="645"/>
    </row>
    <row r="1621" spans="1:2" x14ac:dyDescent="0.3">
      <c r="A1621" s="644"/>
      <c r="B1621" s="645"/>
    </row>
    <row r="1622" spans="1:2" x14ac:dyDescent="0.3">
      <c r="A1622" s="644"/>
      <c r="B1622" s="645"/>
    </row>
    <row r="1623" spans="1:2" x14ac:dyDescent="0.3">
      <c r="A1623" s="644"/>
      <c r="B1623" s="645"/>
    </row>
    <row r="1624" spans="1:2" x14ac:dyDescent="0.3">
      <c r="A1624" s="644"/>
      <c r="B1624" s="645"/>
    </row>
    <row r="1625" spans="1:2" x14ac:dyDescent="0.3">
      <c r="A1625" s="644"/>
      <c r="B1625" s="645"/>
    </row>
    <row r="1626" spans="1:2" x14ac:dyDescent="0.3">
      <c r="A1626" s="644"/>
      <c r="B1626" s="645"/>
    </row>
    <row r="1627" spans="1:2" x14ac:dyDescent="0.3">
      <c r="A1627" s="644"/>
      <c r="B1627" s="645"/>
    </row>
    <row r="1628" spans="1:2" x14ac:dyDescent="0.3">
      <c r="A1628" s="644"/>
      <c r="B1628" s="645"/>
    </row>
    <row r="1629" spans="1:2" x14ac:dyDescent="0.3">
      <c r="A1629" s="644"/>
      <c r="B1629" s="645"/>
    </row>
    <row r="1630" spans="1:2" x14ac:dyDescent="0.3">
      <c r="A1630" s="644"/>
      <c r="B1630" s="645"/>
    </row>
    <row r="1631" spans="1:2" x14ac:dyDescent="0.3">
      <c r="A1631" s="644"/>
      <c r="B1631" s="645"/>
    </row>
    <row r="1632" spans="1:2" x14ac:dyDescent="0.3">
      <c r="A1632" s="644"/>
      <c r="B1632" s="645"/>
    </row>
    <row r="1633" spans="1:2" x14ac:dyDescent="0.3">
      <c r="A1633" s="644"/>
      <c r="B1633" s="645"/>
    </row>
    <row r="1634" spans="1:2" x14ac:dyDescent="0.3">
      <c r="A1634" s="644"/>
      <c r="B1634" s="645"/>
    </row>
    <row r="1635" spans="1:2" x14ac:dyDescent="0.3">
      <c r="A1635" s="644"/>
      <c r="B1635" s="645"/>
    </row>
    <row r="1636" spans="1:2" x14ac:dyDescent="0.3">
      <c r="A1636" s="644"/>
      <c r="B1636" s="645"/>
    </row>
    <row r="1637" spans="1:2" x14ac:dyDescent="0.3">
      <c r="A1637" s="644"/>
      <c r="B1637" s="645"/>
    </row>
    <row r="1638" spans="1:2" x14ac:dyDescent="0.3">
      <c r="A1638" s="644"/>
      <c r="B1638" s="645"/>
    </row>
    <row r="1639" spans="1:2" x14ac:dyDescent="0.3">
      <c r="A1639" s="644"/>
      <c r="B1639" s="645"/>
    </row>
    <row r="1640" spans="1:2" x14ac:dyDescent="0.3">
      <c r="A1640" s="644"/>
      <c r="B1640" s="645"/>
    </row>
    <row r="1641" spans="1:2" x14ac:dyDescent="0.3">
      <c r="A1641" s="644"/>
      <c r="B1641" s="645"/>
    </row>
    <row r="1642" spans="1:2" x14ac:dyDescent="0.3">
      <c r="A1642" s="644"/>
      <c r="B1642" s="645"/>
    </row>
    <row r="1643" spans="1:2" x14ac:dyDescent="0.3">
      <c r="A1643" s="644"/>
      <c r="B1643" s="645"/>
    </row>
    <row r="1644" spans="1:2" x14ac:dyDescent="0.3">
      <c r="A1644" s="644"/>
      <c r="B1644" s="645"/>
    </row>
    <row r="1645" spans="1:2" x14ac:dyDescent="0.3">
      <c r="A1645" s="644"/>
      <c r="B1645" s="645"/>
    </row>
    <row r="1646" spans="1:2" x14ac:dyDescent="0.3">
      <c r="A1646" s="644"/>
      <c r="B1646" s="645"/>
    </row>
    <row r="1647" spans="1:2" x14ac:dyDescent="0.3">
      <c r="A1647" s="644"/>
      <c r="B1647" s="645"/>
    </row>
    <row r="1648" spans="1:2" x14ac:dyDescent="0.3">
      <c r="A1648" s="644"/>
      <c r="B1648" s="645"/>
    </row>
    <row r="1649" spans="1:2" x14ac:dyDescent="0.3">
      <c r="A1649" s="644"/>
      <c r="B1649" s="645"/>
    </row>
    <row r="1650" spans="1:2" x14ac:dyDescent="0.3">
      <c r="A1650" s="644"/>
      <c r="B1650" s="645"/>
    </row>
    <row r="1651" spans="1:2" x14ac:dyDescent="0.3">
      <c r="A1651" s="644"/>
      <c r="B1651" s="645"/>
    </row>
    <row r="1652" spans="1:2" x14ac:dyDescent="0.3">
      <c r="A1652" s="644"/>
      <c r="B1652" s="645"/>
    </row>
    <row r="1653" spans="1:2" x14ac:dyDescent="0.3">
      <c r="A1653" s="644"/>
      <c r="B1653" s="645"/>
    </row>
    <row r="1654" spans="1:2" x14ac:dyDescent="0.3">
      <c r="A1654" s="644"/>
      <c r="B1654" s="645"/>
    </row>
    <row r="1655" spans="1:2" x14ac:dyDescent="0.3">
      <c r="A1655" s="644"/>
      <c r="B1655" s="645"/>
    </row>
    <row r="1656" spans="1:2" x14ac:dyDescent="0.3">
      <c r="A1656" s="644"/>
      <c r="B1656" s="645"/>
    </row>
    <row r="1657" spans="1:2" x14ac:dyDescent="0.3">
      <c r="A1657" s="644"/>
      <c r="B1657" s="645"/>
    </row>
    <row r="1658" spans="1:2" x14ac:dyDescent="0.3">
      <c r="A1658" s="644"/>
      <c r="B1658" s="645"/>
    </row>
    <row r="1659" spans="1:2" x14ac:dyDescent="0.3">
      <c r="A1659" s="644"/>
      <c r="B1659" s="645"/>
    </row>
    <row r="1660" spans="1:2" x14ac:dyDescent="0.3">
      <c r="A1660" s="644"/>
      <c r="B1660" s="645"/>
    </row>
    <row r="1661" spans="1:2" x14ac:dyDescent="0.3">
      <c r="A1661" s="644"/>
      <c r="B1661" s="645"/>
    </row>
    <row r="1662" spans="1:2" x14ac:dyDescent="0.3">
      <c r="A1662" s="644"/>
      <c r="B1662" s="645"/>
    </row>
    <row r="1663" spans="1:2" x14ac:dyDescent="0.3">
      <c r="A1663" s="644"/>
      <c r="B1663" s="645"/>
    </row>
    <row r="1664" spans="1:2" x14ac:dyDescent="0.3">
      <c r="A1664" s="644"/>
      <c r="B1664" s="645"/>
    </row>
    <row r="1665" spans="1:2" x14ac:dyDescent="0.3">
      <c r="A1665" s="644"/>
      <c r="B1665" s="645"/>
    </row>
    <row r="1666" spans="1:2" x14ac:dyDescent="0.3">
      <c r="A1666" s="644"/>
      <c r="B1666" s="645"/>
    </row>
    <row r="1667" spans="1:2" x14ac:dyDescent="0.3">
      <c r="A1667" s="644"/>
      <c r="B1667" s="645"/>
    </row>
    <row r="1668" spans="1:2" x14ac:dyDescent="0.3">
      <c r="A1668" s="644"/>
      <c r="B1668" s="645"/>
    </row>
    <row r="1669" spans="1:2" x14ac:dyDescent="0.3">
      <c r="A1669" s="644"/>
      <c r="B1669" s="645"/>
    </row>
    <row r="1670" spans="1:2" x14ac:dyDescent="0.3">
      <c r="A1670" s="644"/>
      <c r="B1670" s="645"/>
    </row>
    <row r="1671" spans="1:2" x14ac:dyDescent="0.3">
      <c r="A1671" s="644"/>
      <c r="B1671" s="645"/>
    </row>
    <row r="1672" spans="1:2" x14ac:dyDescent="0.3">
      <c r="A1672" s="644"/>
      <c r="B1672" s="645"/>
    </row>
    <row r="1673" spans="1:2" x14ac:dyDescent="0.3">
      <c r="A1673" s="644"/>
      <c r="B1673" s="645"/>
    </row>
    <row r="1674" spans="1:2" x14ac:dyDescent="0.3">
      <c r="A1674" s="644"/>
      <c r="B1674" s="645"/>
    </row>
    <row r="1675" spans="1:2" x14ac:dyDescent="0.3">
      <c r="A1675" s="644"/>
      <c r="B1675" s="645"/>
    </row>
    <row r="1676" spans="1:2" x14ac:dyDescent="0.3">
      <c r="A1676" s="644"/>
      <c r="B1676" s="645"/>
    </row>
    <row r="1677" spans="1:2" x14ac:dyDescent="0.3">
      <c r="A1677" s="644"/>
      <c r="B1677" s="645"/>
    </row>
    <row r="1678" spans="1:2" x14ac:dyDescent="0.3">
      <c r="A1678" s="644"/>
      <c r="B1678" s="645"/>
    </row>
    <row r="1679" spans="1:2" x14ac:dyDescent="0.3">
      <c r="A1679" s="644"/>
      <c r="B1679" s="645"/>
    </row>
    <row r="1680" spans="1:2" x14ac:dyDescent="0.3">
      <c r="A1680" s="644"/>
      <c r="B1680" s="645"/>
    </row>
    <row r="1681" spans="1:2" x14ac:dyDescent="0.3">
      <c r="A1681" s="644"/>
      <c r="B1681" s="645"/>
    </row>
    <row r="1682" spans="1:2" x14ac:dyDescent="0.3">
      <c r="A1682" s="644"/>
      <c r="B1682" s="645"/>
    </row>
    <row r="1683" spans="1:2" x14ac:dyDescent="0.3">
      <c r="A1683" s="644"/>
      <c r="B1683" s="645"/>
    </row>
    <row r="1684" spans="1:2" x14ac:dyDescent="0.3">
      <c r="A1684" s="644"/>
      <c r="B1684" s="645"/>
    </row>
    <row r="1685" spans="1:2" x14ac:dyDescent="0.3">
      <c r="A1685" s="644"/>
      <c r="B1685" s="645"/>
    </row>
    <row r="1686" spans="1:2" x14ac:dyDescent="0.3">
      <c r="A1686" s="644"/>
      <c r="B1686" s="645"/>
    </row>
    <row r="1687" spans="1:2" x14ac:dyDescent="0.3">
      <c r="A1687" s="644"/>
      <c r="B1687" s="645"/>
    </row>
    <row r="1688" spans="1:2" x14ac:dyDescent="0.3">
      <c r="A1688" s="644"/>
      <c r="B1688" s="645"/>
    </row>
    <row r="1689" spans="1:2" x14ac:dyDescent="0.3">
      <c r="A1689" s="644"/>
      <c r="B1689" s="645"/>
    </row>
    <row r="1690" spans="1:2" x14ac:dyDescent="0.3">
      <c r="A1690" s="644"/>
      <c r="B1690" s="645"/>
    </row>
    <row r="1691" spans="1:2" x14ac:dyDescent="0.3">
      <c r="A1691" s="644"/>
      <c r="B1691" s="645"/>
    </row>
    <row r="1692" spans="1:2" x14ac:dyDescent="0.3">
      <c r="A1692" s="644"/>
      <c r="B1692" s="645"/>
    </row>
    <row r="1693" spans="1:2" x14ac:dyDescent="0.3">
      <c r="A1693" s="644"/>
      <c r="B1693" s="645"/>
    </row>
    <row r="1694" spans="1:2" x14ac:dyDescent="0.3">
      <c r="A1694" s="644"/>
      <c r="B1694" s="645"/>
    </row>
    <row r="1695" spans="1:2" x14ac:dyDescent="0.3">
      <c r="A1695" s="644"/>
      <c r="B1695" s="645"/>
    </row>
    <row r="1696" spans="1:2" x14ac:dyDescent="0.3">
      <c r="A1696" s="644"/>
      <c r="B1696" s="645"/>
    </row>
    <row r="1697" spans="1:2" x14ac:dyDescent="0.3">
      <c r="A1697" s="644"/>
      <c r="B1697" s="645"/>
    </row>
    <row r="1698" spans="1:2" x14ac:dyDescent="0.3">
      <c r="A1698" s="644"/>
      <c r="B1698" s="645"/>
    </row>
    <row r="1699" spans="1:2" x14ac:dyDescent="0.3">
      <c r="A1699" s="644"/>
      <c r="B1699" s="645"/>
    </row>
    <row r="1700" spans="1:2" x14ac:dyDescent="0.3">
      <c r="A1700" s="644"/>
      <c r="B1700" s="645"/>
    </row>
    <row r="1701" spans="1:2" x14ac:dyDescent="0.3">
      <c r="A1701" s="644"/>
      <c r="B1701" s="645"/>
    </row>
    <row r="1702" spans="1:2" x14ac:dyDescent="0.3">
      <c r="A1702" s="644"/>
      <c r="B1702" s="645"/>
    </row>
    <row r="1703" spans="1:2" x14ac:dyDescent="0.3">
      <c r="A1703" s="644"/>
      <c r="B1703" s="645"/>
    </row>
    <row r="1704" spans="1:2" x14ac:dyDescent="0.3">
      <c r="A1704" s="644"/>
      <c r="B1704" s="645"/>
    </row>
    <row r="1705" spans="1:2" x14ac:dyDescent="0.3">
      <c r="A1705" s="644"/>
      <c r="B1705" s="645"/>
    </row>
    <row r="1706" spans="1:2" x14ac:dyDescent="0.3">
      <c r="A1706" s="644"/>
      <c r="B1706" s="645"/>
    </row>
    <row r="1707" spans="1:2" x14ac:dyDescent="0.3">
      <c r="A1707" s="644"/>
      <c r="B1707" s="645"/>
    </row>
    <row r="1708" spans="1:2" x14ac:dyDescent="0.3">
      <c r="A1708" s="644"/>
      <c r="B1708" s="645"/>
    </row>
    <row r="1709" spans="1:2" x14ac:dyDescent="0.3">
      <c r="A1709" s="644"/>
      <c r="B1709" s="645"/>
    </row>
    <row r="1710" spans="1:2" x14ac:dyDescent="0.3">
      <c r="A1710" s="644"/>
      <c r="B1710" s="645"/>
    </row>
    <row r="1711" spans="1:2" x14ac:dyDescent="0.3">
      <c r="A1711" s="644"/>
      <c r="B1711" s="645"/>
    </row>
    <row r="1712" spans="1:2" x14ac:dyDescent="0.3">
      <c r="A1712" s="644"/>
      <c r="B1712" s="645"/>
    </row>
    <row r="1713" spans="1:2" x14ac:dyDescent="0.3">
      <c r="A1713" s="644"/>
      <c r="B1713" s="645"/>
    </row>
    <row r="1714" spans="1:2" x14ac:dyDescent="0.3">
      <c r="A1714" s="644"/>
      <c r="B1714" s="645"/>
    </row>
    <row r="1715" spans="1:2" x14ac:dyDescent="0.3">
      <c r="A1715" s="644"/>
      <c r="B1715" s="645"/>
    </row>
    <row r="1716" spans="1:2" x14ac:dyDescent="0.3">
      <c r="A1716" s="644"/>
      <c r="B1716" s="645"/>
    </row>
    <row r="1717" spans="1:2" x14ac:dyDescent="0.3">
      <c r="A1717" s="644"/>
      <c r="B1717" s="645"/>
    </row>
    <row r="1718" spans="1:2" x14ac:dyDescent="0.3">
      <c r="A1718" s="644"/>
      <c r="B1718" s="645"/>
    </row>
    <row r="1719" spans="1:2" x14ac:dyDescent="0.3">
      <c r="A1719" s="644"/>
      <c r="B1719" s="645"/>
    </row>
    <row r="1720" spans="1:2" x14ac:dyDescent="0.3">
      <c r="A1720" s="644"/>
      <c r="B1720" s="645"/>
    </row>
    <row r="1721" spans="1:2" x14ac:dyDescent="0.3">
      <c r="A1721" s="644"/>
      <c r="B1721" s="645"/>
    </row>
    <row r="1722" spans="1:2" x14ac:dyDescent="0.3">
      <c r="A1722" s="644"/>
      <c r="B1722" s="645"/>
    </row>
    <row r="1723" spans="1:2" x14ac:dyDescent="0.3">
      <c r="A1723" s="644"/>
      <c r="B1723" s="645"/>
    </row>
    <row r="1724" spans="1:2" x14ac:dyDescent="0.3">
      <c r="A1724" s="644"/>
      <c r="B1724" s="645"/>
    </row>
    <row r="1725" spans="1:2" x14ac:dyDescent="0.3">
      <c r="A1725" s="644"/>
      <c r="B1725" s="645"/>
    </row>
    <row r="1726" spans="1:2" x14ac:dyDescent="0.3">
      <c r="A1726" s="644"/>
      <c r="B1726" s="645"/>
    </row>
    <row r="1727" spans="1:2" x14ac:dyDescent="0.3">
      <c r="A1727" s="644"/>
      <c r="B1727" s="645"/>
    </row>
    <row r="1728" spans="1:2" x14ac:dyDescent="0.3">
      <c r="A1728" s="644"/>
      <c r="B1728" s="645"/>
    </row>
    <row r="1729" spans="1:2" x14ac:dyDescent="0.3">
      <c r="A1729" s="644"/>
      <c r="B1729" s="645"/>
    </row>
    <row r="1730" spans="1:2" x14ac:dyDescent="0.3">
      <c r="A1730" s="644"/>
      <c r="B1730" s="645"/>
    </row>
    <row r="1731" spans="1:2" x14ac:dyDescent="0.3">
      <c r="A1731" s="644"/>
      <c r="B1731" s="645"/>
    </row>
    <row r="1732" spans="1:2" x14ac:dyDescent="0.3">
      <c r="A1732" s="644"/>
      <c r="B1732" s="645"/>
    </row>
    <row r="1733" spans="1:2" x14ac:dyDescent="0.3">
      <c r="A1733" s="644"/>
      <c r="B1733" s="645"/>
    </row>
    <row r="1734" spans="1:2" x14ac:dyDescent="0.3">
      <c r="A1734" s="644"/>
      <c r="B1734" s="645"/>
    </row>
    <row r="1735" spans="1:2" x14ac:dyDescent="0.3">
      <c r="A1735" s="644"/>
      <c r="B1735" s="645"/>
    </row>
    <row r="1736" spans="1:2" x14ac:dyDescent="0.3">
      <c r="A1736" s="644"/>
      <c r="B1736" s="645"/>
    </row>
    <row r="1737" spans="1:2" x14ac:dyDescent="0.3">
      <c r="A1737" s="644"/>
      <c r="B1737" s="645"/>
    </row>
    <row r="1738" spans="1:2" x14ac:dyDescent="0.3">
      <c r="A1738" s="644"/>
      <c r="B1738" s="645"/>
    </row>
    <row r="1739" spans="1:2" x14ac:dyDescent="0.3">
      <c r="A1739" s="644"/>
      <c r="B1739" s="645"/>
    </row>
    <row r="1740" spans="1:2" x14ac:dyDescent="0.3">
      <c r="A1740" s="644"/>
      <c r="B1740" s="645"/>
    </row>
    <row r="1741" spans="1:2" x14ac:dyDescent="0.3">
      <c r="A1741" s="644"/>
      <c r="B1741" s="645"/>
    </row>
    <row r="1742" spans="1:2" x14ac:dyDescent="0.3">
      <c r="A1742" s="644"/>
      <c r="B1742" s="645"/>
    </row>
    <row r="1743" spans="1:2" x14ac:dyDescent="0.3">
      <c r="A1743" s="644"/>
      <c r="B1743" s="645"/>
    </row>
    <row r="1744" spans="1:2" x14ac:dyDescent="0.3">
      <c r="A1744" s="644"/>
      <c r="B1744" s="645"/>
    </row>
    <row r="1745" spans="1:2" x14ac:dyDescent="0.3">
      <c r="A1745" s="644"/>
      <c r="B1745" s="645"/>
    </row>
    <row r="1746" spans="1:2" x14ac:dyDescent="0.3">
      <c r="A1746" s="644"/>
      <c r="B1746" s="645"/>
    </row>
    <row r="1747" spans="1:2" x14ac:dyDescent="0.3">
      <c r="A1747" s="644"/>
      <c r="B1747" s="645"/>
    </row>
    <row r="1748" spans="1:2" x14ac:dyDescent="0.3">
      <c r="A1748" s="644"/>
      <c r="B1748" s="645"/>
    </row>
    <row r="1749" spans="1:2" x14ac:dyDescent="0.3">
      <c r="A1749" s="644"/>
      <c r="B1749" s="645"/>
    </row>
    <row r="1750" spans="1:2" x14ac:dyDescent="0.3">
      <c r="A1750" s="644"/>
      <c r="B1750" s="645"/>
    </row>
    <row r="1751" spans="1:2" x14ac:dyDescent="0.3">
      <c r="A1751" s="644"/>
      <c r="B1751" s="645"/>
    </row>
    <row r="1752" spans="1:2" x14ac:dyDescent="0.3">
      <c r="A1752" s="644"/>
      <c r="B1752" s="645"/>
    </row>
    <row r="1753" spans="1:2" x14ac:dyDescent="0.3">
      <c r="A1753" s="644"/>
      <c r="B1753" s="645"/>
    </row>
    <row r="1754" spans="1:2" x14ac:dyDescent="0.3">
      <c r="A1754" s="644"/>
      <c r="B1754" s="645"/>
    </row>
    <row r="1755" spans="1:2" x14ac:dyDescent="0.3">
      <c r="A1755" s="644"/>
      <c r="B1755" s="645"/>
    </row>
    <row r="1756" spans="1:2" x14ac:dyDescent="0.3">
      <c r="A1756" s="644"/>
      <c r="B1756" s="645"/>
    </row>
    <row r="1757" spans="1:2" x14ac:dyDescent="0.3">
      <c r="A1757" s="644"/>
      <c r="B1757" s="645"/>
    </row>
    <row r="1758" spans="1:2" x14ac:dyDescent="0.3">
      <c r="A1758" s="644"/>
      <c r="B1758" s="645"/>
    </row>
    <row r="1759" spans="1:2" x14ac:dyDescent="0.3">
      <c r="A1759" s="644"/>
      <c r="B1759" s="645"/>
    </row>
    <row r="1760" spans="1:2" x14ac:dyDescent="0.3">
      <c r="A1760" s="644"/>
      <c r="B1760" s="645"/>
    </row>
    <row r="1761" spans="1:2" x14ac:dyDescent="0.3">
      <c r="A1761" s="644"/>
      <c r="B1761" s="645"/>
    </row>
    <row r="1762" spans="1:2" x14ac:dyDescent="0.3">
      <c r="A1762" s="644"/>
      <c r="B1762" s="645"/>
    </row>
    <row r="1763" spans="1:2" x14ac:dyDescent="0.3">
      <c r="A1763" s="644"/>
      <c r="B1763" s="645"/>
    </row>
    <row r="1764" spans="1:2" x14ac:dyDescent="0.3">
      <c r="A1764" s="644"/>
      <c r="B1764" s="645"/>
    </row>
    <row r="1765" spans="1:2" x14ac:dyDescent="0.3">
      <c r="A1765" s="644"/>
      <c r="B1765" s="645"/>
    </row>
    <row r="1766" spans="1:2" x14ac:dyDescent="0.3">
      <c r="A1766" s="644"/>
      <c r="B1766" s="645"/>
    </row>
    <row r="1767" spans="1:2" x14ac:dyDescent="0.3">
      <c r="A1767" s="644"/>
      <c r="B1767" s="645"/>
    </row>
    <row r="1768" spans="1:2" x14ac:dyDescent="0.3">
      <c r="A1768" s="644"/>
      <c r="B1768" s="645"/>
    </row>
    <row r="1769" spans="1:2" x14ac:dyDescent="0.3">
      <c r="A1769" s="644"/>
      <c r="B1769" s="645"/>
    </row>
    <row r="1770" spans="1:2" x14ac:dyDescent="0.3">
      <c r="A1770" s="644"/>
      <c r="B1770" s="645"/>
    </row>
    <row r="1771" spans="1:2" x14ac:dyDescent="0.3">
      <c r="A1771" s="644"/>
      <c r="B1771" s="645"/>
    </row>
    <row r="1772" spans="1:2" x14ac:dyDescent="0.3">
      <c r="A1772" s="644"/>
      <c r="B1772" s="645"/>
    </row>
    <row r="1773" spans="1:2" x14ac:dyDescent="0.3">
      <c r="A1773" s="644"/>
      <c r="B1773" s="645"/>
    </row>
    <row r="1774" spans="1:2" x14ac:dyDescent="0.3">
      <c r="A1774" s="644"/>
      <c r="B1774" s="645"/>
    </row>
    <row r="1775" spans="1:2" x14ac:dyDescent="0.3">
      <c r="A1775" s="644"/>
      <c r="B1775" s="645"/>
    </row>
    <row r="1776" spans="1:2" x14ac:dyDescent="0.3">
      <c r="A1776" s="644"/>
      <c r="B1776" s="645"/>
    </row>
    <row r="1777" spans="1:2" x14ac:dyDescent="0.3">
      <c r="A1777" s="644"/>
      <c r="B1777" s="645"/>
    </row>
    <row r="1778" spans="1:2" x14ac:dyDescent="0.3">
      <c r="A1778" s="644"/>
      <c r="B1778" s="645"/>
    </row>
    <row r="1779" spans="1:2" x14ac:dyDescent="0.3">
      <c r="A1779" s="644"/>
      <c r="B1779" s="645"/>
    </row>
    <row r="1780" spans="1:2" x14ac:dyDescent="0.3">
      <c r="A1780" s="644"/>
      <c r="B1780" s="645"/>
    </row>
    <row r="1781" spans="1:2" x14ac:dyDescent="0.3">
      <c r="A1781" s="644"/>
      <c r="B1781" s="645"/>
    </row>
    <row r="1782" spans="1:2" x14ac:dyDescent="0.3">
      <c r="A1782" s="644"/>
      <c r="B1782" s="645"/>
    </row>
    <row r="1783" spans="1:2" x14ac:dyDescent="0.3">
      <c r="A1783" s="644"/>
      <c r="B1783" s="645"/>
    </row>
    <row r="1784" spans="1:2" x14ac:dyDescent="0.3">
      <c r="A1784" s="644"/>
      <c r="B1784" s="645"/>
    </row>
    <row r="1785" spans="1:2" x14ac:dyDescent="0.3">
      <c r="A1785" s="644"/>
      <c r="B1785" s="645"/>
    </row>
    <row r="1786" spans="1:2" x14ac:dyDescent="0.3">
      <c r="A1786" s="644"/>
      <c r="B1786" s="645"/>
    </row>
    <row r="1787" spans="1:2" x14ac:dyDescent="0.3">
      <c r="A1787" s="644"/>
      <c r="B1787" s="645"/>
    </row>
    <row r="1788" spans="1:2" x14ac:dyDescent="0.3">
      <c r="A1788" s="644"/>
      <c r="B1788" s="645"/>
    </row>
    <row r="1789" spans="1:2" x14ac:dyDescent="0.3">
      <c r="A1789" s="644"/>
      <c r="B1789" s="645"/>
    </row>
    <row r="1790" spans="1:2" x14ac:dyDescent="0.3">
      <c r="A1790" s="644"/>
      <c r="B1790" s="645"/>
    </row>
    <row r="1791" spans="1:2" x14ac:dyDescent="0.3">
      <c r="A1791" s="644"/>
      <c r="B1791" s="645"/>
    </row>
    <row r="1792" spans="1:2" x14ac:dyDescent="0.3">
      <c r="A1792" s="644"/>
      <c r="B1792" s="645"/>
    </row>
    <row r="1793" spans="1:2" x14ac:dyDescent="0.3">
      <c r="A1793" s="644"/>
      <c r="B1793" s="645"/>
    </row>
    <row r="1794" spans="1:2" x14ac:dyDescent="0.3">
      <c r="A1794" s="644"/>
      <c r="B1794" s="645"/>
    </row>
    <row r="1795" spans="1:2" x14ac:dyDescent="0.3">
      <c r="A1795" s="644"/>
      <c r="B1795" s="645"/>
    </row>
    <row r="1796" spans="1:2" x14ac:dyDescent="0.3">
      <c r="A1796" s="644"/>
      <c r="B1796" s="645"/>
    </row>
    <row r="1797" spans="1:2" x14ac:dyDescent="0.3">
      <c r="A1797" s="644"/>
      <c r="B1797" s="645"/>
    </row>
    <row r="1798" spans="1:2" x14ac:dyDescent="0.3">
      <c r="A1798" s="644"/>
      <c r="B1798" s="645"/>
    </row>
    <row r="1799" spans="1:2" x14ac:dyDescent="0.3">
      <c r="A1799" s="644"/>
      <c r="B1799" s="645"/>
    </row>
    <row r="1800" spans="1:2" x14ac:dyDescent="0.3">
      <c r="A1800" s="644"/>
      <c r="B1800" s="645"/>
    </row>
    <row r="1801" spans="1:2" x14ac:dyDescent="0.3">
      <c r="A1801" s="644"/>
      <c r="B1801" s="645"/>
    </row>
    <row r="1802" spans="1:2" x14ac:dyDescent="0.3">
      <c r="A1802" s="644"/>
      <c r="B1802" s="645"/>
    </row>
    <row r="1803" spans="1:2" x14ac:dyDescent="0.3">
      <c r="A1803" s="644"/>
      <c r="B1803" s="645"/>
    </row>
    <row r="1804" spans="1:2" x14ac:dyDescent="0.3">
      <c r="A1804" s="644"/>
      <c r="B1804" s="645"/>
    </row>
    <row r="1805" spans="1:2" x14ac:dyDescent="0.3">
      <c r="A1805" s="644"/>
      <c r="B1805" s="645"/>
    </row>
    <row r="1806" spans="1:2" x14ac:dyDescent="0.3">
      <c r="A1806" s="644"/>
      <c r="B1806" s="645"/>
    </row>
    <row r="1807" spans="1:2" x14ac:dyDescent="0.3">
      <c r="A1807" s="644"/>
      <c r="B1807" s="645"/>
    </row>
    <row r="1808" spans="1:2" x14ac:dyDescent="0.3">
      <c r="A1808" s="644"/>
      <c r="B1808" s="645"/>
    </row>
    <row r="1809" spans="1:2" x14ac:dyDescent="0.3">
      <c r="A1809" s="644"/>
      <c r="B1809" s="645"/>
    </row>
    <row r="1810" spans="1:2" x14ac:dyDescent="0.3">
      <c r="A1810" s="644"/>
      <c r="B1810" s="645"/>
    </row>
    <row r="1811" spans="1:2" x14ac:dyDescent="0.3">
      <c r="A1811" s="644"/>
      <c r="B1811" s="645"/>
    </row>
    <row r="1812" spans="1:2" x14ac:dyDescent="0.3">
      <c r="A1812" s="644"/>
      <c r="B1812" s="645"/>
    </row>
    <row r="1813" spans="1:2" x14ac:dyDescent="0.3">
      <c r="A1813" s="644"/>
      <c r="B1813" s="645"/>
    </row>
    <row r="1814" spans="1:2" x14ac:dyDescent="0.3">
      <c r="A1814" s="644"/>
      <c r="B1814" s="645"/>
    </row>
    <row r="1815" spans="1:2" x14ac:dyDescent="0.3">
      <c r="A1815" s="644"/>
      <c r="B1815" s="645"/>
    </row>
    <row r="1816" spans="1:2" x14ac:dyDescent="0.3">
      <c r="A1816" s="644"/>
      <c r="B1816" s="645"/>
    </row>
    <row r="1817" spans="1:2" x14ac:dyDescent="0.3">
      <c r="A1817" s="644"/>
      <c r="B1817" s="645"/>
    </row>
    <row r="1818" spans="1:2" x14ac:dyDescent="0.3">
      <c r="A1818" s="644"/>
      <c r="B1818" s="645"/>
    </row>
    <row r="1819" spans="1:2" x14ac:dyDescent="0.3">
      <c r="A1819" s="644"/>
      <c r="B1819" s="645"/>
    </row>
    <row r="1820" spans="1:2" x14ac:dyDescent="0.3">
      <c r="A1820" s="644"/>
      <c r="B1820" s="645"/>
    </row>
    <row r="1821" spans="1:2" x14ac:dyDescent="0.3">
      <c r="A1821" s="644"/>
      <c r="B1821" s="645"/>
    </row>
    <row r="1822" spans="1:2" x14ac:dyDescent="0.3">
      <c r="A1822" s="644"/>
      <c r="B1822" s="645"/>
    </row>
    <row r="1823" spans="1:2" x14ac:dyDescent="0.3">
      <c r="A1823" s="644"/>
      <c r="B1823" s="645"/>
    </row>
    <row r="1824" spans="1:2" x14ac:dyDescent="0.3">
      <c r="A1824" s="644"/>
      <c r="B1824" s="645"/>
    </row>
    <row r="1825" spans="1:2" x14ac:dyDescent="0.3">
      <c r="A1825" s="644"/>
      <c r="B1825" s="645"/>
    </row>
    <row r="1826" spans="1:2" x14ac:dyDescent="0.3">
      <c r="A1826" s="644"/>
      <c r="B1826" s="645"/>
    </row>
    <row r="1827" spans="1:2" x14ac:dyDescent="0.3">
      <c r="A1827" s="644"/>
      <c r="B1827" s="645"/>
    </row>
    <row r="1828" spans="1:2" x14ac:dyDescent="0.3">
      <c r="A1828" s="644"/>
      <c r="B1828" s="645"/>
    </row>
    <row r="1829" spans="1:2" x14ac:dyDescent="0.3">
      <c r="A1829" s="644"/>
      <c r="B1829" s="645"/>
    </row>
    <row r="1830" spans="1:2" x14ac:dyDescent="0.3">
      <c r="A1830" s="644"/>
      <c r="B1830" s="645"/>
    </row>
    <row r="1831" spans="1:2" x14ac:dyDescent="0.3">
      <c r="A1831" s="644"/>
      <c r="B1831" s="645"/>
    </row>
    <row r="1832" spans="1:2" x14ac:dyDescent="0.3">
      <c r="A1832" s="644"/>
      <c r="B1832" s="645"/>
    </row>
    <row r="1833" spans="1:2" x14ac:dyDescent="0.3">
      <c r="A1833" s="644"/>
      <c r="B1833" s="645"/>
    </row>
    <row r="1834" spans="1:2" x14ac:dyDescent="0.3">
      <c r="A1834" s="644"/>
      <c r="B1834" s="645"/>
    </row>
    <row r="1835" spans="1:2" x14ac:dyDescent="0.3">
      <c r="A1835" s="644"/>
      <c r="B1835" s="645"/>
    </row>
    <row r="1836" spans="1:2" x14ac:dyDescent="0.3">
      <c r="A1836" s="644"/>
      <c r="B1836" s="645"/>
    </row>
    <row r="1837" spans="1:2" x14ac:dyDescent="0.3">
      <c r="A1837" s="644"/>
      <c r="B1837" s="645"/>
    </row>
    <row r="1838" spans="1:2" x14ac:dyDescent="0.3">
      <c r="A1838" s="644"/>
      <c r="B1838" s="645"/>
    </row>
    <row r="1839" spans="1:2" x14ac:dyDescent="0.3">
      <c r="A1839" s="644"/>
      <c r="B1839" s="645"/>
    </row>
    <row r="1840" spans="1:2" x14ac:dyDescent="0.3">
      <c r="A1840" s="644"/>
      <c r="B1840" s="645"/>
    </row>
    <row r="1841" spans="1:2" x14ac:dyDescent="0.3">
      <c r="A1841" s="644"/>
      <c r="B1841" s="645"/>
    </row>
    <row r="1842" spans="1:2" x14ac:dyDescent="0.3">
      <c r="A1842" s="644"/>
      <c r="B1842" s="645"/>
    </row>
    <row r="1843" spans="1:2" x14ac:dyDescent="0.3">
      <c r="A1843" s="644"/>
      <c r="B1843" s="645"/>
    </row>
    <row r="1844" spans="1:2" x14ac:dyDescent="0.3">
      <c r="A1844" s="644"/>
      <c r="B1844" s="645"/>
    </row>
    <row r="1845" spans="1:2" x14ac:dyDescent="0.3">
      <c r="A1845" s="644"/>
      <c r="B1845" s="645"/>
    </row>
    <row r="1846" spans="1:2" x14ac:dyDescent="0.3">
      <c r="A1846" s="644"/>
      <c r="B1846" s="645"/>
    </row>
    <row r="1847" spans="1:2" x14ac:dyDescent="0.3">
      <c r="A1847" s="644"/>
      <c r="B1847" s="645"/>
    </row>
    <row r="1848" spans="1:2" x14ac:dyDescent="0.3">
      <c r="A1848" s="644"/>
      <c r="B1848" s="645"/>
    </row>
    <row r="1849" spans="1:2" x14ac:dyDescent="0.3">
      <c r="A1849" s="644"/>
      <c r="B1849" s="645"/>
    </row>
    <row r="1850" spans="1:2" x14ac:dyDescent="0.3">
      <c r="A1850" s="644"/>
      <c r="B1850" s="645"/>
    </row>
    <row r="1851" spans="1:2" x14ac:dyDescent="0.3">
      <c r="A1851" s="644"/>
      <c r="B1851" s="645"/>
    </row>
    <row r="1852" spans="1:2" x14ac:dyDescent="0.3">
      <c r="A1852" s="644"/>
      <c r="B1852" s="645"/>
    </row>
    <row r="1853" spans="1:2" x14ac:dyDescent="0.3">
      <c r="A1853" s="644"/>
      <c r="B1853" s="645"/>
    </row>
    <row r="1854" spans="1:2" x14ac:dyDescent="0.3">
      <c r="A1854" s="644"/>
      <c r="B1854" s="645"/>
    </row>
    <row r="1855" spans="1:2" x14ac:dyDescent="0.3">
      <c r="A1855" s="644"/>
      <c r="B1855" s="645"/>
    </row>
    <row r="1856" spans="1:2" x14ac:dyDescent="0.3">
      <c r="A1856" s="644"/>
      <c r="B1856" s="645"/>
    </row>
    <row r="1857" spans="1:2" x14ac:dyDescent="0.3">
      <c r="A1857" s="644"/>
      <c r="B1857" s="645"/>
    </row>
    <row r="1858" spans="1:2" x14ac:dyDescent="0.3">
      <c r="A1858" s="644"/>
      <c r="B1858" s="645"/>
    </row>
    <row r="1859" spans="1:2" x14ac:dyDescent="0.3">
      <c r="A1859" s="644"/>
      <c r="B1859" s="645"/>
    </row>
    <row r="1860" spans="1:2" x14ac:dyDescent="0.3">
      <c r="A1860" s="644"/>
      <c r="B1860" s="645"/>
    </row>
    <row r="1861" spans="1:2" x14ac:dyDescent="0.3">
      <c r="A1861" s="644"/>
      <c r="B1861" s="645"/>
    </row>
    <row r="1862" spans="1:2" x14ac:dyDescent="0.3">
      <c r="A1862" s="644"/>
      <c r="B1862" s="645"/>
    </row>
    <row r="1863" spans="1:2" x14ac:dyDescent="0.3">
      <c r="A1863" s="644"/>
      <c r="B1863" s="645"/>
    </row>
    <row r="1864" spans="1:2" x14ac:dyDescent="0.3">
      <c r="A1864" s="644"/>
      <c r="B1864" s="645"/>
    </row>
    <row r="1865" spans="1:2" x14ac:dyDescent="0.3">
      <c r="A1865" s="644"/>
      <c r="B1865" s="645"/>
    </row>
    <row r="1866" spans="1:2" x14ac:dyDescent="0.3">
      <c r="A1866" s="644"/>
      <c r="B1866" s="645"/>
    </row>
    <row r="1867" spans="1:2" x14ac:dyDescent="0.3">
      <c r="A1867" s="644"/>
      <c r="B1867" s="645"/>
    </row>
    <row r="1868" spans="1:2" x14ac:dyDescent="0.3">
      <c r="A1868" s="644"/>
      <c r="B1868" s="645"/>
    </row>
    <row r="1869" spans="1:2" x14ac:dyDescent="0.3">
      <c r="A1869" s="644"/>
      <c r="B1869" s="645"/>
    </row>
    <row r="1870" spans="1:2" x14ac:dyDescent="0.3">
      <c r="A1870" s="644"/>
      <c r="B1870" s="645"/>
    </row>
    <row r="1871" spans="1:2" x14ac:dyDescent="0.3">
      <c r="A1871" s="644"/>
      <c r="B1871" s="645"/>
    </row>
    <row r="1872" spans="1:2" x14ac:dyDescent="0.3">
      <c r="A1872" s="644"/>
      <c r="B1872" s="645"/>
    </row>
    <row r="1873" spans="1:2" x14ac:dyDescent="0.3">
      <c r="A1873" s="644"/>
      <c r="B1873" s="645"/>
    </row>
    <row r="1874" spans="1:2" x14ac:dyDescent="0.3">
      <c r="A1874" s="644"/>
      <c r="B1874" s="645"/>
    </row>
    <row r="1875" spans="1:2" x14ac:dyDescent="0.3">
      <c r="A1875" s="644"/>
      <c r="B1875" s="645"/>
    </row>
    <row r="1876" spans="1:2" x14ac:dyDescent="0.3">
      <c r="A1876" s="644"/>
      <c r="B1876" s="645"/>
    </row>
    <row r="1877" spans="1:2" x14ac:dyDescent="0.3">
      <c r="A1877" s="644"/>
      <c r="B1877" s="645"/>
    </row>
    <row r="1878" spans="1:2" x14ac:dyDescent="0.3">
      <c r="A1878" s="644"/>
      <c r="B1878" s="645"/>
    </row>
    <row r="1879" spans="1:2" x14ac:dyDescent="0.3">
      <c r="A1879" s="644"/>
      <c r="B1879" s="645"/>
    </row>
    <row r="1880" spans="1:2" x14ac:dyDescent="0.3">
      <c r="A1880" s="644"/>
      <c r="B1880" s="645"/>
    </row>
    <row r="1881" spans="1:2" x14ac:dyDescent="0.3">
      <c r="A1881" s="644"/>
      <c r="B1881" s="645"/>
    </row>
    <row r="1882" spans="1:2" x14ac:dyDescent="0.3">
      <c r="A1882" s="644"/>
      <c r="B1882" s="645"/>
    </row>
    <row r="1883" spans="1:2" x14ac:dyDescent="0.3">
      <c r="A1883" s="644"/>
      <c r="B1883" s="645"/>
    </row>
    <row r="1884" spans="1:2" x14ac:dyDescent="0.3">
      <c r="A1884" s="644"/>
      <c r="B1884" s="645"/>
    </row>
    <row r="1885" spans="1:2" x14ac:dyDescent="0.3">
      <c r="A1885" s="644"/>
      <c r="B1885" s="645"/>
    </row>
    <row r="1886" spans="1:2" x14ac:dyDescent="0.3">
      <c r="A1886" s="644"/>
      <c r="B1886" s="645"/>
    </row>
    <row r="1887" spans="1:2" x14ac:dyDescent="0.3">
      <c r="A1887" s="644"/>
      <c r="B1887" s="645"/>
    </row>
    <row r="1888" spans="1:2" x14ac:dyDescent="0.3">
      <c r="A1888" s="644"/>
      <c r="B1888" s="645"/>
    </row>
    <row r="1889" spans="1:2" x14ac:dyDescent="0.3">
      <c r="A1889" s="644"/>
      <c r="B1889" s="645"/>
    </row>
    <row r="1890" spans="1:2" x14ac:dyDescent="0.3">
      <c r="A1890" s="644"/>
      <c r="B1890" s="645"/>
    </row>
    <row r="1891" spans="1:2" x14ac:dyDescent="0.3">
      <c r="A1891" s="644"/>
      <c r="B1891" s="645"/>
    </row>
    <row r="1892" spans="1:2" x14ac:dyDescent="0.3">
      <c r="A1892" s="644"/>
      <c r="B1892" s="645"/>
    </row>
    <row r="1893" spans="1:2" x14ac:dyDescent="0.3">
      <c r="A1893" s="644"/>
      <c r="B1893" s="645"/>
    </row>
    <row r="1894" spans="1:2" x14ac:dyDescent="0.3">
      <c r="A1894" s="644"/>
      <c r="B1894" s="645"/>
    </row>
    <row r="1895" spans="1:2" x14ac:dyDescent="0.3">
      <c r="A1895" s="644"/>
      <c r="B1895" s="645"/>
    </row>
    <row r="1896" spans="1:2" x14ac:dyDescent="0.3">
      <c r="A1896" s="644"/>
      <c r="B1896" s="645"/>
    </row>
    <row r="1897" spans="1:2" x14ac:dyDescent="0.3">
      <c r="A1897" s="644"/>
      <c r="B1897" s="645"/>
    </row>
    <row r="1898" spans="1:2" x14ac:dyDescent="0.3">
      <c r="A1898" s="644"/>
      <c r="B1898" s="645"/>
    </row>
    <row r="1899" spans="1:2" x14ac:dyDescent="0.3">
      <c r="A1899" s="644"/>
      <c r="B1899" s="645"/>
    </row>
    <row r="1900" spans="1:2" x14ac:dyDescent="0.3">
      <c r="A1900" s="644"/>
      <c r="B1900" s="645"/>
    </row>
    <row r="1901" spans="1:2" x14ac:dyDescent="0.3">
      <c r="A1901" s="644"/>
      <c r="B1901" s="645"/>
    </row>
    <row r="1902" spans="1:2" x14ac:dyDescent="0.3">
      <c r="A1902" s="644"/>
      <c r="B1902" s="645"/>
    </row>
    <row r="1903" spans="1:2" x14ac:dyDescent="0.3">
      <c r="A1903" s="644"/>
      <c r="B1903" s="645"/>
    </row>
    <row r="1904" spans="1:2" x14ac:dyDescent="0.3">
      <c r="A1904" s="644"/>
      <c r="B1904" s="645"/>
    </row>
    <row r="1905" spans="1:2" x14ac:dyDescent="0.3">
      <c r="A1905" s="644"/>
      <c r="B1905" s="645"/>
    </row>
    <row r="1906" spans="1:2" x14ac:dyDescent="0.3">
      <c r="A1906" s="644"/>
      <c r="B1906" s="645"/>
    </row>
    <row r="1907" spans="1:2" x14ac:dyDescent="0.3">
      <c r="A1907" s="644"/>
      <c r="B1907" s="645"/>
    </row>
    <row r="1908" spans="1:2" x14ac:dyDescent="0.3">
      <c r="A1908" s="644"/>
      <c r="B1908" s="645"/>
    </row>
    <row r="1909" spans="1:2" x14ac:dyDescent="0.3">
      <c r="A1909" s="644"/>
      <c r="B1909" s="645"/>
    </row>
    <row r="1910" spans="1:2" x14ac:dyDescent="0.3">
      <c r="A1910" s="644"/>
      <c r="B1910" s="645"/>
    </row>
    <row r="1911" spans="1:2" x14ac:dyDescent="0.3">
      <c r="A1911" s="644"/>
      <c r="B1911" s="645"/>
    </row>
    <row r="1912" spans="1:2" x14ac:dyDescent="0.3">
      <c r="A1912" s="644"/>
      <c r="B1912" s="645"/>
    </row>
    <row r="1913" spans="1:2" x14ac:dyDescent="0.3">
      <c r="A1913" s="644"/>
      <c r="B1913" s="645"/>
    </row>
    <row r="1914" spans="1:2" x14ac:dyDescent="0.3">
      <c r="A1914" s="644"/>
      <c r="B1914" s="645"/>
    </row>
    <row r="1915" spans="1:2" x14ac:dyDescent="0.3">
      <c r="A1915" s="644"/>
      <c r="B1915" s="645"/>
    </row>
    <row r="1916" spans="1:2" x14ac:dyDescent="0.3">
      <c r="A1916" s="644"/>
      <c r="B1916" s="645"/>
    </row>
    <row r="1917" spans="1:2" x14ac:dyDescent="0.3">
      <c r="A1917" s="644"/>
      <c r="B1917" s="645"/>
    </row>
    <row r="1918" spans="1:2" x14ac:dyDescent="0.3">
      <c r="A1918" s="644"/>
      <c r="B1918" s="645"/>
    </row>
    <row r="1919" spans="1:2" x14ac:dyDescent="0.3">
      <c r="A1919" s="644"/>
      <c r="B1919" s="645"/>
    </row>
    <row r="1920" spans="1:2" x14ac:dyDescent="0.3">
      <c r="A1920" s="644"/>
      <c r="B1920" s="645"/>
    </row>
    <row r="1921" spans="1:2" x14ac:dyDescent="0.3">
      <c r="A1921" s="644"/>
      <c r="B1921" s="645"/>
    </row>
    <row r="1922" spans="1:2" x14ac:dyDescent="0.3">
      <c r="A1922" s="644"/>
      <c r="B1922" s="645"/>
    </row>
    <row r="1923" spans="1:2" x14ac:dyDescent="0.3">
      <c r="A1923" s="644"/>
      <c r="B1923" s="645"/>
    </row>
    <row r="1924" spans="1:2" x14ac:dyDescent="0.3">
      <c r="A1924" s="644"/>
      <c r="B1924" s="645"/>
    </row>
    <row r="1925" spans="1:2" x14ac:dyDescent="0.3">
      <c r="A1925" s="644"/>
      <c r="B1925" s="645"/>
    </row>
    <row r="1926" spans="1:2" x14ac:dyDescent="0.3">
      <c r="A1926" s="644"/>
      <c r="B1926" s="645"/>
    </row>
    <row r="1927" spans="1:2" x14ac:dyDescent="0.3">
      <c r="A1927" s="644"/>
      <c r="B1927" s="645"/>
    </row>
    <row r="1928" spans="1:2" x14ac:dyDescent="0.3">
      <c r="A1928" s="644"/>
      <c r="B1928" s="645"/>
    </row>
    <row r="1929" spans="1:2" x14ac:dyDescent="0.3">
      <c r="A1929" s="644"/>
      <c r="B1929" s="645"/>
    </row>
    <row r="1930" spans="1:2" x14ac:dyDescent="0.3">
      <c r="A1930" s="644"/>
      <c r="B1930" s="645"/>
    </row>
    <row r="1931" spans="1:2" x14ac:dyDescent="0.3">
      <c r="A1931" s="644"/>
      <c r="B1931" s="645"/>
    </row>
    <row r="1932" spans="1:2" x14ac:dyDescent="0.3">
      <c r="A1932" s="644"/>
      <c r="B1932" s="645"/>
    </row>
    <row r="1933" spans="1:2" x14ac:dyDescent="0.3">
      <c r="A1933" s="644"/>
      <c r="B1933" s="645"/>
    </row>
    <row r="1934" spans="1:2" x14ac:dyDescent="0.3">
      <c r="A1934" s="644"/>
      <c r="B1934" s="645"/>
    </row>
    <row r="1935" spans="1:2" x14ac:dyDescent="0.3">
      <c r="A1935" s="644"/>
      <c r="B1935" s="645"/>
    </row>
    <row r="1936" spans="1:2" x14ac:dyDescent="0.3">
      <c r="A1936" s="644"/>
      <c r="B1936" s="645"/>
    </row>
    <row r="1937" spans="1:2" x14ac:dyDescent="0.3">
      <c r="A1937" s="644"/>
      <c r="B1937" s="645"/>
    </row>
    <row r="1938" spans="1:2" x14ac:dyDescent="0.3">
      <c r="A1938" s="644"/>
      <c r="B1938" s="645"/>
    </row>
    <row r="1939" spans="1:2" x14ac:dyDescent="0.3">
      <c r="A1939" s="644"/>
      <c r="B1939" s="645"/>
    </row>
    <row r="1940" spans="1:2" x14ac:dyDescent="0.3">
      <c r="A1940" s="644"/>
      <c r="B1940" s="645"/>
    </row>
    <row r="1941" spans="1:2" x14ac:dyDescent="0.3">
      <c r="A1941" s="644"/>
      <c r="B1941" s="645"/>
    </row>
    <row r="1942" spans="1:2" x14ac:dyDescent="0.3">
      <c r="A1942" s="644"/>
      <c r="B1942" s="645"/>
    </row>
    <row r="1943" spans="1:2" x14ac:dyDescent="0.3">
      <c r="A1943" s="644"/>
      <c r="B1943" s="645"/>
    </row>
    <row r="1944" spans="1:2" x14ac:dyDescent="0.3">
      <c r="A1944" s="644"/>
      <c r="B1944" s="645"/>
    </row>
    <row r="1945" spans="1:2" x14ac:dyDescent="0.3">
      <c r="A1945" s="644"/>
      <c r="B1945" s="645"/>
    </row>
    <row r="1946" spans="1:2" x14ac:dyDescent="0.3">
      <c r="A1946" s="644"/>
      <c r="B1946" s="645"/>
    </row>
    <row r="1947" spans="1:2" x14ac:dyDescent="0.3">
      <c r="A1947" s="644"/>
      <c r="B1947" s="645"/>
    </row>
    <row r="1948" spans="1:2" x14ac:dyDescent="0.3">
      <c r="A1948" s="644"/>
      <c r="B1948" s="645"/>
    </row>
    <row r="1949" spans="1:2" x14ac:dyDescent="0.3">
      <c r="A1949" s="644"/>
      <c r="B1949" s="645"/>
    </row>
    <row r="1950" spans="1:2" x14ac:dyDescent="0.3">
      <c r="A1950" s="644"/>
      <c r="B1950" s="645"/>
    </row>
    <row r="1951" spans="1:2" x14ac:dyDescent="0.3">
      <c r="A1951" s="644"/>
      <c r="B1951" s="645"/>
    </row>
    <row r="1952" spans="1:2" x14ac:dyDescent="0.3">
      <c r="A1952" s="644"/>
      <c r="B1952" s="645"/>
    </row>
    <row r="1953" spans="1:2" x14ac:dyDescent="0.3">
      <c r="A1953" s="644"/>
      <c r="B1953" s="645"/>
    </row>
    <row r="1954" spans="1:2" x14ac:dyDescent="0.3">
      <c r="A1954" s="644"/>
      <c r="B1954" s="645"/>
    </row>
    <row r="1955" spans="1:2" x14ac:dyDescent="0.3">
      <c r="A1955" s="644"/>
      <c r="B1955" s="645"/>
    </row>
    <row r="1956" spans="1:2" x14ac:dyDescent="0.3">
      <c r="A1956" s="644"/>
      <c r="B1956" s="645"/>
    </row>
    <row r="1957" spans="1:2" x14ac:dyDescent="0.3">
      <c r="A1957" s="644"/>
      <c r="B1957" s="645"/>
    </row>
    <row r="1958" spans="1:2" x14ac:dyDescent="0.3">
      <c r="A1958" s="644"/>
      <c r="B1958" s="645"/>
    </row>
    <row r="1959" spans="1:2" x14ac:dyDescent="0.3">
      <c r="A1959" s="644"/>
      <c r="B1959" s="645"/>
    </row>
    <row r="1960" spans="1:2" x14ac:dyDescent="0.3">
      <c r="A1960" s="644"/>
      <c r="B1960" s="645"/>
    </row>
    <row r="1961" spans="1:2" x14ac:dyDescent="0.3">
      <c r="A1961" s="644"/>
      <c r="B1961" s="645"/>
    </row>
    <row r="1962" spans="1:2" x14ac:dyDescent="0.3">
      <c r="A1962" s="644"/>
      <c r="B1962" s="645"/>
    </row>
    <row r="1963" spans="1:2" x14ac:dyDescent="0.3">
      <c r="A1963" s="644"/>
      <c r="B1963" s="645"/>
    </row>
    <row r="1964" spans="1:2" x14ac:dyDescent="0.3">
      <c r="A1964" s="644"/>
      <c r="B1964" s="645"/>
    </row>
    <row r="1965" spans="1:2" x14ac:dyDescent="0.3">
      <c r="A1965" s="644"/>
      <c r="B1965" s="645"/>
    </row>
    <row r="1966" spans="1:2" x14ac:dyDescent="0.3">
      <c r="A1966" s="644"/>
      <c r="B1966" s="645"/>
    </row>
    <row r="1967" spans="1:2" x14ac:dyDescent="0.3">
      <c r="A1967" s="644"/>
      <c r="B1967" s="645"/>
    </row>
    <row r="1968" spans="1:2" x14ac:dyDescent="0.3">
      <c r="A1968" s="644"/>
      <c r="B1968" s="645"/>
    </row>
    <row r="1969" spans="1:2" x14ac:dyDescent="0.3">
      <c r="A1969" s="644"/>
      <c r="B1969" s="645"/>
    </row>
    <row r="1970" spans="1:2" x14ac:dyDescent="0.3">
      <c r="A1970" s="644"/>
      <c r="B1970" s="645"/>
    </row>
    <row r="1971" spans="1:2" x14ac:dyDescent="0.3">
      <c r="A1971" s="644"/>
      <c r="B1971" s="645"/>
    </row>
    <row r="1972" spans="1:2" x14ac:dyDescent="0.3">
      <c r="A1972" s="644"/>
      <c r="B1972" s="645"/>
    </row>
    <row r="1973" spans="1:2" x14ac:dyDescent="0.3">
      <c r="A1973" s="644"/>
      <c r="B1973" s="645"/>
    </row>
    <row r="1974" spans="1:2" x14ac:dyDescent="0.3">
      <c r="A1974" s="644"/>
      <c r="B1974" s="645"/>
    </row>
    <row r="1975" spans="1:2" x14ac:dyDescent="0.3">
      <c r="A1975" s="644"/>
      <c r="B1975" s="645"/>
    </row>
    <row r="1976" spans="1:2" x14ac:dyDescent="0.3">
      <c r="A1976" s="644"/>
      <c r="B1976" s="645"/>
    </row>
    <row r="1977" spans="1:2" x14ac:dyDescent="0.3">
      <c r="A1977" s="644"/>
      <c r="B1977" s="645"/>
    </row>
    <row r="1978" spans="1:2" x14ac:dyDescent="0.3">
      <c r="A1978" s="644"/>
      <c r="B1978" s="645"/>
    </row>
    <row r="1979" spans="1:2" x14ac:dyDescent="0.3">
      <c r="A1979" s="644"/>
      <c r="B1979" s="645"/>
    </row>
    <row r="1980" spans="1:2" x14ac:dyDescent="0.3">
      <c r="A1980" s="644"/>
      <c r="B1980" s="645"/>
    </row>
    <row r="1981" spans="1:2" x14ac:dyDescent="0.3">
      <c r="A1981" s="644"/>
      <c r="B1981" s="645"/>
    </row>
    <row r="1982" spans="1:2" x14ac:dyDescent="0.3">
      <c r="A1982" s="644"/>
      <c r="B1982" s="645"/>
    </row>
    <row r="1983" spans="1:2" x14ac:dyDescent="0.3">
      <c r="A1983" s="644"/>
      <c r="B1983" s="645"/>
    </row>
    <row r="1984" spans="1:2" x14ac:dyDescent="0.3">
      <c r="A1984" s="644"/>
      <c r="B1984" s="645"/>
    </row>
    <row r="1985" spans="1:2" x14ac:dyDescent="0.3">
      <c r="A1985" s="644"/>
      <c r="B1985" s="645"/>
    </row>
    <row r="1986" spans="1:2" x14ac:dyDescent="0.3">
      <c r="A1986" s="644"/>
      <c r="B1986" s="645"/>
    </row>
    <row r="1987" spans="1:2" x14ac:dyDescent="0.3">
      <c r="A1987" s="644"/>
      <c r="B1987" s="645"/>
    </row>
    <row r="1988" spans="1:2" x14ac:dyDescent="0.3">
      <c r="A1988" s="644"/>
      <c r="B1988" s="645"/>
    </row>
    <row r="1989" spans="1:2" x14ac:dyDescent="0.3">
      <c r="A1989" s="644"/>
      <c r="B1989" s="645"/>
    </row>
    <row r="1990" spans="1:2" x14ac:dyDescent="0.3">
      <c r="A1990" s="644"/>
      <c r="B1990" s="645"/>
    </row>
    <row r="1991" spans="1:2" x14ac:dyDescent="0.3">
      <c r="A1991" s="644"/>
      <c r="B1991" s="645"/>
    </row>
    <row r="1992" spans="1:2" x14ac:dyDescent="0.3">
      <c r="A1992" s="644"/>
      <c r="B1992" s="645"/>
    </row>
    <row r="1993" spans="1:2" x14ac:dyDescent="0.3">
      <c r="A1993" s="644"/>
      <c r="B1993" s="645"/>
    </row>
    <row r="1994" spans="1:2" x14ac:dyDescent="0.3">
      <c r="A1994" s="644"/>
      <c r="B1994" s="645"/>
    </row>
    <row r="1995" spans="1:2" x14ac:dyDescent="0.3">
      <c r="A1995" s="644"/>
      <c r="B1995" s="645"/>
    </row>
    <row r="1996" spans="1:2" x14ac:dyDescent="0.3">
      <c r="A1996" s="644"/>
      <c r="B1996" s="645"/>
    </row>
    <row r="1997" spans="1:2" x14ac:dyDescent="0.3">
      <c r="A1997" s="644"/>
      <c r="B1997" s="645"/>
    </row>
    <row r="1998" spans="1:2" x14ac:dyDescent="0.3">
      <c r="A1998" s="644"/>
      <c r="B1998" s="645"/>
    </row>
    <row r="1999" spans="1:2" x14ac:dyDescent="0.3">
      <c r="A1999" s="644"/>
      <c r="B1999" s="645"/>
    </row>
    <row r="2000" spans="1:2" x14ac:dyDescent="0.3">
      <c r="A2000" s="644"/>
      <c r="B2000" s="645"/>
    </row>
    <row r="2001" spans="1:2" x14ac:dyDescent="0.3">
      <c r="A2001" s="644"/>
      <c r="B2001" s="645"/>
    </row>
    <row r="2002" spans="1:2" x14ac:dyDescent="0.3">
      <c r="A2002" s="644"/>
      <c r="B2002" s="645"/>
    </row>
    <row r="2003" spans="1:2" x14ac:dyDescent="0.3">
      <c r="A2003" s="644"/>
      <c r="B2003" s="645"/>
    </row>
    <row r="2004" spans="1:2" x14ac:dyDescent="0.3">
      <c r="A2004" s="644"/>
      <c r="B2004" s="645"/>
    </row>
    <row r="2005" spans="1:2" x14ac:dyDescent="0.3">
      <c r="A2005" s="644"/>
      <c r="B2005" s="645"/>
    </row>
    <row r="2006" spans="1:2" x14ac:dyDescent="0.3">
      <c r="A2006" s="644"/>
      <c r="B2006" s="645"/>
    </row>
    <row r="2007" spans="1:2" x14ac:dyDescent="0.3">
      <c r="A2007" s="644"/>
      <c r="B2007" s="645"/>
    </row>
    <row r="2008" spans="1:2" x14ac:dyDescent="0.3">
      <c r="A2008" s="644"/>
      <c r="B2008" s="645"/>
    </row>
    <row r="2009" spans="1:2" x14ac:dyDescent="0.3">
      <c r="A2009" s="644"/>
      <c r="B2009" s="645"/>
    </row>
    <row r="2010" spans="1:2" x14ac:dyDescent="0.3">
      <c r="A2010" s="644"/>
      <c r="B2010" s="645"/>
    </row>
    <row r="2011" spans="1:2" x14ac:dyDescent="0.3">
      <c r="A2011" s="644"/>
      <c r="B2011" s="645"/>
    </row>
    <row r="2012" spans="1:2" x14ac:dyDescent="0.3">
      <c r="A2012" s="644"/>
      <c r="B2012" s="645"/>
    </row>
    <row r="2013" spans="1:2" x14ac:dyDescent="0.3">
      <c r="A2013" s="644"/>
      <c r="B2013" s="645"/>
    </row>
    <row r="2014" spans="1:2" x14ac:dyDescent="0.3">
      <c r="A2014" s="644"/>
      <c r="B2014" s="645"/>
    </row>
    <row r="2015" spans="1:2" x14ac:dyDescent="0.3">
      <c r="A2015" s="644"/>
      <c r="B2015" s="645"/>
    </row>
    <row r="2016" spans="1:2" x14ac:dyDescent="0.3">
      <c r="A2016" s="644"/>
      <c r="B2016" s="645"/>
    </row>
    <row r="2017" spans="1:2" x14ac:dyDescent="0.3">
      <c r="A2017" s="644"/>
      <c r="B2017" s="645"/>
    </row>
    <row r="2018" spans="1:2" x14ac:dyDescent="0.3">
      <c r="A2018" s="644"/>
      <c r="B2018" s="645"/>
    </row>
    <row r="2019" spans="1:2" x14ac:dyDescent="0.3">
      <c r="A2019" s="644"/>
      <c r="B2019" s="645"/>
    </row>
    <row r="2020" spans="1:2" x14ac:dyDescent="0.3">
      <c r="A2020" s="644"/>
      <c r="B2020" s="645"/>
    </row>
    <row r="2021" spans="1:2" x14ac:dyDescent="0.3">
      <c r="A2021" s="644"/>
      <c r="B2021" s="645"/>
    </row>
    <row r="2022" spans="1:2" x14ac:dyDescent="0.3">
      <c r="A2022" s="644"/>
      <c r="B2022" s="645"/>
    </row>
    <row r="2023" spans="1:2" x14ac:dyDescent="0.3">
      <c r="A2023" s="644"/>
      <c r="B2023" s="645"/>
    </row>
    <row r="2024" spans="1:2" x14ac:dyDescent="0.3">
      <c r="A2024" s="644"/>
      <c r="B2024" s="645"/>
    </row>
    <row r="2025" spans="1:2" x14ac:dyDescent="0.3">
      <c r="A2025" s="644"/>
      <c r="B2025" s="645"/>
    </row>
    <row r="2026" spans="1:2" x14ac:dyDescent="0.3">
      <c r="A2026" s="644"/>
      <c r="B2026" s="645"/>
    </row>
    <row r="2027" spans="1:2" x14ac:dyDescent="0.3">
      <c r="A2027" s="644"/>
      <c r="B2027" s="645"/>
    </row>
    <row r="2028" spans="1:2" x14ac:dyDescent="0.3">
      <c r="A2028" s="644"/>
      <c r="B2028" s="645"/>
    </row>
    <row r="2029" spans="1:2" x14ac:dyDescent="0.3">
      <c r="A2029" s="644"/>
      <c r="B2029" s="645"/>
    </row>
    <row r="2030" spans="1:2" x14ac:dyDescent="0.3">
      <c r="A2030" s="644"/>
      <c r="B2030" s="645"/>
    </row>
    <row r="2031" spans="1:2" x14ac:dyDescent="0.3">
      <c r="A2031" s="644"/>
      <c r="B2031" s="645"/>
    </row>
    <row r="2032" spans="1:2" x14ac:dyDescent="0.3">
      <c r="A2032" s="644"/>
      <c r="B2032" s="645"/>
    </row>
    <row r="2033" spans="1:2" x14ac:dyDescent="0.3">
      <c r="A2033" s="644"/>
      <c r="B2033" s="645"/>
    </row>
    <row r="2034" spans="1:2" x14ac:dyDescent="0.3">
      <c r="A2034" s="644"/>
      <c r="B2034" s="645"/>
    </row>
    <row r="2035" spans="1:2" x14ac:dyDescent="0.3">
      <c r="A2035" s="644"/>
      <c r="B2035" s="645"/>
    </row>
    <row r="2036" spans="1:2" x14ac:dyDescent="0.3">
      <c r="A2036" s="644"/>
      <c r="B2036" s="645"/>
    </row>
    <row r="2037" spans="1:2" x14ac:dyDescent="0.3">
      <c r="A2037" s="644"/>
      <c r="B2037" s="645"/>
    </row>
    <row r="2038" spans="1:2" x14ac:dyDescent="0.3">
      <c r="A2038" s="644"/>
      <c r="B2038" s="645"/>
    </row>
    <row r="2039" spans="1:2" x14ac:dyDescent="0.3">
      <c r="A2039" s="644"/>
      <c r="B2039" s="645"/>
    </row>
    <row r="2040" spans="1:2" x14ac:dyDescent="0.3">
      <c r="A2040" s="644"/>
      <c r="B2040" s="645"/>
    </row>
    <row r="2041" spans="1:2" x14ac:dyDescent="0.3">
      <c r="A2041" s="644"/>
      <c r="B2041" s="645"/>
    </row>
    <row r="2042" spans="1:2" x14ac:dyDescent="0.3">
      <c r="A2042" s="644"/>
      <c r="B2042" s="645"/>
    </row>
    <row r="2043" spans="1:2" x14ac:dyDescent="0.3">
      <c r="A2043" s="644"/>
      <c r="B2043" s="645"/>
    </row>
    <row r="2044" spans="1:2" x14ac:dyDescent="0.3">
      <c r="A2044" s="644"/>
      <c r="B2044" s="645"/>
    </row>
    <row r="2045" spans="1:2" x14ac:dyDescent="0.3">
      <c r="A2045" s="644"/>
      <c r="B2045" s="645"/>
    </row>
    <row r="2046" spans="1:2" x14ac:dyDescent="0.3">
      <c r="A2046" s="644"/>
      <c r="B2046" s="645"/>
    </row>
    <row r="2047" spans="1:2" x14ac:dyDescent="0.3">
      <c r="A2047" s="644"/>
      <c r="B2047" s="645"/>
    </row>
    <row r="2048" spans="1:2" x14ac:dyDescent="0.3">
      <c r="A2048" s="644"/>
      <c r="B2048" s="645"/>
    </row>
    <row r="2049" spans="1:2" x14ac:dyDescent="0.3">
      <c r="A2049" s="644"/>
      <c r="B2049" s="645"/>
    </row>
    <row r="2050" spans="1:2" x14ac:dyDescent="0.3">
      <c r="A2050" s="644"/>
      <c r="B2050" s="645"/>
    </row>
    <row r="2051" spans="1:2" x14ac:dyDescent="0.3">
      <c r="A2051" s="644"/>
      <c r="B2051" s="645"/>
    </row>
    <row r="2052" spans="1:2" x14ac:dyDescent="0.3">
      <c r="A2052" s="644"/>
      <c r="B2052" s="645"/>
    </row>
    <row r="2053" spans="1:2" x14ac:dyDescent="0.3">
      <c r="A2053" s="644"/>
      <c r="B2053" s="645"/>
    </row>
    <row r="2054" spans="1:2" x14ac:dyDescent="0.3">
      <c r="A2054" s="644"/>
      <c r="B2054" s="645"/>
    </row>
    <row r="2055" spans="1:2" x14ac:dyDescent="0.3">
      <c r="A2055" s="644"/>
      <c r="B2055" s="645"/>
    </row>
    <row r="2056" spans="1:2" x14ac:dyDescent="0.3">
      <c r="A2056" s="644"/>
      <c r="B2056" s="645"/>
    </row>
    <row r="2057" spans="1:2" x14ac:dyDescent="0.3">
      <c r="A2057" s="644"/>
      <c r="B2057" s="645"/>
    </row>
    <row r="2058" spans="1:2" x14ac:dyDescent="0.3">
      <c r="A2058" s="644"/>
      <c r="B2058" s="645"/>
    </row>
    <row r="2059" spans="1:2" x14ac:dyDescent="0.3">
      <c r="A2059" s="644"/>
      <c r="B2059" s="645"/>
    </row>
    <row r="2060" spans="1:2" x14ac:dyDescent="0.3">
      <c r="A2060" s="644"/>
      <c r="B2060" s="645"/>
    </row>
    <row r="2061" spans="1:2" x14ac:dyDescent="0.3">
      <c r="A2061" s="644"/>
      <c r="B2061" s="645"/>
    </row>
    <row r="2062" spans="1:2" x14ac:dyDescent="0.3">
      <c r="A2062" s="644"/>
      <c r="B2062" s="645"/>
    </row>
    <row r="2063" spans="1:2" x14ac:dyDescent="0.3">
      <c r="A2063" s="644"/>
      <c r="B2063" s="645"/>
    </row>
    <row r="2064" spans="1:2" x14ac:dyDescent="0.3">
      <c r="A2064" s="644"/>
      <c r="B2064" s="645"/>
    </row>
    <row r="2065" spans="1:2" x14ac:dyDescent="0.3">
      <c r="A2065" s="644"/>
      <c r="B2065" s="645"/>
    </row>
    <row r="2066" spans="1:2" x14ac:dyDescent="0.3">
      <c r="A2066" s="644"/>
      <c r="B2066" s="645"/>
    </row>
    <row r="2067" spans="1:2" x14ac:dyDescent="0.3">
      <c r="A2067" s="644"/>
      <c r="B2067" s="645"/>
    </row>
    <row r="2068" spans="1:2" x14ac:dyDescent="0.3">
      <c r="A2068" s="644"/>
      <c r="B2068" s="645"/>
    </row>
    <row r="2069" spans="1:2" x14ac:dyDescent="0.3">
      <c r="A2069" s="644"/>
      <c r="B2069" s="645"/>
    </row>
    <row r="2070" spans="1:2" x14ac:dyDescent="0.3">
      <c r="A2070" s="644"/>
      <c r="B2070" s="645"/>
    </row>
    <row r="2071" spans="1:2" x14ac:dyDescent="0.3">
      <c r="A2071" s="644"/>
      <c r="B2071" s="645"/>
    </row>
    <row r="2072" spans="1:2" x14ac:dyDescent="0.3">
      <c r="A2072" s="644"/>
      <c r="B2072" s="645"/>
    </row>
    <row r="2073" spans="1:2" x14ac:dyDescent="0.3">
      <c r="A2073" s="644"/>
      <c r="B2073" s="645"/>
    </row>
    <row r="2074" spans="1:2" x14ac:dyDescent="0.3">
      <c r="A2074" s="644"/>
      <c r="B2074" s="645"/>
    </row>
    <row r="2075" spans="1:2" x14ac:dyDescent="0.3">
      <c r="A2075" s="644"/>
      <c r="B2075" s="645"/>
    </row>
    <row r="2076" spans="1:2" x14ac:dyDescent="0.3">
      <c r="A2076" s="644"/>
      <c r="B2076" s="645"/>
    </row>
    <row r="2077" spans="1:2" x14ac:dyDescent="0.3">
      <c r="A2077" s="644"/>
      <c r="B2077" s="645"/>
    </row>
    <row r="2078" spans="1:2" x14ac:dyDescent="0.3">
      <c r="A2078" s="644"/>
      <c r="B2078" s="645"/>
    </row>
    <row r="2079" spans="1:2" x14ac:dyDescent="0.3">
      <c r="A2079" s="644"/>
      <c r="B2079" s="645"/>
    </row>
    <row r="2080" spans="1:2" x14ac:dyDescent="0.3">
      <c r="A2080" s="644"/>
      <c r="B2080" s="645"/>
    </row>
    <row r="2081" spans="1:2" x14ac:dyDescent="0.3">
      <c r="A2081" s="644"/>
      <c r="B2081" s="645"/>
    </row>
    <row r="2082" spans="1:2" x14ac:dyDescent="0.3">
      <c r="A2082" s="644"/>
      <c r="B2082" s="645"/>
    </row>
    <row r="2083" spans="1:2" x14ac:dyDescent="0.3">
      <c r="A2083" s="644"/>
      <c r="B2083" s="645"/>
    </row>
    <row r="2084" spans="1:2" x14ac:dyDescent="0.3">
      <c r="A2084" s="644"/>
      <c r="B2084" s="645"/>
    </row>
    <row r="2085" spans="1:2" x14ac:dyDescent="0.3">
      <c r="A2085" s="644"/>
      <c r="B2085" s="645"/>
    </row>
    <row r="2086" spans="1:2" x14ac:dyDescent="0.3">
      <c r="A2086" s="644"/>
      <c r="B2086" s="645"/>
    </row>
    <row r="2087" spans="1:2" x14ac:dyDescent="0.3">
      <c r="A2087" s="644"/>
      <c r="B2087" s="645"/>
    </row>
    <row r="2088" spans="1:2" x14ac:dyDescent="0.3">
      <c r="A2088" s="644"/>
      <c r="B2088" s="645"/>
    </row>
    <row r="2089" spans="1:2" x14ac:dyDescent="0.3">
      <c r="A2089" s="644"/>
      <c r="B2089" s="645"/>
    </row>
    <row r="2090" spans="1:2" x14ac:dyDescent="0.3">
      <c r="A2090" s="644"/>
      <c r="B2090" s="645"/>
    </row>
    <row r="2091" spans="1:2" x14ac:dyDescent="0.3">
      <c r="A2091" s="644"/>
      <c r="B2091" s="645"/>
    </row>
    <row r="2092" spans="1:2" x14ac:dyDescent="0.3">
      <c r="A2092" s="644"/>
      <c r="B2092" s="645"/>
    </row>
    <row r="2093" spans="1:2" x14ac:dyDescent="0.3">
      <c r="A2093" s="644"/>
      <c r="B2093" s="645"/>
    </row>
    <row r="2094" spans="1:2" x14ac:dyDescent="0.3">
      <c r="A2094" s="644"/>
      <c r="B2094" s="645"/>
    </row>
    <row r="2095" spans="1:2" x14ac:dyDescent="0.3">
      <c r="A2095" s="644"/>
      <c r="B2095" s="645"/>
    </row>
    <row r="2096" spans="1:2" x14ac:dyDescent="0.3">
      <c r="A2096" s="644"/>
      <c r="B2096" s="645"/>
    </row>
    <row r="2097" spans="1:2" x14ac:dyDescent="0.3">
      <c r="A2097" s="644"/>
      <c r="B2097" s="645"/>
    </row>
    <row r="2098" spans="1:2" x14ac:dyDescent="0.3">
      <c r="A2098" s="644"/>
      <c r="B2098" s="645"/>
    </row>
    <row r="2099" spans="1:2" x14ac:dyDescent="0.3">
      <c r="A2099" s="644"/>
      <c r="B2099" s="645"/>
    </row>
    <row r="2100" spans="1:2" x14ac:dyDescent="0.3">
      <c r="A2100" s="644"/>
      <c r="B2100" s="645"/>
    </row>
    <row r="2101" spans="1:2" x14ac:dyDescent="0.3">
      <c r="A2101" s="644"/>
      <c r="B2101" s="645"/>
    </row>
    <row r="2102" spans="1:2" x14ac:dyDescent="0.3">
      <c r="A2102" s="644"/>
      <c r="B2102" s="645"/>
    </row>
    <row r="2103" spans="1:2" x14ac:dyDescent="0.3">
      <c r="A2103" s="644"/>
      <c r="B2103" s="645"/>
    </row>
    <row r="2104" spans="1:2" x14ac:dyDescent="0.3">
      <c r="A2104" s="644"/>
      <c r="B2104" s="645"/>
    </row>
    <row r="2105" spans="1:2" x14ac:dyDescent="0.3">
      <c r="A2105" s="644"/>
      <c r="B2105" s="645"/>
    </row>
    <row r="2106" spans="1:2" x14ac:dyDescent="0.3">
      <c r="A2106" s="644"/>
      <c r="B2106" s="645"/>
    </row>
    <row r="2107" spans="1:2" x14ac:dyDescent="0.3">
      <c r="A2107" s="644"/>
      <c r="B2107" s="645"/>
    </row>
    <row r="2108" spans="1:2" x14ac:dyDescent="0.3">
      <c r="A2108" s="644"/>
      <c r="B2108" s="645"/>
    </row>
    <row r="2109" spans="1:2" x14ac:dyDescent="0.3">
      <c r="A2109" s="644"/>
      <c r="B2109" s="645"/>
    </row>
    <row r="2110" spans="1:2" x14ac:dyDescent="0.3">
      <c r="A2110" s="644"/>
      <c r="B2110" s="645"/>
    </row>
    <row r="2111" spans="1:2" x14ac:dyDescent="0.3">
      <c r="A2111" s="644"/>
      <c r="B2111" s="645"/>
    </row>
    <row r="2112" spans="1:2" x14ac:dyDescent="0.3">
      <c r="A2112" s="644"/>
      <c r="B2112" s="645"/>
    </row>
    <row r="2113" spans="1:2" x14ac:dyDescent="0.3">
      <c r="A2113" s="644"/>
      <c r="B2113" s="645"/>
    </row>
    <row r="2114" spans="1:2" x14ac:dyDescent="0.3">
      <c r="A2114" s="644"/>
      <c r="B2114" s="645"/>
    </row>
    <row r="2115" spans="1:2" x14ac:dyDescent="0.3">
      <c r="A2115" s="644"/>
      <c r="B2115" s="645"/>
    </row>
    <row r="2116" spans="1:2" x14ac:dyDescent="0.3">
      <c r="A2116" s="644"/>
      <c r="B2116" s="645"/>
    </row>
    <row r="2117" spans="1:2" x14ac:dyDescent="0.3">
      <c r="A2117" s="644"/>
      <c r="B2117" s="645"/>
    </row>
    <row r="2118" spans="1:2" x14ac:dyDescent="0.3">
      <c r="A2118" s="644"/>
      <c r="B2118" s="645"/>
    </row>
    <row r="2119" spans="1:2" x14ac:dyDescent="0.3">
      <c r="A2119" s="644"/>
      <c r="B2119" s="645"/>
    </row>
    <row r="2120" spans="1:2" x14ac:dyDescent="0.3">
      <c r="A2120" s="644"/>
      <c r="B2120" s="645"/>
    </row>
    <row r="2121" spans="1:2" x14ac:dyDescent="0.3">
      <c r="A2121" s="644"/>
      <c r="B2121" s="645"/>
    </row>
    <row r="2122" spans="1:2" x14ac:dyDescent="0.3">
      <c r="A2122" s="644"/>
      <c r="B2122" s="645"/>
    </row>
    <row r="2123" spans="1:2" x14ac:dyDescent="0.3">
      <c r="A2123" s="644"/>
      <c r="B2123" s="645"/>
    </row>
    <row r="2124" spans="1:2" x14ac:dyDescent="0.3">
      <c r="A2124" s="644"/>
      <c r="B2124" s="645"/>
    </row>
    <row r="2125" spans="1:2" x14ac:dyDescent="0.3">
      <c r="A2125" s="644"/>
      <c r="B2125" s="645"/>
    </row>
    <row r="2126" spans="1:2" x14ac:dyDescent="0.3">
      <c r="A2126" s="644"/>
      <c r="B2126" s="645"/>
    </row>
    <row r="2127" spans="1:2" x14ac:dyDescent="0.3">
      <c r="A2127" s="644"/>
      <c r="B2127" s="645"/>
    </row>
    <row r="2128" spans="1:2" x14ac:dyDescent="0.3">
      <c r="A2128" s="644"/>
      <c r="B2128" s="645"/>
    </row>
    <row r="2129" spans="1:2" x14ac:dyDescent="0.3">
      <c r="A2129" s="644"/>
      <c r="B2129" s="645"/>
    </row>
    <row r="2130" spans="1:2" x14ac:dyDescent="0.3">
      <c r="A2130" s="644"/>
      <c r="B2130" s="645"/>
    </row>
    <row r="2131" spans="1:2" x14ac:dyDescent="0.3">
      <c r="A2131" s="644"/>
      <c r="B2131" s="645"/>
    </row>
    <row r="2132" spans="1:2" x14ac:dyDescent="0.3">
      <c r="A2132" s="644"/>
      <c r="B2132" s="645"/>
    </row>
    <row r="2133" spans="1:2" x14ac:dyDescent="0.3">
      <c r="A2133" s="644"/>
      <c r="B2133" s="645"/>
    </row>
    <row r="2134" spans="1:2" x14ac:dyDescent="0.3">
      <c r="A2134" s="644"/>
      <c r="B2134" s="645"/>
    </row>
    <row r="2135" spans="1:2" x14ac:dyDescent="0.3">
      <c r="A2135" s="644"/>
      <c r="B2135" s="645"/>
    </row>
    <row r="2136" spans="1:2" x14ac:dyDescent="0.3">
      <c r="A2136" s="644"/>
      <c r="B2136" s="645"/>
    </row>
    <row r="2137" spans="1:2" x14ac:dyDescent="0.3">
      <c r="A2137" s="644"/>
      <c r="B2137" s="645"/>
    </row>
    <row r="2138" spans="1:2" x14ac:dyDescent="0.3">
      <c r="A2138" s="644"/>
      <c r="B2138" s="645"/>
    </row>
    <row r="2139" spans="1:2" x14ac:dyDescent="0.3">
      <c r="A2139" s="644"/>
      <c r="B2139" s="645"/>
    </row>
    <row r="2140" spans="1:2" x14ac:dyDescent="0.3">
      <c r="A2140" s="644"/>
      <c r="B2140" s="645"/>
    </row>
    <row r="2141" spans="1:2" x14ac:dyDescent="0.3">
      <c r="A2141" s="644"/>
      <c r="B2141" s="645"/>
    </row>
    <row r="2142" spans="1:2" x14ac:dyDescent="0.3">
      <c r="A2142" s="644"/>
      <c r="B2142" s="645"/>
    </row>
    <row r="2143" spans="1:2" x14ac:dyDescent="0.3">
      <c r="A2143" s="644"/>
      <c r="B2143" s="645"/>
    </row>
    <row r="2144" spans="1:2" x14ac:dyDescent="0.3">
      <c r="A2144" s="644"/>
      <c r="B2144" s="645"/>
    </row>
    <row r="2145" spans="1:2" x14ac:dyDescent="0.3">
      <c r="A2145" s="644"/>
      <c r="B2145" s="645"/>
    </row>
    <row r="2146" spans="1:2" x14ac:dyDescent="0.3">
      <c r="A2146" s="644"/>
      <c r="B2146" s="645"/>
    </row>
    <row r="2147" spans="1:2" x14ac:dyDescent="0.3">
      <c r="A2147" s="644"/>
      <c r="B2147" s="645"/>
    </row>
    <row r="2148" spans="1:2" x14ac:dyDescent="0.3">
      <c r="A2148" s="644"/>
      <c r="B2148" s="645"/>
    </row>
    <row r="2149" spans="1:2" x14ac:dyDescent="0.3">
      <c r="A2149" s="644"/>
      <c r="B2149" s="645"/>
    </row>
    <row r="2150" spans="1:2" x14ac:dyDescent="0.3">
      <c r="A2150" s="644"/>
      <c r="B2150" s="645"/>
    </row>
    <row r="2151" spans="1:2" x14ac:dyDescent="0.3">
      <c r="A2151" s="644"/>
      <c r="B2151" s="645"/>
    </row>
    <row r="2152" spans="1:2" x14ac:dyDescent="0.3">
      <c r="A2152" s="644"/>
      <c r="B2152" s="645"/>
    </row>
    <row r="2153" spans="1:2" x14ac:dyDescent="0.3">
      <c r="A2153" s="644"/>
      <c r="B2153" s="645"/>
    </row>
    <row r="2154" spans="1:2" x14ac:dyDescent="0.3">
      <c r="A2154" s="644"/>
      <c r="B2154" s="645"/>
    </row>
    <row r="2155" spans="1:2" x14ac:dyDescent="0.3">
      <c r="A2155" s="644"/>
      <c r="B2155" s="645"/>
    </row>
    <row r="2156" spans="1:2" x14ac:dyDescent="0.3">
      <c r="A2156" s="644"/>
      <c r="B2156" s="645"/>
    </row>
    <row r="2157" spans="1:2" x14ac:dyDescent="0.3">
      <c r="A2157" s="644"/>
      <c r="B2157" s="645"/>
    </row>
    <row r="2158" spans="1:2" x14ac:dyDescent="0.3">
      <c r="A2158" s="644"/>
      <c r="B2158" s="645"/>
    </row>
    <row r="2159" spans="1:2" x14ac:dyDescent="0.3">
      <c r="A2159" s="644"/>
      <c r="B2159" s="645"/>
    </row>
    <row r="2160" spans="1:2" x14ac:dyDescent="0.3">
      <c r="A2160" s="644"/>
      <c r="B2160" s="645"/>
    </row>
    <row r="2161" spans="1:2" x14ac:dyDescent="0.3">
      <c r="A2161" s="644"/>
      <c r="B2161" s="645"/>
    </row>
    <row r="2162" spans="1:2" x14ac:dyDescent="0.3">
      <c r="A2162" s="644"/>
      <c r="B2162" s="645"/>
    </row>
    <row r="2163" spans="1:2" x14ac:dyDescent="0.3">
      <c r="A2163" s="644"/>
      <c r="B2163" s="645"/>
    </row>
    <row r="2164" spans="1:2" x14ac:dyDescent="0.3">
      <c r="A2164" s="644"/>
      <c r="B2164" s="645"/>
    </row>
    <row r="2165" spans="1:2" x14ac:dyDescent="0.3">
      <c r="A2165" s="644"/>
      <c r="B2165" s="645"/>
    </row>
    <row r="2166" spans="1:2" x14ac:dyDescent="0.3">
      <c r="A2166" s="644"/>
      <c r="B2166" s="645"/>
    </row>
    <row r="2167" spans="1:2" x14ac:dyDescent="0.3">
      <c r="A2167" s="644"/>
      <c r="B2167" s="645"/>
    </row>
    <row r="2168" spans="1:2" x14ac:dyDescent="0.3">
      <c r="A2168" s="644"/>
      <c r="B2168" s="645"/>
    </row>
    <row r="2169" spans="1:2" x14ac:dyDescent="0.3">
      <c r="A2169" s="644"/>
      <c r="B2169" s="645"/>
    </row>
    <row r="2170" spans="1:2" x14ac:dyDescent="0.3">
      <c r="A2170" s="644"/>
      <c r="B2170" s="645"/>
    </row>
    <row r="2171" spans="1:2" x14ac:dyDescent="0.3">
      <c r="A2171" s="644"/>
      <c r="B2171" s="645"/>
    </row>
    <row r="2172" spans="1:2" x14ac:dyDescent="0.3">
      <c r="A2172" s="644"/>
      <c r="B2172" s="645"/>
    </row>
    <row r="2173" spans="1:2" x14ac:dyDescent="0.3">
      <c r="A2173" s="644"/>
      <c r="B2173" s="645"/>
    </row>
    <row r="2174" spans="1:2" x14ac:dyDescent="0.3">
      <c r="A2174" s="644"/>
      <c r="B2174" s="645"/>
    </row>
    <row r="2175" spans="1:2" x14ac:dyDescent="0.3">
      <c r="A2175" s="644"/>
      <c r="B2175" s="645"/>
    </row>
    <row r="2176" spans="1:2" x14ac:dyDescent="0.3">
      <c r="A2176" s="644"/>
      <c r="B2176" s="645"/>
    </row>
    <row r="2177" spans="1:2" x14ac:dyDescent="0.3">
      <c r="A2177" s="644"/>
      <c r="B2177" s="645"/>
    </row>
    <row r="2178" spans="1:2" x14ac:dyDescent="0.3">
      <c r="A2178" s="644"/>
      <c r="B2178" s="645"/>
    </row>
    <row r="2179" spans="1:2" x14ac:dyDescent="0.3">
      <c r="A2179" s="644"/>
      <c r="B2179" s="645"/>
    </row>
    <row r="2180" spans="1:2" x14ac:dyDescent="0.3">
      <c r="A2180" s="644"/>
      <c r="B2180" s="645"/>
    </row>
    <row r="2181" spans="1:2" x14ac:dyDescent="0.3">
      <c r="A2181" s="644"/>
      <c r="B2181" s="645"/>
    </row>
    <row r="2182" spans="1:2" x14ac:dyDescent="0.3">
      <c r="A2182" s="644"/>
      <c r="B2182" s="645"/>
    </row>
    <row r="2183" spans="1:2" x14ac:dyDescent="0.3">
      <c r="A2183" s="644"/>
      <c r="B2183" s="645"/>
    </row>
    <row r="2184" spans="1:2" x14ac:dyDescent="0.3">
      <c r="A2184" s="644"/>
      <c r="B2184" s="645"/>
    </row>
    <row r="2185" spans="1:2" x14ac:dyDescent="0.3">
      <c r="A2185" s="644"/>
      <c r="B2185" s="645"/>
    </row>
    <row r="2186" spans="1:2" x14ac:dyDescent="0.3">
      <c r="A2186" s="644"/>
      <c r="B2186" s="645"/>
    </row>
    <row r="2187" spans="1:2" x14ac:dyDescent="0.3">
      <c r="A2187" s="644"/>
      <c r="B2187" s="645"/>
    </row>
    <row r="2188" spans="1:2" x14ac:dyDescent="0.3">
      <c r="A2188" s="644"/>
      <c r="B2188" s="645"/>
    </row>
    <row r="2189" spans="1:2" x14ac:dyDescent="0.3">
      <c r="A2189" s="644"/>
      <c r="B2189" s="645"/>
    </row>
    <row r="2190" spans="1:2" x14ac:dyDescent="0.3">
      <c r="A2190" s="644"/>
      <c r="B2190" s="645"/>
    </row>
    <row r="2191" spans="1:2" x14ac:dyDescent="0.3">
      <c r="A2191" s="644"/>
      <c r="B2191" s="645"/>
    </row>
    <row r="2192" spans="1:2" x14ac:dyDescent="0.3">
      <c r="A2192" s="644"/>
      <c r="B2192" s="645"/>
    </row>
    <row r="2193" spans="1:2" x14ac:dyDescent="0.3">
      <c r="A2193" s="644"/>
      <c r="B2193" s="645"/>
    </row>
    <row r="2194" spans="1:2" x14ac:dyDescent="0.3">
      <c r="A2194" s="644"/>
      <c r="B2194" s="645"/>
    </row>
    <row r="2195" spans="1:2" x14ac:dyDescent="0.3">
      <c r="A2195" s="644"/>
      <c r="B2195" s="645"/>
    </row>
    <row r="2196" spans="1:2" x14ac:dyDescent="0.3">
      <c r="A2196" s="644"/>
      <c r="B2196" s="645"/>
    </row>
    <row r="2197" spans="1:2" x14ac:dyDescent="0.3">
      <c r="A2197" s="644"/>
      <c r="B2197" s="645"/>
    </row>
    <row r="2198" spans="1:2" x14ac:dyDescent="0.3">
      <c r="A2198" s="644"/>
      <c r="B2198" s="645"/>
    </row>
    <row r="2199" spans="1:2" x14ac:dyDescent="0.3">
      <c r="A2199" s="644"/>
      <c r="B2199" s="645"/>
    </row>
    <row r="2200" spans="1:2" x14ac:dyDescent="0.3">
      <c r="A2200" s="644"/>
      <c r="B2200" s="645"/>
    </row>
    <row r="2201" spans="1:2" x14ac:dyDescent="0.3">
      <c r="A2201" s="644"/>
      <c r="B2201" s="645"/>
    </row>
    <row r="2202" spans="1:2" x14ac:dyDescent="0.3">
      <c r="A2202" s="644"/>
      <c r="B2202" s="645"/>
    </row>
    <row r="2203" spans="1:2" x14ac:dyDescent="0.3">
      <c r="A2203" s="644"/>
      <c r="B2203" s="645"/>
    </row>
    <row r="2204" spans="1:2" x14ac:dyDescent="0.3">
      <c r="A2204" s="644"/>
      <c r="B2204" s="645"/>
    </row>
    <row r="2205" spans="1:2" x14ac:dyDescent="0.3">
      <c r="A2205" s="644"/>
      <c r="B2205" s="645"/>
    </row>
    <row r="2206" spans="1:2" x14ac:dyDescent="0.3">
      <c r="A2206" s="644"/>
      <c r="B2206" s="645"/>
    </row>
    <row r="2207" spans="1:2" x14ac:dyDescent="0.3">
      <c r="A2207" s="644"/>
      <c r="B2207" s="645"/>
    </row>
    <row r="2208" spans="1:2" x14ac:dyDescent="0.3">
      <c r="A2208" s="644"/>
      <c r="B2208" s="645"/>
    </row>
    <row r="2209" spans="1:2" x14ac:dyDescent="0.3">
      <c r="A2209" s="644"/>
      <c r="B2209" s="645"/>
    </row>
    <row r="2210" spans="1:2" x14ac:dyDescent="0.3">
      <c r="A2210" s="644"/>
      <c r="B2210" s="645"/>
    </row>
    <row r="2211" spans="1:2" x14ac:dyDescent="0.3">
      <c r="A2211" s="644"/>
      <c r="B2211" s="645"/>
    </row>
    <row r="2212" spans="1:2" x14ac:dyDescent="0.3">
      <c r="A2212" s="644"/>
      <c r="B2212" s="645"/>
    </row>
    <row r="2213" spans="1:2" x14ac:dyDescent="0.3">
      <c r="A2213" s="644"/>
      <c r="B2213" s="645"/>
    </row>
    <row r="2214" spans="1:2" x14ac:dyDescent="0.3">
      <c r="A2214" s="644"/>
      <c r="B2214" s="645"/>
    </row>
    <row r="2215" spans="1:2" x14ac:dyDescent="0.3">
      <c r="A2215" s="644"/>
      <c r="B2215" s="645"/>
    </row>
    <row r="2216" spans="1:2" x14ac:dyDescent="0.3">
      <c r="A2216" s="644"/>
      <c r="B2216" s="645"/>
    </row>
    <row r="2217" spans="1:2" x14ac:dyDescent="0.3">
      <c r="A2217" s="644"/>
      <c r="B2217" s="645"/>
    </row>
    <row r="2218" spans="1:2" x14ac:dyDescent="0.3">
      <c r="A2218" s="644"/>
      <c r="B2218" s="645"/>
    </row>
    <row r="2219" spans="1:2" x14ac:dyDescent="0.3">
      <c r="A2219" s="644"/>
      <c r="B2219" s="645"/>
    </row>
    <row r="2220" spans="1:2" x14ac:dyDescent="0.3">
      <c r="A2220" s="644"/>
      <c r="B2220" s="645"/>
    </row>
    <row r="2221" spans="1:2" x14ac:dyDescent="0.3">
      <c r="A2221" s="644"/>
      <c r="B2221" s="645"/>
    </row>
    <row r="2222" spans="1:2" x14ac:dyDescent="0.3">
      <c r="A2222" s="644"/>
      <c r="B2222" s="645"/>
    </row>
    <row r="2223" spans="1:2" x14ac:dyDescent="0.3">
      <c r="A2223" s="644"/>
      <c r="B2223" s="645"/>
    </row>
    <row r="2224" spans="1:2" x14ac:dyDescent="0.3">
      <c r="A2224" s="644"/>
      <c r="B2224" s="645"/>
    </row>
    <row r="2225" spans="1:2" x14ac:dyDescent="0.3">
      <c r="A2225" s="644"/>
      <c r="B2225" s="645"/>
    </row>
    <row r="2226" spans="1:2" x14ac:dyDescent="0.3">
      <c r="A2226" s="644"/>
      <c r="B2226" s="645"/>
    </row>
    <row r="2227" spans="1:2" x14ac:dyDescent="0.3">
      <c r="A2227" s="644"/>
      <c r="B2227" s="645"/>
    </row>
    <row r="2228" spans="1:2" x14ac:dyDescent="0.3">
      <c r="A2228" s="644"/>
      <c r="B2228" s="645"/>
    </row>
    <row r="2229" spans="1:2" x14ac:dyDescent="0.3">
      <c r="A2229" s="644"/>
      <c r="B2229" s="645"/>
    </row>
    <row r="2230" spans="1:2" x14ac:dyDescent="0.3">
      <c r="A2230" s="644"/>
      <c r="B2230" s="645"/>
    </row>
    <row r="2231" spans="1:2" x14ac:dyDescent="0.3">
      <c r="A2231" s="644"/>
      <c r="B2231" s="645"/>
    </row>
    <row r="2232" spans="1:2" x14ac:dyDescent="0.3">
      <c r="A2232" s="644"/>
      <c r="B2232" s="645"/>
    </row>
    <row r="2233" spans="1:2" x14ac:dyDescent="0.3">
      <c r="A2233" s="644"/>
      <c r="B2233" s="645"/>
    </row>
    <row r="2234" spans="1:2" x14ac:dyDescent="0.3">
      <c r="A2234" s="644"/>
      <c r="B2234" s="645"/>
    </row>
    <row r="2235" spans="1:2" x14ac:dyDescent="0.3">
      <c r="A2235" s="644"/>
      <c r="B2235" s="645"/>
    </row>
    <row r="2236" spans="1:2" x14ac:dyDescent="0.3">
      <c r="A2236" s="644"/>
      <c r="B2236" s="645"/>
    </row>
    <row r="2237" spans="1:2" x14ac:dyDescent="0.3">
      <c r="A2237" s="644"/>
      <c r="B2237" s="645"/>
    </row>
    <row r="2238" spans="1:2" x14ac:dyDescent="0.3">
      <c r="A2238" s="644"/>
      <c r="B2238" s="645"/>
    </row>
    <row r="2239" spans="1:2" x14ac:dyDescent="0.3">
      <c r="A2239" s="644"/>
      <c r="B2239" s="645"/>
    </row>
    <row r="2240" spans="1:2" x14ac:dyDescent="0.3">
      <c r="A2240" s="644"/>
      <c r="B2240" s="645"/>
    </row>
    <row r="2241" spans="1:2" x14ac:dyDescent="0.3">
      <c r="A2241" s="644"/>
      <c r="B2241" s="645"/>
    </row>
    <row r="2242" spans="1:2" x14ac:dyDescent="0.3">
      <c r="A2242" s="644"/>
      <c r="B2242" s="645"/>
    </row>
    <row r="2243" spans="1:2" x14ac:dyDescent="0.3">
      <c r="A2243" s="644"/>
      <c r="B2243" s="645"/>
    </row>
    <row r="2244" spans="1:2" x14ac:dyDescent="0.3">
      <c r="A2244" s="644"/>
      <c r="B2244" s="645"/>
    </row>
    <row r="2245" spans="1:2" x14ac:dyDescent="0.3">
      <c r="A2245" s="644"/>
      <c r="B2245" s="645"/>
    </row>
    <row r="2246" spans="1:2" x14ac:dyDescent="0.3">
      <c r="A2246" s="644"/>
      <c r="B2246" s="645"/>
    </row>
    <row r="2247" spans="1:2" x14ac:dyDescent="0.3">
      <c r="A2247" s="644"/>
      <c r="B2247" s="645"/>
    </row>
    <row r="2248" spans="1:2" x14ac:dyDescent="0.3">
      <c r="A2248" s="644"/>
      <c r="B2248" s="645"/>
    </row>
    <row r="2249" spans="1:2" x14ac:dyDescent="0.3">
      <c r="A2249" s="644"/>
      <c r="B2249" s="645"/>
    </row>
    <row r="2250" spans="1:2" x14ac:dyDescent="0.3">
      <c r="A2250" s="644"/>
      <c r="B2250" s="645"/>
    </row>
    <row r="2251" spans="1:2" x14ac:dyDescent="0.3">
      <c r="A2251" s="644"/>
      <c r="B2251" s="645"/>
    </row>
    <row r="2252" spans="1:2" x14ac:dyDescent="0.3">
      <c r="A2252" s="644"/>
      <c r="B2252" s="645"/>
    </row>
    <row r="2253" spans="1:2" x14ac:dyDescent="0.3">
      <c r="A2253" s="644"/>
      <c r="B2253" s="645"/>
    </row>
    <row r="2254" spans="1:2" x14ac:dyDescent="0.3">
      <c r="A2254" s="644"/>
      <c r="B2254" s="645"/>
    </row>
    <row r="2255" spans="1:2" x14ac:dyDescent="0.3">
      <c r="A2255" s="644"/>
      <c r="B2255" s="645"/>
    </row>
    <row r="2256" spans="1:2" x14ac:dyDescent="0.3">
      <c r="A2256" s="644"/>
      <c r="B2256" s="645"/>
    </row>
    <row r="2257" spans="1:2" x14ac:dyDescent="0.3">
      <c r="A2257" s="644"/>
      <c r="B2257" s="645"/>
    </row>
    <row r="2258" spans="1:2" x14ac:dyDescent="0.3">
      <c r="A2258" s="644"/>
      <c r="B2258" s="645"/>
    </row>
    <row r="2259" spans="1:2" x14ac:dyDescent="0.3">
      <c r="A2259" s="644"/>
      <c r="B2259" s="645"/>
    </row>
    <row r="2260" spans="1:2" x14ac:dyDescent="0.3">
      <c r="A2260" s="644"/>
      <c r="B2260" s="645"/>
    </row>
    <row r="2261" spans="1:2" x14ac:dyDescent="0.3">
      <c r="A2261" s="644"/>
      <c r="B2261" s="645"/>
    </row>
    <row r="2262" spans="1:2" x14ac:dyDescent="0.3">
      <c r="A2262" s="644"/>
      <c r="B2262" s="645"/>
    </row>
    <row r="2263" spans="1:2" x14ac:dyDescent="0.3">
      <c r="A2263" s="644"/>
      <c r="B2263" s="645"/>
    </row>
    <row r="2264" spans="1:2" x14ac:dyDescent="0.3">
      <c r="A2264" s="644"/>
      <c r="B2264" s="645"/>
    </row>
    <row r="2265" spans="1:2" x14ac:dyDescent="0.3">
      <c r="A2265" s="644"/>
      <c r="B2265" s="645"/>
    </row>
    <row r="2266" spans="1:2" x14ac:dyDescent="0.3">
      <c r="A2266" s="644"/>
      <c r="B2266" s="645"/>
    </row>
    <row r="2267" spans="1:2" x14ac:dyDescent="0.3">
      <c r="A2267" s="644"/>
      <c r="B2267" s="645"/>
    </row>
    <row r="2268" spans="1:2" x14ac:dyDescent="0.3">
      <c r="A2268" s="644"/>
      <c r="B2268" s="645"/>
    </row>
    <row r="2269" spans="1:2" x14ac:dyDescent="0.3">
      <c r="A2269" s="644"/>
      <c r="B2269" s="645"/>
    </row>
    <row r="2270" spans="1:2" x14ac:dyDescent="0.3">
      <c r="A2270" s="644"/>
      <c r="B2270" s="645"/>
    </row>
    <row r="2271" spans="1:2" x14ac:dyDescent="0.3">
      <c r="A2271" s="644"/>
      <c r="B2271" s="645"/>
    </row>
    <row r="2272" spans="1:2" x14ac:dyDescent="0.3">
      <c r="A2272" s="644"/>
      <c r="B2272" s="645"/>
    </row>
    <row r="2273" spans="1:2" x14ac:dyDescent="0.3">
      <c r="A2273" s="644"/>
      <c r="B2273" s="645"/>
    </row>
    <row r="2274" spans="1:2" x14ac:dyDescent="0.3">
      <c r="A2274" s="644"/>
      <c r="B2274" s="645"/>
    </row>
    <row r="2275" spans="1:2" x14ac:dyDescent="0.3">
      <c r="A2275" s="644"/>
      <c r="B2275" s="645"/>
    </row>
    <row r="2276" spans="1:2" x14ac:dyDescent="0.3">
      <c r="A2276" s="644"/>
      <c r="B2276" s="645"/>
    </row>
    <row r="2277" spans="1:2" x14ac:dyDescent="0.3">
      <c r="A2277" s="644"/>
      <c r="B2277" s="645"/>
    </row>
    <row r="2278" spans="1:2" x14ac:dyDescent="0.3">
      <c r="A2278" s="644"/>
      <c r="B2278" s="645"/>
    </row>
    <row r="2279" spans="1:2" x14ac:dyDescent="0.3">
      <c r="A2279" s="644"/>
      <c r="B2279" s="645"/>
    </row>
    <row r="2280" spans="1:2" x14ac:dyDescent="0.3">
      <c r="A2280" s="644"/>
      <c r="B2280" s="645"/>
    </row>
    <row r="2281" spans="1:2" x14ac:dyDescent="0.3">
      <c r="A2281" s="644"/>
      <c r="B2281" s="645"/>
    </row>
    <row r="2282" spans="1:2" x14ac:dyDescent="0.3">
      <c r="A2282" s="644"/>
      <c r="B2282" s="645"/>
    </row>
    <row r="2283" spans="1:2" x14ac:dyDescent="0.3">
      <c r="A2283" s="644"/>
      <c r="B2283" s="645"/>
    </row>
    <row r="2284" spans="1:2" x14ac:dyDescent="0.3">
      <c r="A2284" s="644"/>
      <c r="B2284" s="645"/>
    </row>
    <row r="2285" spans="1:2" x14ac:dyDescent="0.3">
      <c r="A2285" s="644"/>
      <c r="B2285" s="645"/>
    </row>
    <row r="2286" spans="1:2" x14ac:dyDescent="0.3">
      <c r="A2286" s="644"/>
      <c r="B2286" s="645"/>
    </row>
    <row r="2287" spans="1:2" x14ac:dyDescent="0.3">
      <c r="A2287" s="644"/>
      <c r="B2287" s="645"/>
    </row>
    <row r="2288" spans="1:2" x14ac:dyDescent="0.3">
      <c r="A2288" s="644"/>
      <c r="B2288" s="645"/>
    </row>
    <row r="2289" spans="1:2" x14ac:dyDescent="0.3">
      <c r="A2289" s="644"/>
      <c r="B2289" s="645"/>
    </row>
    <row r="2290" spans="1:2" x14ac:dyDescent="0.3">
      <c r="A2290" s="644"/>
      <c r="B2290" s="645"/>
    </row>
    <row r="2291" spans="1:2" x14ac:dyDescent="0.3">
      <c r="A2291" s="644"/>
      <c r="B2291" s="645"/>
    </row>
    <row r="2292" spans="1:2" x14ac:dyDescent="0.3">
      <c r="A2292" s="644"/>
      <c r="B2292" s="645"/>
    </row>
    <row r="2293" spans="1:2" x14ac:dyDescent="0.3">
      <c r="A2293" s="644"/>
      <c r="B2293" s="645"/>
    </row>
    <row r="2294" spans="1:2" x14ac:dyDescent="0.3">
      <c r="A2294" s="644"/>
      <c r="B2294" s="645"/>
    </row>
    <row r="2295" spans="1:2" x14ac:dyDescent="0.3">
      <c r="A2295" s="644"/>
      <c r="B2295" s="645"/>
    </row>
    <row r="2296" spans="1:2" x14ac:dyDescent="0.3">
      <c r="A2296" s="644"/>
      <c r="B2296" s="645"/>
    </row>
    <row r="2297" spans="1:2" x14ac:dyDescent="0.3">
      <c r="A2297" s="644"/>
      <c r="B2297" s="645"/>
    </row>
    <row r="2298" spans="1:2" x14ac:dyDescent="0.3">
      <c r="A2298" s="644"/>
      <c r="B2298" s="645"/>
    </row>
    <row r="2299" spans="1:2" x14ac:dyDescent="0.3">
      <c r="A2299" s="644"/>
      <c r="B2299" s="645"/>
    </row>
    <row r="2300" spans="1:2" x14ac:dyDescent="0.3">
      <c r="A2300" s="644"/>
      <c r="B2300" s="645"/>
    </row>
    <row r="2301" spans="1:2" x14ac:dyDescent="0.3">
      <c r="A2301" s="644"/>
      <c r="B2301" s="645"/>
    </row>
    <row r="2302" spans="1:2" x14ac:dyDescent="0.3">
      <c r="A2302" s="644"/>
      <c r="B2302" s="645"/>
    </row>
    <row r="2303" spans="1:2" x14ac:dyDescent="0.3">
      <c r="A2303" s="644"/>
      <c r="B2303" s="645"/>
    </row>
    <row r="2304" spans="1:2" x14ac:dyDescent="0.3">
      <c r="A2304" s="644"/>
      <c r="B2304" s="645"/>
    </row>
    <row r="2305" spans="1:2" x14ac:dyDescent="0.3">
      <c r="A2305" s="644"/>
      <c r="B2305" s="645"/>
    </row>
    <row r="2306" spans="1:2" x14ac:dyDescent="0.3">
      <c r="A2306" s="644"/>
      <c r="B2306" s="645"/>
    </row>
    <row r="2307" spans="1:2" x14ac:dyDescent="0.3">
      <c r="A2307" s="644"/>
      <c r="B2307" s="645"/>
    </row>
    <row r="2308" spans="1:2" x14ac:dyDescent="0.3">
      <c r="A2308" s="644"/>
      <c r="B2308" s="645"/>
    </row>
    <row r="2309" spans="1:2" x14ac:dyDescent="0.3">
      <c r="A2309" s="644"/>
      <c r="B2309" s="645"/>
    </row>
    <row r="2310" spans="1:2" x14ac:dyDescent="0.3">
      <c r="A2310" s="644"/>
      <c r="B2310" s="645"/>
    </row>
    <row r="2311" spans="1:2" x14ac:dyDescent="0.3">
      <c r="A2311" s="644"/>
      <c r="B2311" s="645"/>
    </row>
    <row r="2312" spans="1:2" x14ac:dyDescent="0.3">
      <c r="A2312" s="644"/>
      <c r="B2312" s="645"/>
    </row>
    <row r="2313" spans="1:2" x14ac:dyDescent="0.3">
      <c r="A2313" s="644"/>
      <c r="B2313" s="645"/>
    </row>
    <row r="2314" spans="1:2" x14ac:dyDescent="0.3">
      <c r="A2314" s="644"/>
      <c r="B2314" s="645"/>
    </row>
    <row r="2315" spans="1:2" x14ac:dyDescent="0.3">
      <c r="A2315" s="644"/>
      <c r="B2315" s="645"/>
    </row>
    <row r="2316" spans="1:2" x14ac:dyDescent="0.3">
      <c r="A2316" s="644"/>
      <c r="B2316" s="645"/>
    </row>
    <row r="2317" spans="1:2" x14ac:dyDescent="0.3">
      <c r="A2317" s="644"/>
      <c r="B2317" s="645"/>
    </row>
    <row r="2318" spans="1:2" x14ac:dyDescent="0.3">
      <c r="A2318" s="644"/>
      <c r="B2318" s="645"/>
    </row>
    <row r="2319" spans="1:2" x14ac:dyDescent="0.3">
      <c r="A2319" s="644"/>
      <c r="B2319" s="645"/>
    </row>
    <row r="2320" spans="1:2" x14ac:dyDescent="0.3">
      <c r="A2320" s="644"/>
      <c r="B2320" s="645"/>
    </row>
    <row r="2321" spans="1:2" x14ac:dyDescent="0.3">
      <c r="A2321" s="644"/>
      <c r="B2321" s="645"/>
    </row>
    <row r="2322" spans="1:2" x14ac:dyDescent="0.3">
      <c r="A2322" s="644"/>
      <c r="B2322" s="645"/>
    </row>
    <row r="2323" spans="1:2" x14ac:dyDescent="0.3">
      <c r="A2323" s="644"/>
      <c r="B2323" s="645"/>
    </row>
    <row r="2324" spans="1:2" x14ac:dyDescent="0.3">
      <c r="A2324" s="644"/>
      <c r="B2324" s="645"/>
    </row>
    <row r="2325" spans="1:2" x14ac:dyDescent="0.3">
      <c r="A2325" s="644"/>
      <c r="B2325" s="645"/>
    </row>
    <row r="2326" spans="1:2" x14ac:dyDescent="0.3">
      <c r="A2326" s="644"/>
      <c r="B2326" s="645"/>
    </row>
    <row r="2327" spans="1:2" x14ac:dyDescent="0.3">
      <c r="A2327" s="644"/>
      <c r="B2327" s="645"/>
    </row>
    <row r="2328" spans="1:2" x14ac:dyDescent="0.3">
      <c r="A2328" s="644"/>
      <c r="B2328" s="645"/>
    </row>
    <row r="2329" spans="1:2" x14ac:dyDescent="0.3">
      <c r="A2329" s="644"/>
      <c r="B2329" s="645"/>
    </row>
    <row r="2330" spans="1:2" x14ac:dyDescent="0.3">
      <c r="A2330" s="644"/>
      <c r="B2330" s="645"/>
    </row>
    <row r="2331" spans="1:2" x14ac:dyDescent="0.3">
      <c r="A2331" s="644"/>
      <c r="B2331" s="645"/>
    </row>
    <row r="2332" spans="1:2" x14ac:dyDescent="0.3">
      <c r="A2332" s="644"/>
      <c r="B2332" s="645"/>
    </row>
    <row r="2333" spans="1:2" x14ac:dyDescent="0.3">
      <c r="A2333" s="644"/>
      <c r="B2333" s="645"/>
    </row>
    <row r="2334" spans="1:2" x14ac:dyDescent="0.3">
      <c r="A2334" s="644"/>
      <c r="B2334" s="645"/>
    </row>
    <row r="2335" spans="1:2" x14ac:dyDescent="0.3">
      <c r="A2335" s="644"/>
      <c r="B2335" s="645"/>
    </row>
    <row r="2336" spans="1:2" x14ac:dyDescent="0.3">
      <c r="A2336" s="644"/>
      <c r="B2336" s="645"/>
    </row>
    <row r="2337" spans="1:2" x14ac:dyDescent="0.3">
      <c r="A2337" s="644"/>
      <c r="B2337" s="645"/>
    </row>
    <row r="2338" spans="1:2" x14ac:dyDescent="0.3">
      <c r="A2338" s="644"/>
      <c r="B2338" s="645"/>
    </row>
    <row r="2339" spans="1:2" x14ac:dyDescent="0.3">
      <c r="A2339" s="644"/>
      <c r="B2339" s="645"/>
    </row>
    <row r="2340" spans="1:2" x14ac:dyDescent="0.3">
      <c r="A2340" s="644"/>
      <c r="B2340" s="645"/>
    </row>
    <row r="2341" spans="1:2" x14ac:dyDescent="0.3">
      <c r="A2341" s="644"/>
      <c r="B2341" s="645"/>
    </row>
    <row r="2342" spans="1:2" x14ac:dyDescent="0.3">
      <c r="A2342" s="644"/>
      <c r="B2342" s="645"/>
    </row>
    <row r="2343" spans="1:2" x14ac:dyDescent="0.3">
      <c r="A2343" s="644"/>
      <c r="B2343" s="645"/>
    </row>
    <row r="2344" spans="1:2" x14ac:dyDescent="0.3">
      <c r="A2344" s="644"/>
      <c r="B2344" s="645"/>
    </row>
    <row r="2345" spans="1:2" x14ac:dyDescent="0.3">
      <c r="A2345" s="644"/>
      <c r="B2345" s="645"/>
    </row>
    <row r="2346" spans="1:2" x14ac:dyDescent="0.3">
      <c r="A2346" s="644"/>
      <c r="B2346" s="645"/>
    </row>
    <row r="2347" spans="1:2" x14ac:dyDescent="0.3">
      <c r="A2347" s="644"/>
      <c r="B2347" s="645"/>
    </row>
    <row r="2348" spans="1:2" x14ac:dyDescent="0.3">
      <c r="A2348" s="644"/>
      <c r="B2348" s="645"/>
    </row>
    <row r="2349" spans="1:2" x14ac:dyDescent="0.3">
      <c r="A2349" s="644"/>
      <c r="B2349" s="645"/>
    </row>
    <row r="2350" spans="1:2" x14ac:dyDescent="0.3">
      <c r="A2350" s="644"/>
      <c r="B2350" s="645"/>
    </row>
    <row r="2351" spans="1:2" x14ac:dyDescent="0.3">
      <c r="A2351" s="644"/>
      <c r="B2351" s="645"/>
    </row>
    <row r="2352" spans="1:2" x14ac:dyDescent="0.3">
      <c r="A2352" s="644"/>
      <c r="B2352" s="645"/>
    </row>
    <row r="2353" spans="1:2" x14ac:dyDescent="0.3">
      <c r="A2353" s="644"/>
      <c r="B2353" s="645"/>
    </row>
    <row r="2354" spans="1:2" x14ac:dyDescent="0.3">
      <c r="A2354" s="644"/>
      <c r="B2354" s="645"/>
    </row>
    <row r="2355" spans="1:2" x14ac:dyDescent="0.3">
      <c r="A2355" s="644"/>
      <c r="B2355" s="645"/>
    </row>
    <row r="2356" spans="1:2" x14ac:dyDescent="0.3">
      <c r="A2356" s="644"/>
      <c r="B2356" s="645"/>
    </row>
    <row r="2357" spans="1:2" x14ac:dyDescent="0.3">
      <c r="A2357" s="644"/>
      <c r="B2357" s="645"/>
    </row>
    <row r="2358" spans="1:2" x14ac:dyDescent="0.3">
      <c r="A2358" s="644"/>
      <c r="B2358" s="645"/>
    </row>
    <row r="2359" spans="1:2" x14ac:dyDescent="0.3">
      <c r="A2359" s="644"/>
      <c r="B2359" s="645"/>
    </row>
    <row r="2360" spans="1:2" x14ac:dyDescent="0.3">
      <c r="A2360" s="644"/>
      <c r="B2360" s="645"/>
    </row>
    <row r="2361" spans="1:2" x14ac:dyDescent="0.3">
      <c r="A2361" s="644"/>
      <c r="B2361" s="645"/>
    </row>
    <row r="2362" spans="1:2" x14ac:dyDescent="0.3">
      <c r="A2362" s="644"/>
      <c r="B2362" s="645"/>
    </row>
    <row r="2363" spans="1:2" x14ac:dyDescent="0.3">
      <c r="A2363" s="644"/>
      <c r="B2363" s="645"/>
    </row>
    <row r="2364" spans="1:2" x14ac:dyDescent="0.3">
      <c r="A2364" s="644"/>
      <c r="B2364" s="645"/>
    </row>
    <row r="2365" spans="1:2" x14ac:dyDescent="0.3">
      <c r="A2365" s="644"/>
      <c r="B2365" s="645"/>
    </row>
    <row r="2366" spans="1:2" x14ac:dyDescent="0.3">
      <c r="A2366" s="644"/>
      <c r="B2366" s="645"/>
    </row>
    <row r="2367" spans="1:2" x14ac:dyDescent="0.3">
      <c r="A2367" s="644"/>
      <c r="B2367" s="645"/>
    </row>
    <row r="2368" spans="1:2" x14ac:dyDescent="0.3">
      <c r="A2368" s="644"/>
      <c r="B2368" s="645"/>
    </row>
    <row r="2369" spans="1:2" x14ac:dyDescent="0.3">
      <c r="A2369" s="644"/>
      <c r="B2369" s="645"/>
    </row>
    <row r="2370" spans="1:2" x14ac:dyDescent="0.3">
      <c r="A2370" s="644"/>
      <c r="B2370" s="645"/>
    </row>
    <row r="2371" spans="1:2" x14ac:dyDescent="0.3">
      <c r="A2371" s="644"/>
      <c r="B2371" s="645"/>
    </row>
    <row r="2372" spans="1:2" x14ac:dyDescent="0.3">
      <c r="A2372" s="644"/>
      <c r="B2372" s="645"/>
    </row>
    <row r="2373" spans="1:2" x14ac:dyDescent="0.3">
      <c r="A2373" s="644"/>
      <c r="B2373" s="645"/>
    </row>
    <row r="2374" spans="1:2" x14ac:dyDescent="0.3">
      <c r="A2374" s="644"/>
      <c r="B2374" s="645"/>
    </row>
    <row r="2375" spans="1:2" x14ac:dyDescent="0.3">
      <c r="A2375" s="644"/>
      <c r="B2375" s="645"/>
    </row>
    <row r="2376" spans="1:2" x14ac:dyDescent="0.3">
      <c r="A2376" s="644"/>
      <c r="B2376" s="645"/>
    </row>
    <row r="2377" spans="1:2" x14ac:dyDescent="0.3">
      <c r="A2377" s="644"/>
      <c r="B2377" s="645"/>
    </row>
    <row r="2378" spans="1:2" x14ac:dyDescent="0.3">
      <c r="A2378" s="644"/>
      <c r="B2378" s="645"/>
    </row>
    <row r="2379" spans="1:2" x14ac:dyDescent="0.3">
      <c r="A2379" s="644"/>
      <c r="B2379" s="645"/>
    </row>
    <row r="2380" spans="1:2" x14ac:dyDescent="0.3">
      <c r="A2380" s="644"/>
      <c r="B2380" s="645"/>
    </row>
    <row r="2381" spans="1:2" x14ac:dyDescent="0.3">
      <c r="A2381" s="644"/>
      <c r="B2381" s="645"/>
    </row>
    <row r="2382" spans="1:2" x14ac:dyDescent="0.3">
      <c r="A2382" s="644"/>
      <c r="B2382" s="645"/>
    </row>
    <row r="2383" spans="1:2" x14ac:dyDescent="0.3">
      <c r="A2383" s="644"/>
      <c r="B2383" s="645"/>
    </row>
    <row r="2384" spans="1:2" x14ac:dyDescent="0.3">
      <c r="A2384" s="644"/>
      <c r="B2384" s="645"/>
    </row>
    <row r="2385" spans="1:2" x14ac:dyDescent="0.3">
      <c r="A2385" s="644"/>
      <c r="B2385" s="645"/>
    </row>
    <row r="2386" spans="1:2" x14ac:dyDescent="0.3">
      <c r="A2386" s="644"/>
      <c r="B2386" s="645"/>
    </row>
    <row r="2387" spans="1:2" x14ac:dyDescent="0.3">
      <c r="A2387" s="644"/>
      <c r="B2387" s="645"/>
    </row>
    <row r="2388" spans="1:2" x14ac:dyDescent="0.3">
      <c r="A2388" s="644"/>
      <c r="B2388" s="645"/>
    </row>
    <row r="2389" spans="1:2" x14ac:dyDescent="0.3">
      <c r="A2389" s="644"/>
      <c r="B2389" s="645"/>
    </row>
    <row r="2390" spans="1:2" x14ac:dyDescent="0.3">
      <c r="A2390" s="644"/>
      <c r="B2390" s="645"/>
    </row>
    <row r="2391" spans="1:2" x14ac:dyDescent="0.3">
      <c r="A2391" s="644"/>
      <c r="B2391" s="645"/>
    </row>
    <row r="2392" spans="1:2" x14ac:dyDescent="0.3">
      <c r="A2392" s="644"/>
      <c r="B2392" s="645"/>
    </row>
    <row r="2393" spans="1:2" x14ac:dyDescent="0.3">
      <c r="A2393" s="644"/>
      <c r="B2393" s="645"/>
    </row>
    <row r="2394" spans="1:2" x14ac:dyDescent="0.3">
      <c r="A2394" s="644"/>
      <c r="B2394" s="645"/>
    </row>
    <row r="2395" spans="1:2" x14ac:dyDescent="0.3">
      <c r="A2395" s="644"/>
      <c r="B2395" s="645"/>
    </row>
    <row r="2396" spans="1:2" x14ac:dyDescent="0.3">
      <c r="A2396" s="644"/>
      <c r="B2396" s="645"/>
    </row>
    <row r="2397" spans="1:2" x14ac:dyDescent="0.3">
      <c r="A2397" s="644"/>
      <c r="B2397" s="645"/>
    </row>
    <row r="2398" spans="1:2" x14ac:dyDescent="0.3">
      <c r="A2398" s="644"/>
      <c r="B2398" s="645"/>
    </row>
    <row r="2399" spans="1:2" x14ac:dyDescent="0.3">
      <c r="A2399" s="644"/>
      <c r="B2399" s="645"/>
    </row>
    <row r="2400" spans="1:2" x14ac:dyDescent="0.3">
      <c r="A2400" s="644"/>
      <c r="B2400" s="645"/>
    </row>
    <row r="2401" spans="1:2" x14ac:dyDescent="0.3">
      <c r="A2401" s="644"/>
      <c r="B2401" s="645"/>
    </row>
    <row r="2402" spans="1:2" x14ac:dyDescent="0.3">
      <c r="A2402" s="644"/>
      <c r="B2402" s="645"/>
    </row>
    <row r="2403" spans="1:2" x14ac:dyDescent="0.3">
      <c r="A2403" s="644"/>
      <c r="B2403" s="645"/>
    </row>
    <row r="2404" spans="1:2" x14ac:dyDescent="0.3">
      <c r="A2404" s="644"/>
      <c r="B2404" s="645"/>
    </row>
    <row r="2405" spans="1:2" x14ac:dyDescent="0.3">
      <c r="A2405" s="644"/>
      <c r="B2405" s="645"/>
    </row>
    <row r="2406" spans="1:2" x14ac:dyDescent="0.3">
      <c r="A2406" s="644"/>
      <c r="B2406" s="645"/>
    </row>
    <row r="2407" spans="1:2" x14ac:dyDescent="0.3">
      <c r="A2407" s="644"/>
      <c r="B2407" s="645"/>
    </row>
    <row r="2408" spans="1:2" x14ac:dyDescent="0.3">
      <c r="A2408" s="644"/>
      <c r="B2408" s="645"/>
    </row>
    <row r="2409" spans="1:2" x14ac:dyDescent="0.3">
      <c r="A2409" s="644"/>
      <c r="B2409" s="645"/>
    </row>
    <row r="2410" spans="1:2" x14ac:dyDescent="0.3">
      <c r="A2410" s="644"/>
      <c r="B2410" s="645"/>
    </row>
    <row r="2411" spans="1:2" x14ac:dyDescent="0.3">
      <c r="A2411" s="644"/>
      <c r="B2411" s="645"/>
    </row>
    <row r="2412" spans="1:2" x14ac:dyDescent="0.3">
      <c r="A2412" s="644"/>
      <c r="B2412" s="645"/>
    </row>
    <row r="2413" spans="1:2" x14ac:dyDescent="0.3">
      <c r="A2413" s="644"/>
      <c r="B2413" s="645"/>
    </row>
    <row r="2414" spans="1:2" x14ac:dyDescent="0.3">
      <c r="A2414" s="644"/>
      <c r="B2414" s="645"/>
    </row>
    <row r="2415" spans="1:2" x14ac:dyDescent="0.3">
      <c r="A2415" s="644"/>
      <c r="B2415" s="645"/>
    </row>
    <row r="2416" spans="1:2" x14ac:dyDescent="0.3">
      <c r="A2416" s="644"/>
      <c r="B2416" s="645"/>
    </row>
    <row r="2417" spans="1:2" x14ac:dyDescent="0.3">
      <c r="A2417" s="644"/>
      <c r="B2417" s="645"/>
    </row>
    <row r="2418" spans="1:2" x14ac:dyDescent="0.3">
      <c r="A2418" s="644"/>
      <c r="B2418" s="645"/>
    </row>
    <row r="2419" spans="1:2" x14ac:dyDescent="0.3">
      <c r="A2419" s="644"/>
      <c r="B2419" s="645"/>
    </row>
    <row r="2420" spans="1:2" x14ac:dyDescent="0.3">
      <c r="A2420" s="644"/>
      <c r="B2420" s="645"/>
    </row>
    <row r="2421" spans="1:2" x14ac:dyDescent="0.3">
      <c r="A2421" s="644"/>
      <c r="B2421" s="645"/>
    </row>
    <row r="2422" spans="1:2" x14ac:dyDescent="0.3">
      <c r="A2422" s="644"/>
      <c r="B2422" s="645"/>
    </row>
    <row r="2423" spans="1:2" x14ac:dyDescent="0.3">
      <c r="A2423" s="644"/>
      <c r="B2423" s="645"/>
    </row>
    <row r="2424" spans="1:2" x14ac:dyDescent="0.3">
      <c r="A2424" s="644"/>
      <c r="B2424" s="645"/>
    </row>
    <row r="2425" spans="1:2" x14ac:dyDescent="0.3">
      <c r="A2425" s="644"/>
      <c r="B2425" s="645"/>
    </row>
    <row r="2426" spans="1:2" x14ac:dyDescent="0.3">
      <c r="A2426" s="644"/>
      <c r="B2426" s="645"/>
    </row>
    <row r="2427" spans="1:2" x14ac:dyDescent="0.3">
      <c r="A2427" s="644"/>
      <c r="B2427" s="645"/>
    </row>
    <row r="2428" spans="1:2" x14ac:dyDescent="0.3">
      <c r="A2428" s="644"/>
      <c r="B2428" s="645"/>
    </row>
    <row r="2429" spans="1:2" x14ac:dyDescent="0.3">
      <c r="A2429" s="644"/>
      <c r="B2429" s="645"/>
    </row>
    <row r="2430" spans="1:2" x14ac:dyDescent="0.3">
      <c r="A2430" s="644"/>
      <c r="B2430" s="645"/>
    </row>
    <row r="2431" spans="1:2" x14ac:dyDescent="0.3">
      <c r="A2431" s="644"/>
      <c r="B2431" s="645"/>
    </row>
    <row r="2432" spans="1:2" x14ac:dyDescent="0.3">
      <c r="A2432" s="644"/>
      <c r="B2432" s="645"/>
    </row>
    <row r="2433" spans="1:2" x14ac:dyDescent="0.3">
      <c r="A2433" s="644"/>
      <c r="B2433" s="645"/>
    </row>
    <row r="2434" spans="1:2" x14ac:dyDescent="0.3">
      <c r="A2434" s="644"/>
      <c r="B2434" s="645"/>
    </row>
    <row r="2435" spans="1:2" x14ac:dyDescent="0.3">
      <c r="A2435" s="644"/>
      <c r="B2435" s="645"/>
    </row>
    <row r="2436" spans="1:2" x14ac:dyDescent="0.3">
      <c r="A2436" s="644"/>
      <c r="B2436" s="645"/>
    </row>
    <row r="2437" spans="1:2" x14ac:dyDescent="0.3">
      <c r="A2437" s="644"/>
      <c r="B2437" s="645"/>
    </row>
    <row r="2438" spans="1:2" x14ac:dyDescent="0.3">
      <c r="A2438" s="644"/>
      <c r="B2438" s="645"/>
    </row>
    <row r="2439" spans="1:2" x14ac:dyDescent="0.3">
      <c r="A2439" s="644"/>
      <c r="B2439" s="645"/>
    </row>
    <row r="2440" spans="1:2" x14ac:dyDescent="0.3">
      <c r="A2440" s="644"/>
      <c r="B2440" s="645"/>
    </row>
    <row r="2441" spans="1:2" x14ac:dyDescent="0.3">
      <c r="A2441" s="644"/>
      <c r="B2441" s="645"/>
    </row>
    <row r="2442" spans="1:2" x14ac:dyDescent="0.3">
      <c r="A2442" s="644"/>
      <c r="B2442" s="645"/>
    </row>
    <row r="2443" spans="1:2" x14ac:dyDescent="0.3">
      <c r="A2443" s="644"/>
      <c r="B2443" s="645"/>
    </row>
    <row r="2444" spans="1:2" x14ac:dyDescent="0.3">
      <c r="A2444" s="644"/>
      <c r="B2444" s="645"/>
    </row>
    <row r="2445" spans="1:2" x14ac:dyDescent="0.3">
      <c r="A2445" s="644"/>
      <c r="B2445" s="645"/>
    </row>
    <row r="2446" spans="1:2" x14ac:dyDescent="0.3">
      <c r="A2446" s="644"/>
      <c r="B2446" s="645"/>
    </row>
    <row r="2447" spans="1:2" x14ac:dyDescent="0.3">
      <c r="A2447" s="644"/>
      <c r="B2447" s="645"/>
    </row>
    <row r="2448" spans="1:2" x14ac:dyDescent="0.3">
      <c r="A2448" s="644"/>
      <c r="B2448" s="645"/>
    </row>
    <row r="2449" spans="1:2" x14ac:dyDescent="0.3">
      <c r="A2449" s="644"/>
      <c r="B2449" s="645"/>
    </row>
    <row r="2450" spans="1:2" x14ac:dyDescent="0.3">
      <c r="A2450" s="644"/>
      <c r="B2450" s="645"/>
    </row>
    <row r="2451" spans="1:2" x14ac:dyDescent="0.3">
      <c r="A2451" s="644"/>
      <c r="B2451" s="645"/>
    </row>
    <row r="2452" spans="1:2" x14ac:dyDescent="0.3">
      <c r="A2452" s="644"/>
      <c r="B2452" s="645"/>
    </row>
    <row r="2453" spans="1:2" x14ac:dyDescent="0.3">
      <c r="A2453" s="644"/>
      <c r="B2453" s="645"/>
    </row>
    <row r="2454" spans="1:2" x14ac:dyDescent="0.3">
      <c r="A2454" s="644"/>
      <c r="B2454" s="645"/>
    </row>
    <row r="2455" spans="1:2" x14ac:dyDescent="0.3">
      <c r="A2455" s="644"/>
      <c r="B2455" s="645"/>
    </row>
    <row r="2456" spans="1:2" x14ac:dyDescent="0.3">
      <c r="A2456" s="644"/>
      <c r="B2456" s="645"/>
    </row>
    <row r="2457" spans="1:2" x14ac:dyDescent="0.3">
      <c r="A2457" s="644"/>
      <c r="B2457" s="645"/>
    </row>
    <row r="2458" spans="1:2" x14ac:dyDescent="0.3">
      <c r="A2458" s="644"/>
      <c r="B2458" s="645"/>
    </row>
    <row r="2459" spans="1:2" x14ac:dyDescent="0.3">
      <c r="A2459" s="644"/>
      <c r="B2459" s="645"/>
    </row>
    <row r="2460" spans="1:2" x14ac:dyDescent="0.3">
      <c r="A2460" s="644"/>
      <c r="B2460" s="645"/>
    </row>
    <row r="2461" spans="1:2" x14ac:dyDescent="0.3">
      <c r="A2461" s="644"/>
      <c r="B2461" s="645"/>
    </row>
    <row r="2462" spans="1:2" x14ac:dyDescent="0.3">
      <c r="A2462" s="644"/>
      <c r="B2462" s="645"/>
    </row>
    <row r="2463" spans="1:2" x14ac:dyDescent="0.3">
      <c r="A2463" s="644"/>
      <c r="B2463" s="645"/>
    </row>
    <row r="2464" spans="1:2" x14ac:dyDescent="0.3">
      <c r="A2464" s="644"/>
      <c r="B2464" s="645"/>
    </row>
    <row r="2465" spans="1:2" x14ac:dyDescent="0.3">
      <c r="A2465" s="644"/>
      <c r="B2465" s="645"/>
    </row>
    <row r="2466" spans="1:2" x14ac:dyDescent="0.3">
      <c r="A2466" s="644"/>
      <c r="B2466" s="645"/>
    </row>
    <row r="2467" spans="1:2" x14ac:dyDescent="0.3">
      <c r="A2467" s="644"/>
      <c r="B2467" s="645"/>
    </row>
    <row r="2468" spans="1:2" x14ac:dyDescent="0.3">
      <c r="A2468" s="644"/>
      <c r="B2468" s="645"/>
    </row>
    <row r="2469" spans="1:2" x14ac:dyDescent="0.3">
      <c r="A2469" s="644"/>
      <c r="B2469" s="645"/>
    </row>
    <row r="2470" spans="1:2" x14ac:dyDescent="0.3">
      <c r="A2470" s="644"/>
      <c r="B2470" s="645"/>
    </row>
    <row r="2471" spans="1:2" x14ac:dyDescent="0.3">
      <c r="A2471" s="644"/>
      <c r="B2471" s="645"/>
    </row>
    <row r="2472" spans="1:2" x14ac:dyDescent="0.3">
      <c r="A2472" s="644"/>
      <c r="B2472" s="645"/>
    </row>
    <row r="2473" spans="1:2" x14ac:dyDescent="0.3">
      <c r="A2473" s="644"/>
      <c r="B2473" s="645"/>
    </row>
    <row r="2474" spans="1:2" x14ac:dyDescent="0.3">
      <c r="A2474" s="644"/>
      <c r="B2474" s="645"/>
    </row>
    <row r="2475" spans="1:2" x14ac:dyDescent="0.3">
      <c r="A2475" s="644"/>
      <c r="B2475" s="645"/>
    </row>
    <row r="2476" spans="1:2" x14ac:dyDescent="0.3">
      <c r="A2476" s="644"/>
      <c r="B2476" s="645"/>
    </row>
    <row r="2477" spans="1:2" x14ac:dyDescent="0.3">
      <c r="A2477" s="644"/>
      <c r="B2477" s="645"/>
    </row>
    <row r="2478" spans="1:2" x14ac:dyDescent="0.3">
      <c r="A2478" s="644"/>
      <c r="B2478" s="645"/>
    </row>
    <row r="2479" spans="1:2" x14ac:dyDescent="0.3">
      <c r="A2479" s="644"/>
      <c r="B2479" s="645"/>
    </row>
    <row r="2480" spans="1:2" x14ac:dyDescent="0.3">
      <c r="A2480" s="644"/>
      <c r="B2480" s="645"/>
    </row>
    <row r="2481" spans="1:2" x14ac:dyDescent="0.3">
      <c r="A2481" s="644"/>
      <c r="B2481" s="645"/>
    </row>
    <row r="2482" spans="1:2" x14ac:dyDescent="0.3">
      <c r="A2482" s="644"/>
      <c r="B2482" s="645"/>
    </row>
    <row r="2483" spans="1:2" x14ac:dyDescent="0.3">
      <c r="A2483" s="644"/>
      <c r="B2483" s="645"/>
    </row>
    <row r="2484" spans="1:2" x14ac:dyDescent="0.3">
      <c r="A2484" s="644"/>
      <c r="B2484" s="645"/>
    </row>
    <row r="2485" spans="1:2" x14ac:dyDescent="0.3">
      <c r="A2485" s="644"/>
      <c r="B2485" s="645"/>
    </row>
    <row r="2486" spans="1:2" x14ac:dyDescent="0.3">
      <c r="A2486" s="644"/>
      <c r="B2486" s="645"/>
    </row>
    <row r="2487" spans="1:2" x14ac:dyDescent="0.3">
      <c r="A2487" s="644"/>
      <c r="B2487" s="645"/>
    </row>
    <row r="2488" spans="1:2" x14ac:dyDescent="0.3">
      <c r="A2488" s="644"/>
      <c r="B2488" s="645"/>
    </row>
    <row r="2489" spans="1:2" x14ac:dyDescent="0.3">
      <c r="A2489" s="644"/>
      <c r="B2489" s="645"/>
    </row>
    <row r="2490" spans="1:2" x14ac:dyDescent="0.3">
      <c r="A2490" s="644"/>
      <c r="B2490" s="645"/>
    </row>
    <row r="2491" spans="1:2" x14ac:dyDescent="0.3">
      <c r="A2491" s="644"/>
      <c r="B2491" s="645"/>
    </row>
    <row r="2492" spans="1:2" x14ac:dyDescent="0.3">
      <c r="A2492" s="644"/>
      <c r="B2492" s="645"/>
    </row>
    <row r="2493" spans="1:2" x14ac:dyDescent="0.3">
      <c r="A2493" s="644"/>
      <c r="B2493" s="645"/>
    </row>
    <row r="2494" spans="1:2" x14ac:dyDescent="0.3">
      <c r="A2494" s="644"/>
      <c r="B2494" s="645"/>
    </row>
    <row r="2495" spans="1:2" x14ac:dyDescent="0.3">
      <c r="A2495" s="644"/>
      <c r="B2495" s="645"/>
    </row>
    <row r="2496" spans="1:2" x14ac:dyDescent="0.3">
      <c r="A2496" s="644"/>
      <c r="B2496" s="645"/>
    </row>
    <row r="2497" spans="1:2" x14ac:dyDescent="0.3">
      <c r="A2497" s="644"/>
      <c r="B2497" s="645"/>
    </row>
    <row r="2498" spans="1:2" x14ac:dyDescent="0.3">
      <c r="A2498" s="644"/>
      <c r="B2498" s="645"/>
    </row>
    <row r="2499" spans="1:2" x14ac:dyDescent="0.3">
      <c r="A2499" s="644"/>
      <c r="B2499" s="645"/>
    </row>
    <row r="2500" spans="1:2" x14ac:dyDescent="0.3">
      <c r="A2500" s="644"/>
      <c r="B2500" s="645"/>
    </row>
    <row r="2501" spans="1:2" x14ac:dyDescent="0.3">
      <c r="A2501" s="644"/>
      <c r="B2501" s="645"/>
    </row>
    <row r="2502" spans="1:2" x14ac:dyDescent="0.3">
      <c r="A2502" s="644"/>
      <c r="B2502" s="645"/>
    </row>
    <row r="2503" spans="1:2" x14ac:dyDescent="0.3">
      <c r="A2503" s="644"/>
      <c r="B2503" s="645"/>
    </row>
    <row r="2504" spans="1:2" x14ac:dyDescent="0.3">
      <c r="A2504" s="644"/>
      <c r="B2504" s="645"/>
    </row>
    <row r="2505" spans="1:2" x14ac:dyDescent="0.3">
      <c r="A2505" s="644"/>
      <c r="B2505" s="645"/>
    </row>
    <row r="2506" spans="1:2" x14ac:dyDescent="0.3">
      <c r="A2506" s="644"/>
      <c r="B2506" s="645"/>
    </row>
    <row r="2507" spans="1:2" x14ac:dyDescent="0.3">
      <c r="A2507" s="644"/>
      <c r="B2507" s="645"/>
    </row>
    <row r="2508" spans="1:2" x14ac:dyDescent="0.3">
      <c r="A2508" s="644"/>
      <c r="B2508" s="645"/>
    </row>
    <row r="2509" spans="1:2" x14ac:dyDescent="0.3">
      <c r="A2509" s="644"/>
      <c r="B2509" s="645"/>
    </row>
    <row r="2510" spans="1:2" x14ac:dyDescent="0.3">
      <c r="A2510" s="644"/>
      <c r="B2510" s="645"/>
    </row>
    <row r="2511" spans="1:2" x14ac:dyDescent="0.3">
      <c r="A2511" s="644"/>
      <c r="B2511" s="645"/>
    </row>
    <row r="2512" spans="1:2" x14ac:dyDescent="0.3">
      <c r="A2512" s="644"/>
      <c r="B2512" s="645"/>
    </row>
    <row r="2513" spans="1:2" x14ac:dyDescent="0.3">
      <c r="A2513" s="644"/>
      <c r="B2513" s="645"/>
    </row>
    <row r="2514" spans="1:2" x14ac:dyDescent="0.3">
      <c r="A2514" s="644"/>
      <c r="B2514" s="645"/>
    </row>
    <row r="2515" spans="1:2" x14ac:dyDescent="0.3">
      <c r="A2515" s="644"/>
      <c r="B2515" s="645"/>
    </row>
    <row r="2516" spans="1:2" x14ac:dyDescent="0.3">
      <c r="A2516" s="644"/>
      <c r="B2516" s="645"/>
    </row>
    <row r="2517" spans="1:2" x14ac:dyDescent="0.3">
      <c r="A2517" s="644"/>
      <c r="B2517" s="645"/>
    </row>
    <row r="2518" spans="1:2" x14ac:dyDescent="0.3">
      <c r="A2518" s="644"/>
      <c r="B2518" s="645"/>
    </row>
    <row r="2519" spans="1:2" x14ac:dyDescent="0.3">
      <c r="A2519" s="644"/>
      <c r="B2519" s="645"/>
    </row>
    <row r="2520" spans="1:2" x14ac:dyDescent="0.3">
      <c r="A2520" s="644"/>
      <c r="B2520" s="645"/>
    </row>
    <row r="2521" spans="1:2" x14ac:dyDescent="0.3">
      <c r="A2521" s="644"/>
      <c r="B2521" s="645"/>
    </row>
    <row r="2522" spans="1:2" x14ac:dyDescent="0.3">
      <c r="A2522" s="644"/>
      <c r="B2522" s="645"/>
    </row>
    <row r="2523" spans="1:2" x14ac:dyDescent="0.3">
      <c r="A2523" s="644"/>
      <c r="B2523" s="645"/>
    </row>
    <row r="2524" spans="1:2" x14ac:dyDescent="0.3">
      <c r="A2524" s="644"/>
      <c r="B2524" s="645"/>
    </row>
    <row r="2525" spans="1:2" x14ac:dyDescent="0.3">
      <c r="A2525" s="644"/>
      <c r="B2525" s="645"/>
    </row>
    <row r="2526" spans="1:2" x14ac:dyDescent="0.3">
      <c r="A2526" s="644"/>
      <c r="B2526" s="645"/>
    </row>
    <row r="2527" spans="1:2" x14ac:dyDescent="0.3">
      <c r="A2527" s="644"/>
      <c r="B2527" s="645"/>
    </row>
    <row r="2528" spans="1:2" x14ac:dyDescent="0.3">
      <c r="A2528" s="644"/>
      <c r="B2528" s="645"/>
    </row>
    <row r="2529" spans="1:2" x14ac:dyDescent="0.3">
      <c r="A2529" s="644"/>
      <c r="B2529" s="645"/>
    </row>
    <row r="2530" spans="1:2" x14ac:dyDescent="0.3">
      <c r="A2530" s="644"/>
      <c r="B2530" s="645"/>
    </row>
    <row r="2531" spans="1:2" x14ac:dyDescent="0.3">
      <c r="A2531" s="644"/>
      <c r="B2531" s="645"/>
    </row>
    <row r="2532" spans="1:2" x14ac:dyDescent="0.3">
      <c r="A2532" s="644"/>
      <c r="B2532" s="645"/>
    </row>
    <row r="2533" spans="1:2" x14ac:dyDescent="0.3">
      <c r="A2533" s="644"/>
      <c r="B2533" s="645"/>
    </row>
    <row r="2534" spans="1:2" x14ac:dyDescent="0.3">
      <c r="A2534" s="644"/>
      <c r="B2534" s="645"/>
    </row>
    <row r="2535" spans="1:2" x14ac:dyDescent="0.3">
      <c r="A2535" s="644"/>
      <c r="B2535" s="645"/>
    </row>
    <row r="2536" spans="1:2" x14ac:dyDescent="0.3">
      <c r="A2536" s="644"/>
      <c r="B2536" s="645"/>
    </row>
    <row r="2537" spans="1:2" x14ac:dyDescent="0.3">
      <c r="A2537" s="644"/>
      <c r="B2537" s="645"/>
    </row>
    <row r="2538" spans="1:2" x14ac:dyDescent="0.3">
      <c r="A2538" s="644"/>
      <c r="B2538" s="645"/>
    </row>
    <row r="2539" spans="1:2" x14ac:dyDescent="0.3">
      <c r="A2539" s="644"/>
      <c r="B2539" s="645"/>
    </row>
    <row r="2540" spans="1:2" x14ac:dyDescent="0.3">
      <c r="A2540" s="644"/>
      <c r="B2540" s="645"/>
    </row>
    <row r="2541" spans="1:2" x14ac:dyDescent="0.3">
      <c r="A2541" s="644"/>
      <c r="B2541" s="645"/>
    </row>
    <row r="2542" spans="1:2" x14ac:dyDescent="0.3">
      <c r="A2542" s="644"/>
      <c r="B2542" s="645"/>
    </row>
    <row r="2543" spans="1:2" x14ac:dyDescent="0.3">
      <c r="A2543" s="644"/>
      <c r="B2543" s="645"/>
    </row>
    <row r="2544" spans="1:2" x14ac:dyDescent="0.3">
      <c r="A2544" s="644"/>
      <c r="B2544" s="645"/>
    </row>
    <row r="2545" spans="1:2" x14ac:dyDescent="0.3">
      <c r="A2545" s="644"/>
      <c r="B2545" s="645"/>
    </row>
    <row r="2546" spans="1:2" x14ac:dyDescent="0.3">
      <c r="A2546" s="644"/>
      <c r="B2546" s="645"/>
    </row>
    <row r="2547" spans="1:2" x14ac:dyDescent="0.3">
      <c r="A2547" s="644"/>
      <c r="B2547" s="645"/>
    </row>
    <row r="2548" spans="1:2" x14ac:dyDescent="0.3">
      <c r="A2548" s="644"/>
      <c r="B2548" s="645"/>
    </row>
    <row r="2549" spans="1:2" x14ac:dyDescent="0.3">
      <c r="A2549" s="644"/>
      <c r="B2549" s="645"/>
    </row>
    <row r="2550" spans="1:2" x14ac:dyDescent="0.3">
      <c r="A2550" s="644"/>
      <c r="B2550" s="645"/>
    </row>
    <row r="2551" spans="1:2" x14ac:dyDescent="0.3">
      <c r="A2551" s="644"/>
      <c r="B2551" s="645"/>
    </row>
    <row r="2552" spans="1:2" x14ac:dyDescent="0.3">
      <c r="A2552" s="644"/>
      <c r="B2552" s="645"/>
    </row>
    <row r="2553" spans="1:2" x14ac:dyDescent="0.3">
      <c r="A2553" s="644"/>
      <c r="B2553" s="645"/>
    </row>
    <row r="2554" spans="1:2" x14ac:dyDescent="0.3">
      <c r="A2554" s="644"/>
      <c r="B2554" s="645"/>
    </row>
    <row r="2555" spans="1:2" x14ac:dyDescent="0.3">
      <c r="A2555" s="644"/>
      <c r="B2555" s="645"/>
    </row>
    <row r="2556" spans="1:2" x14ac:dyDescent="0.3">
      <c r="A2556" s="644"/>
      <c r="B2556" s="645"/>
    </row>
    <row r="2557" spans="1:2" x14ac:dyDescent="0.3">
      <c r="A2557" s="644"/>
      <c r="B2557" s="645"/>
    </row>
    <row r="2558" spans="1:2" x14ac:dyDescent="0.3">
      <c r="A2558" s="644"/>
      <c r="B2558" s="645"/>
    </row>
    <row r="2559" spans="1:2" x14ac:dyDescent="0.3">
      <c r="A2559" s="644"/>
      <c r="B2559" s="645"/>
    </row>
    <row r="2560" spans="1:2" x14ac:dyDescent="0.3">
      <c r="A2560" s="644"/>
      <c r="B2560" s="645"/>
    </row>
    <row r="2561" spans="1:2" x14ac:dyDescent="0.3">
      <c r="A2561" s="644"/>
      <c r="B2561" s="645"/>
    </row>
    <row r="2562" spans="1:2" x14ac:dyDescent="0.3">
      <c r="A2562" s="644"/>
      <c r="B2562" s="645"/>
    </row>
    <row r="2563" spans="1:2" x14ac:dyDescent="0.3">
      <c r="A2563" s="644"/>
      <c r="B2563" s="645"/>
    </row>
    <row r="2564" spans="1:2" x14ac:dyDescent="0.3">
      <c r="A2564" s="644"/>
      <c r="B2564" s="645"/>
    </row>
    <row r="2565" spans="1:2" x14ac:dyDescent="0.3">
      <c r="A2565" s="644"/>
      <c r="B2565" s="645"/>
    </row>
    <row r="2566" spans="1:2" x14ac:dyDescent="0.3">
      <c r="A2566" s="644"/>
      <c r="B2566" s="645"/>
    </row>
    <row r="2567" spans="1:2" x14ac:dyDescent="0.3">
      <c r="A2567" s="644"/>
      <c r="B2567" s="645"/>
    </row>
    <row r="2568" spans="1:2" x14ac:dyDescent="0.3">
      <c r="A2568" s="644"/>
      <c r="B2568" s="645"/>
    </row>
    <row r="2569" spans="1:2" x14ac:dyDescent="0.3">
      <c r="A2569" s="644"/>
      <c r="B2569" s="645"/>
    </row>
    <row r="2570" spans="1:2" x14ac:dyDescent="0.3">
      <c r="A2570" s="644"/>
      <c r="B2570" s="645"/>
    </row>
    <row r="2571" spans="1:2" x14ac:dyDescent="0.3">
      <c r="A2571" s="644"/>
      <c r="B2571" s="645"/>
    </row>
    <row r="2572" spans="1:2" x14ac:dyDescent="0.3">
      <c r="A2572" s="644"/>
      <c r="B2572" s="645"/>
    </row>
    <row r="2573" spans="1:2" x14ac:dyDescent="0.3">
      <c r="A2573" s="644"/>
      <c r="B2573" s="645"/>
    </row>
    <row r="2574" spans="1:2" x14ac:dyDescent="0.3">
      <c r="A2574" s="644"/>
      <c r="B2574" s="645"/>
    </row>
    <row r="2575" spans="1:2" x14ac:dyDescent="0.3">
      <c r="A2575" s="644"/>
      <c r="B2575" s="645"/>
    </row>
    <row r="2576" spans="1:2" x14ac:dyDescent="0.3">
      <c r="A2576" s="644"/>
      <c r="B2576" s="645"/>
    </row>
    <row r="2577" spans="1:2" x14ac:dyDescent="0.3">
      <c r="A2577" s="644"/>
      <c r="B2577" s="645"/>
    </row>
    <row r="2578" spans="1:2" x14ac:dyDescent="0.3">
      <c r="A2578" s="644"/>
      <c r="B2578" s="645"/>
    </row>
    <row r="2579" spans="1:2" x14ac:dyDescent="0.3">
      <c r="A2579" s="644"/>
      <c r="B2579" s="645"/>
    </row>
    <row r="2580" spans="1:2" x14ac:dyDescent="0.3">
      <c r="A2580" s="644"/>
      <c r="B2580" s="645"/>
    </row>
    <row r="2581" spans="1:2" x14ac:dyDescent="0.3">
      <c r="A2581" s="644"/>
      <c r="B2581" s="645"/>
    </row>
    <row r="2582" spans="1:2" x14ac:dyDescent="0.3">
      <c r="A2582" s="644"/>
      <c r="B2582" s="645"/>
    </row>
    <row r="2583" spans="1:2" x14ac:dyDescent="0.3">
      <c r="A2583" s="644"/>
      <c r="B2583" s="645"/>
    </row>
    <row r="2584" spans="1:2" x14ac:dyDescent="0.3">
      <c r="A2584" s="644"/>
      <c r="B2584" s="645"/>
    </row>
    <row r="2585" spans="1:2" x14ac:dyDescent="0.3">
      <c r="A2585" s="644"/>
      <c r="B2585" s="645"/>
    </row>
    <row r="2586" spans="1:2" x14ac:dyDescent="0.3">
      <c r="A2586" s="644"/>
      <c r="B2586" s="645"/>
    </row>
    <row r="2587" spans="1:2" x14ac:dyDescent="0.3">
      <c r="A2587" s="644"/>
      <c r="B2587" s="645"/>
    </row>
    <row r="2588" spans="1:2" x14ac:dyDescent="0.3">
      <c r="A2588" s="644"/>
      <c r="B2588" s="645"/>
    </row>
    <row r="2589" spans="1:2" x14ac:dyDescent="0.3">
      <c r="A2589" s="644"/>
      <c r="B2589" s="645"/>
    </row>
    <row r="2590" spans="1:2" x14ac:dyDescent="0.3">
      <c r="A2590" s="644"/>
      <c r="B2590" s="645"/>
    </row>
    <row r="2591" spans="1:2" x14ac:dyDescent="0.3">
      <c r="A2591" s="644"/>
      <c r="B2591" s="645"/>
    </row>
    <row r="2592" spans="1:2" x14ac:dyDescent="0.3">
      <c r="A2592" s="644"/>
      <c r="B2592" s="645"/>
    </row>
    <row r="2593" spans="1:2" x14ac:dyDescent="0.3">
      <c r="A2593" s="644"/>
      <c r="B2593" s="645"/>
    </row>
    <row r="2594" spans="1:2" x14ac:dyDescent="0.3">
      <c r="A2594" s="644"/>
      <c r="B2594" s="645"/>
    </row>
    <row r="2595" spans="1:2" x14ac:dyDescent="0.3">
      <c r="A2595" s="644"/>
      <c r="B2595" s="645"/>
    </row>
    <row r="2596" spans="1:2" x14ac:dyDescent="0.3">
      <c r="A2596" s="644"/>
      <c r="B2596" s="645"/>
    </row>
    <row r="2597" spans="1:2" x14ac:dyDescent="0.3">
      <c r="A2597" s="644"/>
      <c r="B2597" s="645"/>
    </row>
    <row r="2598" spans="1:2" x14ac:dyDescent="0.3">
      <c r="A2598" s="644"/>
      <c r="B2598" s="645"/>
    </row>
    <row r="2599" spans="1:2" x14ac:dyDescent="0.3">
      <c r="A2599" s="644"/>
      <c r="B2599" s="645"/>
    </row>
    <row r="2600" spans="1:2" x14ac:dyDescent="0.3">
      <c r="A2600" s="644"/>
      <c r="B2600" s="645"/>
    </row>
    <row r="2601" spans="1:2" x14ac:dyDescent="0.3">
      <c r="A2601" s="644"/>
      <c r="B2601" s="645"/>
    </row>
    <row r="2602" spans="1:2" x14ac:dyDescent="0.3">
      <c r="A2602" s="644"/>
      <c r="B2602" s="645"/>
    </row>
    <row r="2603" spans="1:2" x14ac:dyDescent="0.3">
      <c r="A2603" s="644"/>
      <c r="B2603" s="645"/>
    </row>
    <row r="2604" spans="1:2" x14ac:dyDescent="0.3">
      <c r="A2604" s="644"/>
      <c r="B2604" s="645"/>
    </row>
    <row r="2605" spans="1:2" x14ac:dyDescent="0.3">
      <c r="A2605" s="644"/>
      <c r="B2605" s="645"/>
    </row>
    <row r="2606" spans="1:2" x14ac:dyDescent="0.3">
      <c r="A2606" s="644"/>
      <c r="B2606" s="645"/>
    </row>
    <row r="2607" spans="1:2" x14ac:dyDescent="0.3">
      <c r="A2607" s="644"/>
      <c r="B2607" s="645"/>
    </row>
    <row r="2608" spans="1:2" x14ac:dyDescent="0.3">
      <c r="A2608" s="644"/>
      <c r="B2608" s="645"/>
    </row>
    <row r="2609" spans="1:2" x14ac:dyDescent="0.3">
      <c r="A2609" s="644"/>
      <c r="B2609" s="645"/>
    </row>
    <row r="2610" spans="1:2" x14ac:dyDescent="0.3">
      <c r="A2610" s="644"/>
      <c r="B2610" s="645"/>
    </row>
    <row r="2611" spans="1:2" x14ac:dyDescent="0.3">
      <c r="A2611" s="644"/>
      <c r="B2611" s="645"/>
    </row>
    <row r="2612" spans="1:2" x14ac:dyDescent="0.3">
      <c r="A2612" s="644"/>
      <c r="B2612" s="645"/>
    </row>
    <row r="2613" spans="1:2" x14ac:dyDescent="0.3">
      <c r="A2613" s="644"/>
      <c r="B2613" s="645"/>
    </row>
    <row r="2614" spans="1:2" x14ac:dyDescent="0.3">
      <c r="A2614" s="644"/>
      <c r="B2614" s="645"/>
    </row>
    <row r="2615" spans="1:2" x14ac:dyDescent="0.3">
      <c r="A2615" s="644"/>
      <c r="B2615" s="645"/>
    </row>
    <row r="2616" spans="1:2" x14ac:dyDescent="0.3">
      <c r="A2616" s="644"/>
      <c r="B2616" s="645"/>
    </row>
    <row r="2617" spans="1:2" x14ac:dyDescent="0.3">
      <c r="A2617" s="644"/>
      <c r="B2617" s="645"/>
    </row>
    <row r="2618" spans="1:2" x14ac:dyDescent="0.3">
      <c r="A2618" s="644"/>
      <c r="B2618" s="645"/>
    </row>
    <row r="2619" spans="1:2" x14ac:dyDescent="0.3">
      <c r="A2619" s="644"/>
      <c r="B2619" s="645"/>
    </row>
    <row r="2620" spans="1:2" x14ac:dyDescent="0.3">
      <c r="A2620" s="644"/>
      <c r="B2620" s="645"/>
    </row>
    <row r="2621" spans="1:2" x14ac:dyDescent="0.3">
      <c r="A2621" s="644"/>
      <c r="B2621" s="645"/>
    </row>
    <row r="2622" spans="1:2" x14ac:dyDescent="0.3">
      <c r="A2622" s="644"/>
      <c r="B2622" s="645"/>
    </row>
    <row r="2623" spans="1:2" x14ac:dyDescent="0.3">
      <c r="A2623" s="644"/>
      <c r="B2623" s="645"/>
    </row>
    <row r="2624" spans="1:2" x14ac:dyDescent="0.3">
      <c r="A2624" s="644"/>
      <c r="B2624" s="645"/>
    </row>
    <row r="2625" spans="1:2" x14ac:dyDescent="0.3">
      <c r="A2625" s="644"/>
      <c r="B2625" s="645"/>
    </row>
    <row r="2626" spans="1:2" x14ac:dyDescent="0.3">
      <c r="A2626" s="644"/>
      <c r="B2626" s="645"/>
    </row>
    <row r="2627" spans="1:2" x14ac:dyDescent="0.3">
      <c r="A2627" s="644"/>
      <c r="B2627" s="645"/>
    </row>
    <row r="2628" spans="1:2" x14ac:dyDescent="0.3">
      <c r="A2628" s="644"/>
      <c r="B2628" s="645"/>
    </row>
    <row r="2629" spans="1:2" x14ac:dyDescent="0.3">
      <c r="A2629" s="644"/>
      <c r="B2629" s="645"/>
    </row>
    <row r="2630" spans="1:2" x14ac:dyDescent="0.3">
      <c r="A2630" s="644"/>
      <c r="B2630" s="645"/>
    </row>
    <row r="2631" spans="1:2" x14ac:dyDescent="0.3">
      <c r="A2631" s="644"/>
      <c r="B2631" s="645"/>
    </row>
    <row r="2632" spans="1:2" x14ac:dyDescent="0.3">
      <c r="A2632" s="644"/>
      <c r="B2632" s="645"/>
    </row>
    <row r="2633" spans="1:2" x14ac:dyDescent="0.3">
      <c r="A2633" s="644"/>
      <c r="B2633" s="645"/>
    </row>
    <row r="2634" spans="1:2" x14ac:dyDescent="0.3">
      <c r="A2634" s="644"/>
      <c r="B2634" s="645"/>
    </row>
    <row r="2635" spans="1:2" x14ac:dyDescent="0.3">
      <c r="A2635" s="644"/>
      <c r="B2635" s="645"/>
    </row>
    <row r="2636" spans="1:2" x14ac:dyDescent="0.3">
      <c r="A2636" s="644"/>
      <c r="B2636" s="645"/>
    </row>
    <row r="2637" spans="1:2" x14ac:dyDescent="0.3">
      <c r="A2637" s="644"/>
      <c r="B2637" s="645"/>
    </row>
    <row r="2638" spans="1:2" x14ac:dyDescent="0.3">
      <c r="A2638" s="644"/>
      <c r="B2638" s="645"/>
    </row>
    <row r="2639" spans="1:2" x14ac:dyDescent="0.3">
      <c r="A2639" s="644"/>
      <c r="B2639" s="645"/>
    </row>
    <row r="2640" spans="1:2" x14ac:dyDescent="0.3">
      <c r="A2640" s="644"/>
      <c r="B2640" s="645"/>
    </row>
    <row r="2641" spans="1:2" x14ac:dyDescent="0.3">
      <c r="A2641" s="644"/>
      <c r="B2641" s="645"/>
    </row>
    <row r="2642" spans="1:2" x14ac:dyDescent="0.3">
      <c r="A2642" s="644"/>
      <c r="B2642" s="645"/>
    </row>
    <row r="2643" spans="1:2" x14ac:dyDescent="0.3">
      <c r="A2643" s="644"/>
      <c r="B2643" s="645"/>
    </row>
    <row r="2644" spans="1:2" x14ac:dyDescent="0.3">
      <c r="A2644" s="644"/>
      <c r="B2644" s="645"/>
    </row>
    <row r="2645" spans="1:2" x14ac:dyDescent="0.3">
      <c r="A2645" s="644"/>
      <c r="B2645" s="645"/>
    </row>
    <row r="2646" spans="1:2" x14ac:dyDescent="0.3">
      <c r="A2646" s="644"/>
      <c r="B2646" s="645"/>
    </row>
    <row r="2647" spans="1:2" x14ac:dyDescent="0.3">
      <c r="A2647" s="644"/>
      <c r="B2647" s="645"/>
    </row>
    <row r="2648" spans="1:2" x14ac:dyDescent="0.3">
      <c r="A2648" s="644"/>
      <c r="B2648" s="645"/>
    </row>
    <row r="2649" spans="1:2" x14ac:dyDescent="0.3">
      <c r="A2649" s="644"/>
      <c r="B2649" s="645"/>
    </row>
    <row r="2650" spans="1:2" x14ac:dyDescent="0.3">
      <c r="A2650" s="644"/>
      <c r="B2650" s="645"/>
    </row>
    <row r="2651" spans="1:2" x14ac:dyDescent="0.3">
      <c r="A2651" s="644"/>
      <c r="B2651" s="645"/>
    </row>
    <row r="2652" spans="1:2" x14ac:dyDescent="0.3">
      <c r="A2652" s="644"/>
      <c r="B2652" s="645"/>
    </row>
    <row r="2653" spans="1:2" x14ac:dyDescent="0.3">
      <c r="A2653" s="644"/>
      <c r="B2653" s="645"/>
    </row>
    <row r="2654" spans="1:2" x14ac:dyDescent="0.3">
      <c r="A2654" s="644"/>
      <c r="B2654" s="645"/>
    </row>
    <row r="2655" spans="1:2" x14ac:dyDescent="0.3">
      <c r="A2655" s="644"/>
      <c r="B2655" s="645"/>
    </row>
    <row r="2656" spans="1:2" x14ac:dyDescent="0.3">
      <c r="A2656" s="644"/>
      <c r="B2656" s="645"/>
    </row>
    <row r="2657" spans="1:2" x14ac:dyDescent="0.3">
      <c r="A2657" s="644"/>
      <c r="B2657" s="645"/>
    </row>
    <row r="2658" spans="1:2" x14ac:dyDescent="0.3">
      <c r="A2658" s="644"/>
      <c r="B2658" s="645"/>
    </row>
    <row r="2659" spans="1:2" x14ac:dyDescent="0.3">
      <c r="A2659" s="644"/>
      <c r="B2659" s="645"/>
    </row>
    <row r="2660" spans="1:2" x14ac:dyDescent="0.3">
      <c r="A2660" s="644"/>
      <c r="B2660" s="645"/>
    </row>
    <row r="2661" spans="1:2" x14ac:dyDescent="0.3">
      <c r="A2661" s="644"/>
      <c r="B2661" s="645"/>
    </row>
    <row r="2662" spans="1:2" x14ac:dyDescent="0.3">
      <c r="A2662" s="644"/>
      <c r="B2662" s="645"/>
    </row>
    <row r="2663" spans="1:2" x14ac:dyDescent="0.3">
      <c r="A2663" s="644"/>
      <c r="B2663" s="645"/>
    </row>
    <row r="2664" spans="1:2" x14ac:dyDescent="0.3">
      <c r="A2664" s="644"/>
      <c r="B2664" s="645"/>
    </row>
    <row r="2665" spans="1:2" x14ac:dyDescent="0.3">
      <c r="A2665" s="644"/>
      <c r="B2665" s="645"/>
    </row>
    <row r="2666" spans="1:2" x14ac:dyDescent="0.3">
      <c r="A2666" s="644"/>
      <c r="B2666" s="645"/>
    </row>
    <row r="2667" spans="1:2" x14ac:dyDescent="0.3">
      <c r="A2667" s="644"/>
      <c r="B2667" s="645"/>
    </row>
    <row r="2668" spans="1:2" x14ac:dyDescent="0.3">
      <c r="A2668" s="644"/>
      <c r="B2668" s="645"/>
    </row>
    <row r="2669" spans="1:2" x14ac:dyDescent="0.3">
      <c r="A2669" s="644"/>
      <c r="B2669" s="645"/>
    </row>
    <row r="2670" spans="1:2" x14ac:dyDescent="0.3">
      <c r="A2670" s="644"/>
      <c r="B2670" s="645"/>
    </row>
    <row r="2671" spans="1:2" x14ac:dyDescent="0.3">
      <c r="A2671" s="644"/>
      <c r="B2671" s="645"/>
    </row>
    <row r="2672" spans="1:2" x14ac:dyDescent="0.3">
      <c r="A2672" s="644"/>
      <c r="B2672" s="645"/>
    </row>
    <row r="2673" spans="1:2" x14ac:dyDescent="0.3">
      <c r="A2673" s="644"/>
      <c r="B2673" s="645"/>
    </row>
    <row r="2674" spans="1:2" x14ac:dyDescent="0.3">
      <c r="A2674" s="644"/>
      <c r="B2674" s="645"/>
    </row>
    <row r="2675" spans="1:2" x14ac:dyDescent="0.3">
      <c r="A2675" s="644"/>
      <c r="B2675" s="645"/>
    </row>
    <row r="2676" spans="1:2" x14ac:dyDescent="0.3">
      <c r="A2676" s="644"/>
      <c r="B2676" s="645"/>
    </row>
    <row r="2677" spans="1:2" x14ac:dyDescent="0.3">
      <c r="A2677" s="644"/>
      <c r="B2677" s="645"/>
    </row>
    <row r="2678" spans="1:2" x14ac:dyDescent="0.3">
      <c r="A2678" s="644"/>
      <c r="B2678" s="645"/>
    </row>
    <row r="2679" spans="1:2" x14ac:dyDescent="0.3">
      <c r="A2679" s="644"/>
      <c r="B2679" s="645"/>
    </row>
    <row r="2680" spans="1:2" x14ac:dyDescent="0.3">
      <c r="A2680" s="644"/>
      <c r="B2680" s="645"/>
    </row>
    <row r="2681" spans="1:2" x14ac:dyDescent="0.3">
      <c r="A2681" s="644"/>
      <c r="B2681" s="645"/>
    </row>
    <row r="2682" spans="1:2" x14ac:dyDescent="0.3">
      <c r="A2682" s="644"/>
      <c r="B2682" s="645"/>
    </row>
    <row r="2683" spans="1:2" x14ac:dyDescent="0.3">
      <c r="A2683" s="644"/>
      <c r="B2683" s="645"/>
    </row>
    <row r="2684" spans="1:2" x14ac:dyDescent="0.3">
      <c r="A2684" s="644"/>
      <c r="B2684" s="645"/>
    </row>
    <row r="2685" spans="1:2" x14ac:dyDescent="0.3">
      <c r="A2685" s="644"/>
      <c r="B2685" s="645"/>
    </row>
    <row r="2686" spans="1:2" x14ac:dyDescent="0.3">
      <c r="A2686" s="644"/>
      <c r="B2686" s="645"/>
    </row>
    <row r="2687" spans="1:2" x14ac:dyDescent="0.3">
      <c r="A2687" s="644"/>
      <c r="B2687" s="645"/>
    </row>
    <row r="2688" spans="1:2" x14ac:dyDescent="0.3">
      <c r="A2688" s="644"/>
      <c r="B2688" s="645"/>
    </row>
    <row r="2689" spans="1:2" x14ac:dyDescent="0.3">
      <c r="A2689" s="644"/>
      <c r="B2689" s="645"/>
    </row>
    <row r="2690" spans="1:2" x14ac:dyDescent="0.3">
      <c r="A2690" s="644"/>
      <c r="B2690" s="645"/>
    </row>
    <row r="2691" spans="1:2" x14ac:dyDescent="0.3">
      <c r="A2691" s="644"/>
      <c r="B2691" s="645"/>
    </row>
    <row r="2692" spans="1:2" x14ac:dyDescent="0.3">
      <c r="A2692" s="644"/>
      <c r="B2692" s="645"/>
    </row>
    <row r="2693" spans="1:2" x14ac:dyDescent="0.3">
      <c r="A2693" s="644"/>
      <c r="B2693" s="645"/>
    </row>
    <row r="2694" spans="1:2" x14ac:dyDescent="0.3">
      <c r="A2694" s="644"/>
      <c r="B2694" s="645"/>
    </row>
    <row r="2695" spans="1:2" x14ac:dyDescent="0.3">
      <c r="A2695" s="644"/>
      <c r="B2695" s="645"/>
    </row>
    <row r="2696" spans="1:2" x14ac:dyDescent="0.3">
      <c r="A2696" s="644"/>
      <c r="B2696" s="645"/>
    </row>
    <row r="2697" spans="1:2" x14ac:dyDescent="0.3">
      <c r="A2697" s="644"/>
      <c r="B2697" s="645"/>
    </row>
    <row r="2698" spans="1:2" x14ac:dyDescent="0.3">
      <c r="A2698" s="644"/>
      <c r="B2698" s="645"/>
    </row>
    <row r="2699" spans="1:2" x14ac:dyDescent="0.3">
      <c r="A2699" s="644"/>
      <c r="B2699" s="645"/>
    </row>
    <row r="2700" spans="1:2" x14ac:dyDescent="0.3">
      <c r="A2700" s="644"/>
      <c r="B2700" s="645"/>
    </row>
    <row r="2701" spans="1:2" x14ac:dyDescent="0.3">
      <c r="A2701" s="644"/>
      <c r="B2701" s="645"/>
    </row>
    <row r="2702" spans="1:2" x14ac:dyDescent="0.3">
      <c r="A2702" s="644"/>
      <c r="B2702" s="645"/>
    </row>
    <row r="2703" spans="1:2" x14ac:dyDescent="0.3">
      <c r="A2703" s="644"/>
      <c r="B2703" s="645"/>
    </row>
    <row r="2704" spans="1:2" x14ac:dyDescent="0.3">
      <c r="A2704" s="644"/>
      <c r="B2704" s="645"/>
    </row>
    <row r="2705" spans="1:2" x14ac:dyDescent="0.3">
      <c r="A2705" s="644"/>
      <c r="B2705" s="645"/>
    </row>
    <row r="2706" spans="1:2" x14ac:dyDescent="0.3">
      <c r="A2706" s="644"/>
      <c r="B2706" s="645"/>
    </row>
    <row r="2707" spans="1:2" x14ac:dyDescent="0.3">
      <c r="A2707" s="644"/>
      <c r="B2707" s="645"/>
    </row>
    <row r="2708" spans="1:2" x14ac:dyDescent="0.3">
      <c r="A2708" s="644"/>
      <c r="B2708" s="645"/>
    </row>
    <row r="2709" spans="1:2" x14ac:dyDescent="0.3">
      <c r="A2709" s="644"/>
      <c r="B2709" s="645"/>
    </row>
    <row r="2710" spans="1:2" x14ac:dyDescent="0.3">
      <c r="A2710" s="644"/>
      <c r="B2710" s="645"/>
    </row>
    <row r="2711" spans="1:2" x14ac:dyDescent="0.3">
      <c r="A2711" s="644"/>
      <c r="B2711" s="645"/>
    </row>
    <row r="2712" spans="1:2" x14ac:dyDescent="0.3">
      <c r="A2712" s="644"/>
      <c r="B2712" s="645"/>
    </row>
    <row r="2713" spans="1:2" x14ac:dyDescent="0.3">
      <c r="A2713" s="644"/>
      <c r="B2713" s="645"/>
    </row>
    <row r="2714" spans="1:2" x14ac:dyDescent="0.3">
      <c r="A2714" s="644"/>
      <c r="B2714" s="645"/>
    </row>
    <row r="2715" spans="1:2" x14ac:dyDescent="0.3">
      <c r="A2715" s="644"/>
      <c r="B2715" s="645"/>
    </row>
    <row r="2716" spans="1:2" x14ac:dyDescent="0.3">
      <c r="A2716" s="644"/>
      <c r="B2716" s="645"/>
    </row>
    <row r="2717" spans="1:2" x14ac:dyDescent="0.3">
      <c r="A2717" s="644"/>
      <c r="B2717" s="645"/>
    </row>
    <row r="2718" spans="1:2" x14ac:dyDescent="0.3">
      <c r="A2718" s="644"/>
      <c r="B2718" s="645"/>
    </row>
    <row r="2719" spans="1:2" x14ac:dyDescent="0.3">
      <c r="A2719" s="644"/>
      <c r="B2719" s="645"/>
    </row>
    <row r="2720" spans="1:2" x14ac:dyDescent="0.3">
      <c r="A2720" s="644"/>
      <c r="B2720" s="645"/>
    </row>
    <row r="2721" spans="1:2" x14ac:dyDescent="0.3">
      <c r="A2721" s="644"/>
      <c r="B2721" s="645"/>
    </row>
    <row r="2722" spans="1:2" x14ac:dyDescent="0.3">
      <c r="A2722" s="644"/>
      <c r="B2722" s="645"/>
    </row>
    <row r="2723" spans="1:2" x14ac:dyDescent="0.3">
      <c r="A2723" s="644"/>
      <c r="B2723" s="645"/>
    </row>
    <row r="2724" spans="1:2" x14ac:dyDescent="0.3">
      <c r="A2724" s="644"/>
      <c r="B2724" s="645"/>
    </row>
    <row r="2725" spans="1:2" x14ac:dyDescent="0.3">
      <c r="A2725" s="644"/>
      <c r="B2725" s="645"/>
    </row>
    <row r="2726" spans="1:2" x14ac:dyDescent="0.3">
      <c r="A2726" s="644"/>
      <c r="B2726" s="645"/>
    </row>
    <row r="2727" spans="1:2" x14ac:dyDescent="0.3">
      <c r="A2727" s="644"/>
      <c r="B2727" s="645"/>
    </row>
    <row r="2728" spans="1:2" x14ac:dyDescent="0.3">
      <c r="A2728" s="644"/>
      <c r="B2728" s="645"/>
    </row>
    <row r="2729" spans="1:2" x14ac:dyDescent="0.3">
      <c r="A2729" s="644"/>
      <c r="B2729" s="645"/>
    </row>
    <row r="2730" spans="1:2" x14ac:dyDescent="0.3">
      <c r="A2730" s="644"/>
      <c r="B2730" s="645"/>
    </row>
    <row r="2731" spans="1:2" x14ac:dyDescent="0.3">
      <c r="A2731" s="644"/>
      <c r="B2731" s="645"/>
    </row>
    <row r="2732" spans="1:2" x14ac:dyDescent="0.3">
      <c r="A2732" s="644"/>
      <c r="B2732" s="645"/>
    </row>
    <row r="2733" spans="1:2" x14ac:dyDescent="0.3">
      <c r="A2733" s="644"/>
      <c r="B2733" s="645"/>
    </row>
    <row r="2734" spans="1:2" x14ac:dyDescent="0.3">
      <c r="A2734" s="644"/>
      <c r="B2734" s="645"/>
    </row>
    <row r="2735" spans="1:2" x14ac:dyDescent="0.3">
      <c r="A2735" s="644"/>
      <c r="B2735" s="645"/>
    </row>
    <row r="2736" spans="1:2" x14ac:dyDescent="0.3">
      <c r="A2736" s="644"/>
      <c r="B2736" s="645"/>
    </row>
    <row r="2737" spans="1:2" x14ac:dyDescent="0.3">
      <c r="A2737" s="644"/>
      <c r="B2737" s="645"/>
    </row>
    <row r="2738" spans="1:2" x14ac:dyDescent="0.3">
      <c r="A2738" s="644"/>
      <c r="B2738" s="645"/>
    </row>
    <row r="2739" spans="1:2" x14ac:dyDescent="0.3">
      <c r="A2739" s="644"/>
      <c r="B2739" s="645"/>
    </row>
    <row r="2740" spans="1:2" x14ac:dyDescent="0.3">
      <c r="A2740" s="644"/>
      <c r="B2740" s="645"/>
    </row>
    <row r="2741" spans="1:2" x14ac:dyDescent="0.3">
      <c r="A2741" s="644"/>
      <c r="B2741" s="645"/>
    </row>
    <row r="2742" spans="1:2" x14ac:dyDescent="0.3">
      <c r="A2742" s="644"/>
      <c r="B2742" s="645"/>
    </row>
    <row r="2743" spans="1:2" x14ac:dyDescent="0.3">
      <c r="A2743" s="644"/>
      <c r="B2743" s="645"/>
    </row>
    <row r="2744" spans="1:2" x14ac:dyDescent="0.3">
      <c r="A2744" s="644"/>
      <c r="B2744" s="645"/>
    </row>
    <row r="2745" spans="1:2" x14ac:dyDescent="0.3">
      <c r="A2745" s="644"/>
      <c r="B2745" s="645"/>
    </row>
    <row r="2746" spans="1:2" x14ac:dyDescent="0.3">
      <c r="A2746" s="644"/>
      <c r="B2746" s="645"/>
    </row>
    <row r="2747" spans="1:2" x14ac:dyDescent="0.3">
      <c r="A2747" s="644"/>
      <c r="B2747" s="645"/>
    </row>
    <row r="2748" spans="1:2" x14ac:dyDescent="0.3">
      <c r="A2748" s="644"/>
      <c r="B2748" s="645"/>
    </row>
    <row r="2749" spans="1:2" x14ac:dyDescent="0.3">
      <c r="A2749" s="644"/>
      <c r="B2749" s="645"/>
    </row>
    <row r="2750" spans="1:2" x14ac:dyDescent="0.3">
      <c r="A2750" s="644"/>
      <c r="B2750" s="645"/>
    </row>
    <row r="2751" spans="1:2" x14ac:dyDescent="0.3">
      <c r="A2751" s="644"/>
      <c r="B2751" s="645"/>
    </row>
    <row r="2752" spans="1:2" x14ac:dyDescent="0.3">
      <c r="A2752" s="644"/>
      <c r="B2752" s="645"/>
    </row>
    <row r="2753" spans="1:2" x14ac:dyDescent="0.3">
      <c r="A2753" s="644"/>
      <c r="B2753" s="645"/>
    </row>
    <row r="2754" spans="1:2" x14ac:dyDescent="0.3">
      <c r="A2754" s="644"/>
      <c r="B2754" s="645"/>
    </row>
    <row r="2755" spans="1:2" x14ac:dyDescent="0.3">
      <c r="A2755" s="644"/>
      <c r="B2755" s="645"/>
    </row>
    <row r="2756" spans="1:2" x14ac:dyDescent="0.3">
      <c r="A2756" s="644"/>
      <c r="B2756" s="645"/>
    </row>
    <row r="2757" spans="1:2" x14ac:dyDescent="0.3">
      <c r="A2757" s="644"/>
      <c r="B2757" s="645"/>
    </row>
    <row r="2758" spans="1:2" x14ac:dyDescent="0.3">
      <c r="A2758" s="644"/>
      <c r="B2758" s="645"/>
    </row>
    <row r="2759" spans="1:2" x14ac:dyDescent="0.3">
      <c r="A2759" s="644"/>
      <c r="B2759" s="645"/>
    </row>
    <row r="2760" spans="1:2" x14ac:dyDescent="0.3">
      <c r="A2760" s="644"/>
      <c r="B2760" s="645"/>
    </row>
    <row r="2761" spans="1:2" x14ac:dyDescent="0.3">
      <c r="A2761" s="644"/>
      <c r="B2761" s="645"/>
    </row>
    <row r="2762" spans="1:2" x14ac:dyDescent="0.3">
      <c r="A2762" s="644"/>
      <c r="B2762" s="645"/>
    </row>
    <row r="2763" spans="1:2" x14ac:dyDescent="0.3">
      <c r="A2763" s="644"/>
      <c r="B2763" s="645"/>
    </row>
    <row r="2764" spans="1:2" x14ac:dyDescent="0.3">
      <c r="A2764" s="644"/>
      <c r="B2764" s="645"/>
    </row>
    <row r="2765" spans="1:2" x14ac:dyDescent="0.3">
      <c r="A2765" s="644"/>
      <c r="B2765" s="645"/>
    </row>
    <row r="2766" spans="1:2" x14ac:dyDescent="0.3">
      <c r="A2766" s="644"/>
      <c r="B2766" s="645"/>
    </row>
    <row r="2767" spans="1:2" x14ac:dyDescent="0.3">
      <c r="A2767" s="644"/>
      <c r="B2767" s="645"/>
    </row>
    <row r="2768" spans="1:2" x14ac:dyDescent="0.3">
      <c r="A2768" s="644"/>
      <c r="B2768" s="645"/>
    </row>
    <row r="2769" spans="1:2" x14ac:dyDescent="0.3">
      <c r="A2769" s="644"/>
      <c r="B2769" s="645"/>
    </row>
    <row r="2770" spans="1:2" x14ac:dyDescent="0.3">
      <c r="A2770" s="644"/>
      <c r="B2770" s="645"/>
    </row>
    <row r="2771" spans="1:2" x14ac:dyDescent="0.3">
      <c r="A2771" s="644"/>
      <c r="B2771" s="645"/>
    </row>
    <row r="2772" spans="1:2" x14ac:dyDescent="0.3">
      <c r="A2772" s="644"/>
      <c r="B2772" s="645"/>
    </row>
    <row r="2773" spans="1:2" x14ac:dyDescent="0.3">
      <c r="A2773" s="644"/>
      <c r="B2773" s="645"/>
    </row>
    <row r="2774" spans="1:2" x14ac:dyDescent="0.3">
      <c r="A2774" s="644"/>
      <c r="B2774" s="645"/>
    </row>
    <row r="2775" spans="1:2" x14ac:dyDescent="0.3">
      <c r="A2775" s="644"/>
      <c r="B2775" s="645"/>
    </row>
    <row r="2776" spans="1:2" x14ac:dyDescent="0.3">
      <c r="A2776" s="644"/>
      <c r="B2776" s="645"/>
    </row>
    <row r="2777" spans="1:2" x14ac:dyDescent="0.3">
      <c r="A2777" s="644"/>
      <c r="B2777" s="645"/>
    </row>
    <row r="2778" spans="1:2" x14ac:dyDescent="0.3">
      <c r="A2778" s="644"/>
      <c r="B2778" s="645"/>
    </row>
    <row r="2779" spans="1:2" x14ac:dyDescent="0.3">
      <c r="A2779" s="644"/>
      <c r="B2779" s="645"/>
    </row>
    <row r="2780" spans="1:2" x14ac:dyDescent="0.3">
      <c r="A2780" s="644"/>
      <c r="B2780" s="645"/>
    </row>
    <row r="2781" spans="1:2" x14ac:dyDescent="0.3">
      <c r="A2781" s="644"/>
      <c r="B2781" s="645"/>
    </row>
    <row r="2782" spans="1:2" x14ac:dyDescent="0.3">
      <c r="A2782" s="644"/>
      <c r="B2782" s="645"/>
    </row>
    <row r="2783" spans="1:2" x14ac:dyDescent="0.3">
      <c r="A2783" s="644"/>
      <c r="B2783" s="645"/>
    </row>
    <row r="2784" spans="1:2" x14ac:dyDescent="0.3">
      <c r="A2784" s="644"/>
      <c r="B2784" s="645"/>
    </row>
    <row r="2785" spans="1:2" x14ac:dyDescent="0.3">
      <c r="A2785" s="644"/>
      <c r="B2785" s="645"/>
    </row>
    <row r="2786" spans="1:2" x14ac:dyDescent="0.3">
      <c r="A2786" s="644"/>
      <c r="B2786" s="645"/>
    </row>
    <row r="2787" spans="1:2" x14ac:dyDescent="0.3">
      <c r="A2787" s="644"/>
      <c r="B2787" s="645"/>
    </row>
    <row r="2788" spans="1:2" x14ac:dyDescent="0.3">
      <c r="A2788" s="644"/>
      <c r="B2788" s="645"/>
    </row>
    <row r="2789" spans="1:2" x14ac:dyDescent="0.3">
      <c r="A2789" s="644"/>
      <c r="B2789" s="645"/>
    </row>
    <row r="2790" spans="1:2" x14ac:dyDescent="0.3">
      <c r="A2790" s="644"/>
      <c r="B2790" s="645"/>
    </row>
    <row r="2791" spans="1:2" x14ac:dyDescent="0.3">
      <c r="A2791" s="644"/>
      <c r="B2791" s="645"/>
    </row>
    <row r="2792" spans="1:2" x14ac:dyDescent="0.3">
      <c r="A2792" s="644"/>
      <c r="B2792" s="645"/>
    </row>
    <row r="2793" spans="1:2" x14ac:dyDescent="0.3">
      <c r="A2793" s="644"/>
      <c r="B2793" s="645"/>
    </row>
    <row r="2794" spans="1:2" x14ac:dyDescent="0.3">
      <c r="A2794" s="644"/>
      <c r="B2794" s="645"/>
    </row>
    <row r="2795" spans="1:2" x14ac:dyDescent="0.3">
      <c r="A2795" s="644"/>
      <c r="B2795" s="645"/>
    </row>
    <row r="2796" spans="1:2" x14ac:dyDescent="0.3">
      <c r="A2796" s="644"/>
      <c r="B2796" s="645"/>
    </row>
    <row r="2797" spans="1:2" x14ac:dyDescent="0.3">
      <c r="A2797" s="644"/>
      <c r="B2797" s="645"/>
    </row>
    <row r="2798" spans="1:2" x14ac:dyDescent="0.3">
      <c r="A2798" s="644"/>
      <c r="B2798" s="645"/>
    </row>
    <row r="2799" spans="1:2" x14ac:dyDescent="0.3">
      <c r="A2799" s="644"/>
      <c r="B2799" s="645"/>
    </row>
    <row r="2800" spans="1:2" x14ac:dyDescent="0.3">
      <c r="A2800" s="644"/>
      <c r="B2800" s="645"/>
    </row>
    <row r="2801" spans="1:2" x14ac:dyDescent="0.3">
      <c r="A2801" s="644"/>
      <c r="B2801" s="645"/>
    </row>
    <row r="2802" spans="1:2" x14ac:dyDescent="0.3">
      <c r="A2802" s="644"/>
      <c r="B2802" s="645"/>
    </row>
    <row r="2803" spans="1:2" x14ac:dyDescent="0.3">
      <c r="A2803" s="644"/>
      <c r="B2803" s="645"/>
    </row>
    <row r="2804" spans="1:2" x14ac:dyDescent="0.3">
      <c r="A2804" s="644"/>
      <c r="B2804" s="645"/>
    </row>
    <row r="2805" spans="1:2" x14ac:dyDescent="0.3">
      <c r="A2805" s="644"/>
      <c r="B2805" s="645"/>
    </row>
    <row r="2806" spans="1:2" x14ac:dyDescent="0.3">
      <c r="A2806" s="644"/>
      <c r="B2806" s="645"/>
    </row>
    <row r="2807" spans="1:2" x14ac:dyDescent="0.3">
      <c r="A2807" s="644"/>
      <c r="B2807" s="645"/>
    </row>
    <row r="2808" spans="1:2" x14ac:dyDescent="0.3">
      <c r="A2808" s="644"/>
      <c r="B2808" s="645"/>
    </row>
    <row r="2809" spans="1:2" x14ac:dyDescent="0.3">
      <c r="A2809" s="644"/>
      <c r="B2809" s="645"/>
    </row>
    <row r="2810" spans="1:2" x14ac:dyDescent="0.3">
      <c r="A2810" s="644"/>
      <c r="B2810" s="645"/>
    </row>
    <row r="2811" spans="1:2" x14ac:dyDescent="0.3">
      <c r="A2811" s="644"/>
      <c r="B2811" s="645"/>
    </row>
    <row r="2812" spans="1:2" x14ac:dyDescent="0.3">
      <c r="A2812" s="644"/>
      <c r="B2812" s="645"/>
    </row>
    <row r="2813" spans="1:2" x14ac:dyDescent="0.3">
      <c r="A2813" s="644"/>
      <c r="B2813" s="645"/>
    </row>
    <row r="2814" spans="1:2" x14ac:dyDescent="0.3">
      <c r="A2814" s="644"/>
      <c r="B2814" s="645"/>
    </row>
    <row r="2815" spans="1:2" x14ac:dyDescent="0.3">
      <c r="A2815" s="644"/>
      <c r="B2815" s="645"/>
    </row>
    <row r="2816" spans="1:2" x14ac:dyDescent="0.3">
      <c r="A2816" s="644"/>
      <c r="B2816" s="645"/>
    </row>
    <row r="2817" spans="1:2" x14ac:dyDescent="0.3">
      <c r="A2817" s="644"/>
      <c r="B2817" s="645"/>
    </row>
    <row r="2818" spans="1:2" x14ac:dyDescent="0.3">
      <c r="A2818" s="644"/>
      <c r="B2818" s="645"/>
    </row>
    <row r="2819" spans="1:2" x14ac:dyDescent="0.3">
      <c r="A2819" s="644"/>
      <c r="B2819" s="645"/>
    </row>
    <row r="2820" spans="1:2" x14ac:dyDescent="0.3">
      <c r="A2820" s="644"/>
      <c r="B2820" s="645"/>
    </row>
    <row r="2821" spans="1:2" x14ac:dyDescent="0.3">
      <c r="A2821" s="644"/>
      <c r="B2821" s="645"/>
    </row>
    <row r="2822" spans="1:2" x14ac:dyDescent="0.3">
      <c r="A2822" s="644"/>
      <c r="B2822" s="645"/>
    </row>
    <row r="2823" spans="1:2" x14ac:dyDescent="0.3">
      <c r="A2823" s="644"/>
      <c r="B2823" s="645"/>
    </row>
    <row r="2824" spans="1:2" x14ac:dyDescent="0.3">
      <c r="A2824" s="644"/>
      <c r="B2824" s="645"/>
    </row>
    <row r="2825" spans="1:2" x14ac:dyDescent="0.3">
      <c r="A2825" s="644"/>
      <c r="B2825" s="645"/>
    </row>
    <row r="2826" spans="1:2" x14ac:dyDescent="0.3">
      <c r="A2826" s="644"/>
      <c r="B2826" s="645"/>
    </row>
    <row r="2827" spans="1:2" x14ac:dyDescent="0.3">
      <c r="A2827" s="644"/>
      <c r="B2827" s="645"/>
    </row>
    <row r="2828" spans="1:2" x14ac:dyDescent="0.3">
      <c r="A2828" s="644"/>
      <c r="B2828" s="645"/>
    </row>
    <row r="2829" spans="1:2" x14ac:dyDescent="0.3">
      <c r="A2829" s="644"/>
      <c r="B2829" s="645"/>
    </row>
    <row r="2830" spans="1:2" x14ac:dyDescent="0.3">
      <c r="A2830" s="644"/>
      <c r="B2830" s="645"/>
    </row>
    <row r="2831" spans="1:2" x14ac:dyDescent="0.3">
      <c r="A2831" s="644"/>
      <c r="B2831" s="645"/>
    </row>
    <row r="2832" spans="1:2" x14ac:dyDescent="0.3">
      <c r="A2832" s="644"/>
      <c r="B2832" s="645"/>
    </row>
    <row r="2833" spans="1:2" x14ac:dyDescent="0.3">
      <c r="A2833" s="644"/>
      <c r="B2833" s="645"/>
    </row>
    <row r="2834" spans="1:2" x14ac:dyDescent="0.3">
      <c r="A2834" s="644"/>
      <c r="B2834" s="645"/>
    </row>
    <row r="2835" spans="1:2" x14ac:dyDescent="0.3">
      <c r="A2835" s="644"/>
      <c r="B2835" s="645"/>
    </row>
    <row r="2836" spans="1:2" x14ac:dyDescent="0.3">
      <c r="A2836" s="644"/>
      <c r="B2836" s="645"/>
    </row>
    <row r="2837" spans="1:2" x14ac:dyDescent="0.3">
      <c r="A2837" s="644"/>
      <c r="B2837" s="645"/>
    </row>
    <row r="2838" spans="1:2" x14ac:dyDescent="0.3">
      <c r="A2838" s="644"/>
      <c r="B2838" s="645"/>
    </row>
    <row r="2839" spans="1:2" x14ac:dyDescent="0.3">
      <c r="A2839" s="644"/>
      <c r="B2839" s="645"/>
    </row>
    <row r="2840" spans="1:2" x14ac:dyDescent="0.3">
      <c r="A2840" s="644"/>
      <c r="B2840" s="645"/>
    </row>
    <row r="2841" spans="1:2" x14ac:dyDescent="0.3">
      <c r="A2841" s="644"/>
      <c r="B2841" s="645"/>
    </row>
    <row r="2842" spans="1:2" x14ac:dyDescent="0.3">
      <c r="A2842" s="644"/>
      <c r="B2842" s="645"/>
    </row>
    <row r="2843" spans="1:2" x14ac:dyDescent="0.3">
      <c r="A2843" s="644"/>
      <c r="B2843" s="645"/>
    </row>
    <row r="2844" spans="1:2" x14ac:dyDescent="0.3">
      <c r="A2844" s="644"/>
      <c r="B2844" s="645"/>
    </row>
    <row r="2845" spans="1:2" x14ac:dyDescent="0.3">
      <c r="A2845" s="644"/>
      <c r="B2845" s="645"/>
    </row>
    <row r="2846" spans="1:2" x14ac:dyDescent="0.3">
      <c r="A2846" s="644"/>
      <c r="B2846" s="645"/>
    </row>
    <row r="2847" spans="1:2" x14ac:dyDescent="0.3">
      <c r="A2847" s="644"/>
      <c r="B2847" s="645"/>
    </row>
    <row r="2848" spans="1:2" x14ac:dyDescent="0.3">
      <c r="A2848" s="644"/>
      <c r="B2848" s="645"/>
    </row>
    <row r="2849" spans="1:2" x14ac:dyDescent="0.3">
      <c r="A2849" s="644"/>
      <c r="B2849" s="645"/>
    </row>
    <row r="2850" spans="1:2" x14ac:dyDescent="0.3">
      <c r="A2850" s="644"/>
      <c r="B2850" s="645"/>
    </row>
    <row r="2851" spans="1:2" x14ac:dyDescent="0.3">
      <c r="A2851" s="644"/>
      <c r="B2851" s="645"/>
    </row>
    <row r="2852" spans="1:2" x14ac:dyDescent="0.3">
      <c r="A2852" s="644"/>
      <c r="B2852" s="645"/>
    </row>
    <row r="2853" spans="1:2" x14ac:dyDescent="0.3">
      <c r="A2853" s="644"/>
      <c r="B2853" s="645"/>
    </row>
    <row r="2854" spans="1:2" x14ac:dyDescent="0.3">
      <c r="A2854" s="644"/>
      <c r="B2854" s="645"/>
    </row>
    <row r="2855" spans="1:2" x14ac:dyDescent="0.3">
      <c r="A2855" s="644"/>
      <c r="B2855" s="645"/>
    </row>
    <row r="2856" spans="1:2" x14ac:dyDescent="0.3">
      <c r="A2856" s="644"/>
      <c r="B2856" s="645"/>
    </row>
    <row r="2857" spans="1:2" x14ac:dyDescent="0.3">
      <c r="A2857" s="644"/>
      <c r="B2857" s="645"/>
    </row>
    <row r="2858" spans="1:2" x14ac:dyDescent="0.3">
      <c r="A2858" s="644"/>
      <c r="B2858" s="645"/>
    </row>
    <row r="2859" spans="1:2" x14ac:dyDescent="0.3">
      <c r="A2859" s="644"/>
      <c r="B2859" s="645"/>
    </row>
    <row r="2860" spans="1:2" x14ac:dyDescent="0.3">
      <c r="A2860" s="644"/>
      <c r="B2860" s="645"/>
    </row>
    <row r="2861" spans="1:2" x14ac:dyDescent="0.3">
      <c r="A2861" s="644"/>
      <c r="B2861" s="645"/>
    </row>
    <row r="2862" spans="1:2" x14ac:dyDescent="0.3">
      <c r="A2862" s="644"/>
      <c r="B2862" s="645"/>
    </row>
    <row r="2863" spans="1:2" x14ac:dyDescent="0.3">
      <c r="A2863" s="644"/>
      <c r="B2863" s="645"/>
    </row>
    <row r="2864" spans="1:2" x14ac:dyDescent="0.3">
      <c r="A2864" s="644"/>
      <c r="B2864" s="645"/>
    </row>
    <row r="2865" spans="1:2" x14ac:dyDescent="0.3">
      <c r="A2865" s="644"/>
      <c r="B2865" s="645"/>
    </row>
    <row r="2866" spans="1:2" x14ac:dyDescent="0.3">
      <c r="A2866" s="644"/>
      <c r="B2866" s="645"/>
    </row>
    <row r="2867" spans="1:2" x14ac:dyDescent="0.3">
      <c r="A2867" s="644"/>
      <c r="B2867" s="645"/>
    </row>
    <row r="2868" spans="1:2" x14ac:dyDescent="0.3">
      <c r="A2868" s="644"/>
      <c r="B2868" s="645"/>
    </row>
    <row r="2869" spans="1:2" x14ac:dyDescent="0.3">
      <c r="A2869" s="644"/>
      <c r="B2869" s="645"/>
    </row>
    <row r="2870" spans="1:2" x14ac:dyDescent="0.3">
      <c r="A2870" s="644"/>
      <c r="B2870" s="645"/>
    </row>
    <row r="2871" spans="1:2" x14ac:dyDescent="0.3">
      <c r="A2871" s="644"/>
      <c r="B2871" s="645"/>
    </row>
    <row r="2872" spans="1:2" x14ac:dyDescent="0.3">
      <c r="A2872" s="644"/>
      <c r="B2872" s="645"/>
    </row>
    <row r="2873" spans="1:2" x14ac:dyDescent="0.3">
      <c r="A2873" s="644"/>
      <c r="B2873" s="645"/>
    </row>
    <row r="2874" spans="1:2" x14ac:dyDescent="0.3">
      <c r="A2874" s="644"/>
      <c r="B2874" s="645"/>
    </row>
    <row r="2875" spans="1:2" x14ac:dyDescent="0.3">
      <c r="A2875" s="644"/>
      <c r="B2875" s="645"/>
    </row>
    <row r="2876" spans="1:2" x14ac:dyDescent="0.3">
      <c r="A2876" s="644"/>
      <c r="B2876" s="645"/>
    </row>
    <row r="2877" spans="1:2" x14ac:dyDescent="0.3">
      <c r="A2877" s="644"/>
      <c r="B2877" s="645"/>
    </row>
    <row r="2878" spans="1:2" x14ac:dyDescent="0.3">
      <c r="A2878" s="644"/>
      <c r="B2878" s="645"/>
    </row>
    <row r="2879" spans="1:2" x14ac:dyDescent="0.3">
      <c r="A2879" s="644"/>
      <c r="B2879" s="645"/>
    </row>
    <row r="2880" spans="1:2" x14ac:dyDescent="0.3">
      <c r="A2880" s="644"/>
      <c r="B2880" s="645"/>
    </row>
    <row r="2881" spans="1:2" x14ac:dyDescent="0.3">
      <c r="A2881" s="644"/>
      <c r="B2881" s="645"/>
    </row>
    <row r="2882" spans="1:2" x14ac:dyDescent="0.3">
      <c r="A2882" s="644"/>
      <c r="B2882" s="645"/>
    </row>
    <row r="2883" spans="1:2" x14ac:dyDescent="0.3">
      <c r="A2883" s="644"/>
      <c r="B2883" s="645"/>
    </row>
    <row r="2884" spans="1:2" x14ac:dyDescent="0.3">
      <c r="A2884" s="644"/>
      <c r="B2884" s="645"/>
    </row>
    <row r="2885" spans="1:2" x14ac:dyDescent="0.3">
      <c r="A2885" s="644"/>
      <c r="B2885" s="645"/>
    </row>
    <row r="2886" spans="1:2" x14ac:dyDescent="0.3">
      <c r="A2886" s="644"/>
      <c r="B2886" s="645"/>
    </row>
    <row r="2887" spans="1:2" x14ac:dyDescent="0.3">
      <c r="A2887" s="644"/>
      <c r="B2887" s="645"/>
    </row>
    <row r="2888" spans="1:2" x14ac:dyDescent="0.3">
      <c r="A2888" s="644"/>
      <c r="B2888" s="645"/>
    </row>
    <row r="2889" spans="1:2" x14ac:dyDescent="0.3">
      <c r="A2889" s="644"/>
      <c r="B2889" s="645"/>
    </row>
    <row r="2890" spans="1:2" x14ac:dyDescent="0.3">
      <c r="A2890" s="644"/>
      <c r="B2890" s="645"/>
    </row>
    <row r="2891" spans="1:2" x14ac:dyDescent="0.3">
      <c r="A2891" s="644"/>
      <c r="B2891" s="645"/>
    </row>
    <row r="2892" spans="1:2" x14ac:dyDescent="0.3">
      <c r="A2892" s="644"/>
      <c r="B2892" s="645"/>
    </row>
    <row r="2893" spans="1:2" x14ac:dyDescent="0.3">
      <c r="A2893" s="644"/>
      <c r="B2893" s="645"/>
    </row>
    <row r="2894" spans="1:2" x14ac:dyDescent="0.3">
      <c r="A2894" s="644"/>
      <c r="B2894" s="645"/>
    </row>
    <row r="2895" spans="1:2" x14ac:dyDescent="0.3">
      <c r="A2895" s="644"/>
      <c r="B2895" s="645"/>
    </row>
    <row r="2896" spans="1:2" x14ac:dyDescent="0.3">
      <c r="A2896" s="644"/>
      <c r="B2896" s="645"/>
    </row>
    <row r="2897" spans="1:2" x14ac:dyDescent="0.3">
      <c r="A2897" s="644"/>
      <c r="B2897" s="645"/>
    </row>
    <row r="2898" spans="1:2" x14ac:dyDescent="0.3">
      <c r="A2898" s="644"/>
      <c r="B2898" s="645"/>
    </row>
    <row r="2899" spans="1:2" x14ac:dyDescent="0.3">
      <c r="A2899" s="644"/>
      <c r="B2899" s="645"/>
    </row>
    <row r="2900" spans="1:2" x14ac:dyDescent="0.3">
      <c r="A2900" s="644"/>
      <c r="B2900" s="645"/>
    </row>
    <row r="2901" spans="1:2" x14ac:dyDescent="0.3">
      <c r="A2901" s="644"/>
      <c r="B2901" s="645"/>
    </row>
    <row r="2902" spans="1:2" x14ac:dyDescent="0.3">
      <c r="A2902" s="644"/>
      <c r="B2902" s="645"/>
    </row>
    <row r="2903" spans="1:2" x14ac:dyDescent="0.3">
      <c r="A2903" s="644"/>
      <c r="B2903" s="645"/>
    </row>
    <row r="2904" spans="1:2" x14ac:dyDescent="0.3">
      <c r="A2904" s="644"/>
      <c r="B2904" s="645"/>
    </row>
    <row r="2905" spans="1:2" x14ac:dyDescent="0.3">
      <c r="A2905" s="644"/>
      <c r="B2905" s="645"/>
    </row>
    <row r="2906" spans="1:2" x14ac:dyDescent="0.3">
      <c r="A2906" s="644"/>
      <c r="B2906" s="645"/>
    </row>
    <row r="2907" spans="1:2" x14ac:dyDescent="0.3">
      <c r="A2907" s="644"/>
      <c r="B2907" s="645"/>
    </row>
    <row r="2908" spans="1:2" x14ac:dyDescent="0.3">
      <c r="A2908" s="644"/>
      <c r="B2908" s="645"/>
    </row>
    <row r="2909" spans="1:2" x14ac:dyDescent="0.3">
      <c r="A2909" s="644"/>
      <c r="B2909" s="645"/>
    </row>
    <row r="2910" spans="1:2" x14ac:dyDescent="0.3">
      <c r="A2910" s="644"/>
      <c r="B2910" s="645"/>
    </row>
    <row r="2911" spans="1:2" x14ac:dyDescent="0.3">
      <c r="A2911" s="644"/>
      <c r="B2911" s="645"/>
    </row>
    <row r="2912" spans="1:2" x14ac:dyDescent="0.3">
      <c r="A2912" s="644"/>
      <c r="B2912" s="645"/>
    </row>
    <row r="2913" spans="1:2" x14ac:dyDescent="0.3">
      <c r="A2913" s="644"/>
      <c r="B2913" s="645"/>
    </row>
    <row r="2914" spans="1:2" x14ac:dyDescent="0.3">
      <c r="A2914" s="644"/>
      <c r="B2914" s="645"/>
    </row>
    <row r="2915" spans="1:2" x14ac:dyDescent="0.3">
      <c r="A2915" s="644"/>
      <c r="B2915" s="645"/>
    </row>
    <row r="2916" spans="1:2" x14ac:dyDescent="0.3">
      <c r="A2916" s="644"/>
      <c r="B2916" s="645"/>
    </row>
    <row r="2917" spans="1:2" x14ac:dyDescent="0.3">
      <c r="A2917" s="644"/>
      <c r="B2917" s="645"/>
    </row>
    <row r="2918" spans="1:2" x14ac:dyDescent="0.3">
      <c r="A2918" s="644"/>
      <c r="B2918" s="645"/>
    </row>
    <row r="2919" spans="1:2" x14ac:dyDescent="0.3">
      <c r="A2919" s="644"/>
      <c r="B2919" s="645"/>
    </row>
    <row r="2920" spans="1:2" x14ac:dyDescent="0.3">
      <c r="A2920" s="644"/>
      <c r="B2920" s="645"/>
    </row>
    <row r="2921" spans="1:2" x14ac:dyDescent="0.3">
      <c r="A2921" s="644"/>
      <c r="B2921" s="645"/>
    </row>
    <row r="2922" spans="1:2" x14ac:dyDescent="0.3">
      <c r="A2922" s="644"/>
      <c r="B2922" s="645"/>
    </row>
    <row r="2923" spans="1:2" x14ac:dyDescent="0.3">
      <c r="A2923" s="644"/>
      <c r="B2923" s="645"/>
    </row>
    <row r="2924" spans="1:2" x14ac:dyDescent="0.3">
      <c r="A2924" s="644"/>
      <c r="B2924" s="645"/>
    </row>
    <row r="2925" spans="1:2" x14ac:dyDescent="0.3">
      <c r="A2925" s="644"/>
      <c r="B2925" s="645"/>
    </row>
    <row r="2926" spans="1:2" x14ac:dyDescent="0.3">
      <c r="A2926" s="644"/>
      <c r="B2926" s="645"/>
    </row>
    <row r="2927" spans="1:2" x14ac:dyDescent="0.3">
      <c r="A2927" s="644"/>
      <c r="B2927" s="645"/>
    </row>
    <row r="2928" spans="1:2" x14ac:dyDescent="0.3">
      <c r="A2928" s="644"/>
      <c r="B2928" s="645"/>
    </row>
    <row r="2929" spans="1:2" x14ac:dyDescent="0.3">
      <c r="A2929" s="644"/>
      <c r="B2929" s="645"/>
    </row>
    <row r="2930" spans="1:2" x14ac:dyDescent="0.3">
      <c r="A2930" s="644"/>
      <c r="B2930" s="645"/>
    </row>
    <row r="2931" spans="1:2" x14ac:dyDescent="0.3">
      <c r="A2931" s="644"/>
      <c r="B2931" s="645"/>
    </row>
    <row r="2932" spans="1:2" x14ac:dyDescent="0.3">
      <c r="A2932" s="644"/>
      <c r="B2932" s="645"/>
    </row>
    <row r="2933" spans="1:2" x14ac:dyDescent="0.3">
      <c r="A2933" s="644"/>
      <c r="B2933" s="645"/>
    </row>
    <row r="2934" spans="1:2" x14ac:dyDescent="0.3">
      <c r="A2934" s="644"/>
      <c r="B2934" s="645"/>
    </row>
    <row r="2935" spans="1:2" x14ac:dyDescent="0.3">
      <c r="A2935" s="644"/>
      <c r="B2935" s="645"/>
    </row>
    <row r="2936" spans="1:2" x14ac:dyDescent="0.3">
      <c r="A2936" s="644"/>
      <c r="B2936" s="645"/>
    </row>
    <row r="2937" spans="1:2" x14ac:dyDescent="0.3">
      <c r="A2937" s="644"/>
      <c r="B2937" s="645"/>
    </row>
    <row r="2938" spans="1:2" x14ac:dyDescent="0.3">
      <c r="A2938" s="644"/>
      <c r="B2938" s="645"/>
    </row>
    <row r="2939" spans="1:2" x14ac:dyDescent="0.3">
      <c r="A2939" s="644"/>
      <c r="B2939" s="645"/>
    </row>
    <row r="2940" spans="1:2" x14ac:dyDescent="0.3">
      <c r="A2940" s="644"/>
      <c r="B2940" s="645"/>
    </row>
    <row r="2941" spans="1:2" x14ac:dyDescent="0.3">
      <c r="A2941" s="644"/>
      <c r="B2941" s="645"/>
    </row>
    <row r="2942" spans="1:2" x14ac:dyDescent="0.3">
      <c r="A2942" s="644"/>
      <c r="B2942" s="645"/>
    </row>
    <row r="2943" spans="1:2" x14ac:dyDescent="0.3">
      <c r="A2943" s="644"/>
      <c r="B2943" s="645"/>
    </row>
    <row r="2944" spans="1:2" x14ac:dyDescent="0.3">
      <c r="A2944" s="644"/>
      <c r="B2944" s="645"/>
    </row>
    <row r="2945" spans="1:2" x14ac:dyDescent="0.3">
      <c r="A2945" s="644"/>
      <c r="B2945" s="645"/>
    </row>
    <row r="2946" spans="1:2" x14ac:dyDescent="0.3">
      <c r="A2946" s="644"/>
      <c r="B2946" s="645"/>
    </row>
    <row r="2947" spans="1:2" x14ac:dyDescent="0.3">
      <c r="A2947" s="644"/>
      <c r="B2947" s="645"/>
    </row>
    <row r="2948" spans="1:2" x14ac:dyDescent="0.3">
      <c r="A2948" s="644"/>
      <c r="B2948" s="645"/>
    </row>
    <row r="2949" spans="1:2" x14ac:dyDescent="0.3">
      <c r="A2949" s="644"/>
      <c r="B2949" s="645"/>
    </row>
    <row r="2950" spans="1:2" x14ac:dyDescent="0.3">
      <c r="A2950" s="644"/>
      <c r="B2950" s="645"/>
    </row>
    <row r="2951" spans="1:2" x14ac:dyDescent="0.3">
      <c r="A2951" s="644"/>
      <c r="B2951" s="645"/>
    </row>
    <row r="2952" spans="1:2" x14ac:dyDescent="0.3">
      <c r="A2952" s="644"/>
      <c r="B2952" s="645"/>
    </row>
    <row r="2953" spans="1:2" x14ac:dyDescent="0.3">
      <c r="A2953" s="644"/>
      <c r="B2953" s="645"/>
    </row>
    <row r="2954" spans="1:2" x14ac:dyDescent="0.3">
      <c r="A2954" s="644"/>
      <c r="B2954" s="645"/>
    </row>
    <row r="2955" spans="1:2" x14ac:dyDescent="0.3">
      <c r="A2955" s="644"/>
      <c r="B2955" s="645"/>
    </row>
    <row r="2956" spans="1:2" x14ac:dyDescent="0.3">
      <c r="A2956" s="644"/>
      <c r="B2956" s="645"/>
    </row>
    <row r="2957" spans="1:2" x14ac:dyDescent="0.3">
      <c r="A2957" s="644"/>
      <c r="B2957" s="645"/>
    </row>
    <row r="2958" spans="1:2" x14ac:dyDescent="0.3">
      <c r="A2958" s="644"/>
      <c r="B2958" s="645"/>
    </row>
    <row r="2959" spans="1:2" x14ac:dyDescent="0.3">
      <c r="A2959" s="644"/>
      <c r="B2959" s="645"/>
    </row>
    <row r="2960" spans="1:2" x14ac:dyDescent="0.3">
      <c r="A2960" s="644"/>
      <c r="B2960" s="645"/>
    </row>
    <row r="2961" spans="1:2" x14ac:dyDescent="0.3">
      <c r="A2961" s="644"/>
      <c r="B2961" s="645"/>
    </row>
    <row r="2962" spans="1:2" x14ac:dyDescent="0.3">
      <c r="A2962" s="644"/>
      <c r="B2962" s="645"/>
    </row>
    <row r="2963" spans="1:2" x14ac:dyDescent="0.3">
      <c r="A2963" s="644"/>
      <c r="B2963" s="645"/>
    </row>
    <row r="2964" spans="1:2" x14ac:dyDescent="0.3">
      <c r="A2964" s="644"/>
      <c r="B2964" s="645"/>
    </row>
    <row r="2965" spans="1:2" x14ac:dyDescent="0.3">
      <c r="A2965" s="644"/>
      <c r="B2965" s="645"/>
    </row>
    <row r="2966" spans="1:2" x14ac:dyDescent="0.3">
      <c r="A2966" s="644"/>
      <c r="B2966" s="645"/>
    </row>
    <row r="2967" spans="1:2" x14ac:dyDescent="0.3">
      <c r="A2967" s="644"/>
      <c r="B2967" s="645"/>
    </row>
    <row r="2968" spans="1:2" x14ac:dyDescent="0.3">
      <c r="A2968" s="644"/>
      <c r="B2968" s="645"/>
    </row>
    <row r="2969" spans="1:2" x14ac:dyDescent="0.3">
      <c r="A2969" s="644"/>
      <c r="B2969" s="645"/>
    </row>
    <row r="2970" spans="1:2" x14ac:dyDescent="0.3">
      <c r="A2970" s="644"/>
      <c r="B2970" s="645"/>
    </row>
    <row r="2971" spans="1:2" x14ac:dyDescent="0.3">
      <c r="A2971" s="644"/>
      <c r="B2971" s="645"/>
    </row>
    <row r="2972" spans="1:2" x14ac:dyDescent="0.3">
      <c r="A2972" s="644"/>
      <c r="B2972" s="645"/>
    </row>
    <row r="2973" spans="1:2" x14ac:dyDescent="0.3">
      <c r="A2973" s="644"/>
      <c r="B2973" s="645"/>
    </row>
    <row r="2974" spans="1:2" x14ac:dyDescent="0.3">
      <c r="A2974" s="644"/>
      <c r="B2974" s="645"/>
    </row>
    <row r="2975" spans="1:2" x14ac:dyDescent="0.3">
      <c r="A2975" s="644"/>
      <c r="B2975" s="645"/>
    </row>
    <row r="2976" spans="1:2" x14ac:dyDescent="0.3">
      <c r="A2976" s="644"/>
      <c r="B2976" s="645"/>
    </row>
    <row r="2977" spans="1:2" x14ac:dyDescent="0.3">
      <c r="A2977" s="644"/>
      <c r="B2977" s="645"/>
    </row>
    <row r="2978" spans="1:2" x14ac:dyDescent="0.3">
      <c r="A2978" s="644"/>
      <c r="B2978" s="645"/>
    </row>
    <row r="2979" spans="1:2" x14ac:dyDescent="0.3">
      <c r="A2979" s="644"/>
      <c r="B2979" s="645"/>
    </row>
    <row r="2980" spans="1:2" x14ac:dyDescent="0.3">
      <c r="A2980" s="644"/>
      <c r="B2980" s="645"/>
    </row>
    <row r="2981" spans="1:2" x14ac:dyDescent="0.3">
      <c r="A2981" s="644"/>
      <c r="B2981" s="645"/>
    </row>
    <row r="2982" spans="1:2" x14ac:dyDescent="0.3">
      <c r="A2982" s="644"/>
      <c r="B2982" s="645"/>
    </row>
    <row r="2983" spans="1:2" x14ac:dyDescent="0.3">
      <c r="A2983" s="644"/>
      <c r="B2983" s="645"/>
    </row>
    <row r="2984" spans="1:2" x14ac:dyDescent="0.3">
      <c r="A2984" s="644"/>
      <c r="B2984" s="645"/>
    </row>
    <row r="2985" spans="1:2" x14ac:dyDescent="0.3">
      <c r="A2985" s="644"/>
      <c r="B2985" s="645"/>
    </row>
    <row r="2986" spans="1:2" x14ac:dyDescent="0.3">
      <c r="A2986" s="644"/>
      <c r="B2986" s="645"/>
    </row>
    <row r="2987" spans="1:2" x14ac:dyDescent="0.3">
      <c r="A2987" s="644"/>
      <c r="B2987" s="645"/>
    </row>
    <row r="2988" spans="1:2" x14ac:dyDescent="0.3">
      <c r="A2988" s="644"/>
      <c r="B2988" s="645"/>
    </row>
    <row r="2989" spans="1:2" x14ac:dyDescent="0.3">
      <c r="A2989" s="644"/>
      <c r="B2989" s="645"/>
    </row>
    <row r="2990" spans="1:2" x14ac:dyDescent="0.3">
      <c r="A2990" s="644"/>
      <c r="B2990" s="645"/>
    </row>
    <row r="2991" spans="1:2" x14ac:dyDescent="0.3">
      <c r="A2991" s="644"/>
      <c r="B2991" s="645"/>
    </row>
    <row r="2992" spans="1:2" x14ac:dyDescent="0.3">
      <c r="A2992" s="644"/>
      <c r="B2992" s="645"/>
    </row>
    <row r="2993" spans="1:2" x14ac:dyDescent="0.3">
      <c r="A2993" s="644"/>
      <c r="B2993" s="645"/>
    </row>
    <row r="2994" spans="1:2" x14ac:dyDescent="0.3">
      <c r="A2994" s="644"/>
      <c r="B2994" s="645"/>
    </row>
    <row r="2995" spans="1:2" x14ac:dyDescent="0.3">
      <c r="A2995" s="644"/>
      <c r="B2995" s="645"/>
    </row>
    <row r="2996" spans="1:2" x14ac:dyDescent="0.3">
      <c r="A2996" s="644"/>
      <c r="B2996" s="645"/>
    </row>
    <row r="2997" spans="1:2" x14ac:dyDescent="0.3">
      <c r="A2997" s="644"/>
      <c r="B2997" s="645"/>
    </row>
    <row r="2998" spans="1:2" x14ac:dyDescent="0.3">
      <c r="A2998" s="644"/>
      <c r="B2998" s="645"/>
    </row>
    <row r="2999" spans="1:2" x14ac:dyDescent="0.3">
      <c r="A2999" s="644"/>
      <c r="B2999" s="645"/>
    </row>
    <row r="3000" spans="1:2" x14ac:dyDescent="0.3">
      <c r="A3000" s="644"/>
      <c r="B3000" s="645"/>
    </row>
    <row r="3001" spans="1:2" x14ac:dyDescent="0.3">
      <c r="A3001" s="644"/>
      <c r="B3001" s="645"/>
    </row>
    <row r="3002" spans="1:2" x14ac:dyDescent="0.3">
      <c r="A3002" s="644"/>
      <c r="B3002" s="645"/>
    </row>
    <row r="3003" spans="1:2" x14ac:dyDescent="0.3">
      <c r="A3003" s="644"/>
      <c r="B3003" s="645"/>
    </row>
    <row r="3004" spans="1:2" x14ac:dyDescent="0.3">
      <c r="A3004" s="644"/>
      <c r="B3004" s="645"/>
    </row>
    <row r="3005" spans="1:2" x14ac:dyDescent="0.3">
      <c r="A3005" s="644"/>
      <c r="B3005" s="645"/>
    </row>
    <row r="3006" spans="1:2" x14ac:dyDescent="0.3">
      <c r="A3006" s="644"/>
      <c r="B3006" s="645"/>
    </row>
    <row r="3007" spans="1:2" x14ac:dyDescent="0.3">
      <c r="A3007" s="644"/>
      <c r="B3007" s="645"/>
    </row>
    <row r="3008" spans="1:2" x14ac:dyDescent="0.3">
      <c r="A3008" s="644"/>
      <c r="B3008" s="645"/>
    </row>
    <row r="3009" spans="1:2" x14ac:dyDescent="0.3">
      <c r="A3009" s="644"/>
      <c r="B3009" s="645"/>
    </row>
    <row r="3010" spans="1:2" x14ac:dyDescent="0.3">
      <c r="A3010" s="644"/>
      <c r="B3010" s="645"/>
    </row>
    <row r="3011" spans="1:2" x14ac:dyDescent="0.3">
      <c r="A3011" s="644"/>
      <c r="B3011" s="645"/>
    </row>
    <row r="3012" spans="1:2" x14ac:dyDescent="0.3">
      <c r="A3012" s="644"/>
      <c r="B3012" s="645"/>
    </row>
    <row r="3013" spans="1:2" x14ac:dyDescent="0.3">
      <c r="A3013" s="644"/>
      <c r="B3013" s="645"/>
    </row>
    <row r="3014" spans="1:2" x14ac:dyDescent="0.3">
      <c r="A3014" s="644"/>
      <c r="B3014" s="645"/>
    </row>
    <row r="3015" spans="1:2" x14ac:dyDescent="0.3">
      <c r="A3015" s="644"/>
      <c r="B3015" s="645"/>
    </row>
    <row r="3016" spans="1:2" x14ac:dyDescent="0.3">
      <c r="A3016" s="644"/>
      <c r="B3016" s="645"/>
    </row>
    <row r="3017" spans="1:2" x14ac:dyDescent="0.3">
      <c r="A3017" s="644"/>
      <c r="B3017" s="645"/>
    </row>
    <row r="3018" spans="1:2" x14ac:dyDescent="0.3">
      <c r="A3018" s="644"/>
      <c r="B3018" s="645"/>
    </row>
    <row r="3019" spans="1:2" x14ac:dyDescent="0.3">
      <c r="A3019" s="644"/>
      <c r="B3019" s="645"/>
    </row>
    <row r="3020" spans="1:2" x14ac:dyDescent="0.3">
      <c r="A3020" s="644"/>
      <c r="B3020" s="645"/>
    </row>
    <row r="3021" spans="1:2" x14ac:dyDescent="0.3">
      <c r="A3021" s="644"/>
      <c r="B3021" s="645"/>
    </row>
    <row r="3022" spans="1:2" x14ac:dyDescent="0.3">
      <c r="A3022" s="644"/>
      <c r="B3022" s="645"/>
    </row>
    <row r="3023" spans="1:2" x14ac:dyDescent="0.3">
      <c r="A3023" s="644"/>
      <c r="B3023" s="645"/>
    </row>
    <row r="3024" spans="1:2" x14ac:dyDescent="0.3">
      <c r="A3024" s="644"/>
      <c r="B3024" s="645"/>
    </row>
    <row r="3025" spans="1:2" x14ac:dyDescent="0.3">
      <c r="A3025" s="644"/>
      <c r="B3025" s="645"/>
    </row>
    <row r="3026" spans="1:2" x14ac:dyDescent="0.3">
      <c r="A3026" s="644"/>
      <c r="B3026" s="645"/>
    </row>
    <row r="3027" spans="1:2" x14ac:dyDescent="0.3">
      <c r="A3027" s="644"/>
      <c r="B3027" s="645"/>
    </row>
    <row r="3028" spans="1:2" x14ac:dyDescent="0.3">
      <c r="A3028" s="644"/>
      <c r="B3028" s="645"/>
    </row>
    <row r="3029" spans="1:2" x14ac:dyDescent="0.3">
      <c r="A3029" s="644"/>
      <c r="B3029" s="645"/>
    </row>
    <row r="3030" spans="1:2" x14ac:dyDescent="0.3">
      <c r="A3030" s="644"/>
      <c r="B3030" s="645"/>
    </row>
    <row r="3031" spans="1:2" x14ac:dyDescent="0.3">
      <c r="A3031" s="644"/>
      <c r="B3031" s="645"/>
    </row>
    <row r="3032" spans="1:2" x14ac:dyDescent="0.3">
      <c r="A3032" s="644"/>
      <c r="B3032" s="645"/>
    </row>
    <row r="3033" spans="1:2" x14ac:dyDescent="0.3">
      <c r="A3033" s="644"/>
      <c r="B3033" s="645"/>
    </row>
    <row r="3034" spans="1:2" x14ac:dyDescent="0.3">
      <c r="A3034" s="644"/>
      <c r="B3034" s="645"/>
    </row>
    <row r="3035" spans="1:2" x14ac:dyDescent="0.3">
      <c r="A3035" s="644"/>
      <c r="B3035" s="645"/>
    </row>
    <row r="3036" spans="1:2" x14ac:dyDescent="0.3">
      <c r="A3036" s="644"/>
      <c r="B3036" s="645"/>
    </row>
    <row r="3037" spans="1:2" x14ac:dyDescent="0.3">
      <c r="A3037" s="644"/>
      <c r="B3037" s="645"/>
    </row>
    <row r="3038" spans="1:2" x14ac:dyDescent="0.3">
      <c r="A3038" s="644"/>
      <c r="B3038" s="645"/>
    </row>
    <row r="3039" spans="1:2" x14ac:dyDescent="0.3">
      <c r="A3039" s="644"/>
      <c r="B3039" s="645"/>
    </row>
    <row r="3040" spans="1:2" x14ac:dyDescent="0.3">
      <c r="A3040" s="644"/>
      <c r="B3040" s="645"/>
    </row>
    <row r="3041" spans="1:2" x14ac:dyDescent="0.3">
      <c r="A3041" s="644"/>
      <c r="B3041" s="645"/>
    </row>
    <row r="3042" spans="1:2" x14ac:dyDescent="0.3">
      <c r="A3042" s="644"/>
      <c r="B3042" s="645"/>
    </row>
    <row r="3043" spans="1:2" x14ac:dyDescent="0.3">
      <c r="A3043" s="644"/>
      <c r="B3043" s="645"/>
    </row>
    <row r="3044" spans="1:2" x14ac:dyDescent="0.3">
      <c r="A3044" s="644"/>
      <c r="B3044" s="645"/>
    </row>
    <row r="3045" spans="1:2" x14ac:dyDescent="0.3">
      <c r="A3045" s="644"/>
      <c r="B3045" s="645"/>
    </row>
    <row r="3046" spans="1:2" x14ac:dyDescent="0.3">
      <c r="A3046" s="644"/>
      <c r="B3046" s="645"/>
    </row>
    <row r="3047" spans="1:2" x14ac:dyDescent="0.3">
      <c r="A3047" s="644"/>
      <c r="B3047" s="645"/>
    </row>
    <row r="3048" spans="1:2" x14ac:dyDescent="0.3">
      <c r="A3048" s="644"/>
      <c r="B3048" s="645"/>
    </row>
    <row r="3049" spans="1:2" x14ac:dyDescent="0.3">
      <c r="A3049" s="644"/>
      <c r="B3049" s="645"/>
    </row>
    <row r="3050" spans="1:2" x14ac:dyDescent="0.3">
      <c r="A3050" s="644"/>
      <c r="B3050" s="645"/>
    </row>
    <row r="3051" spans="1:2" x14ac:dyDescent="0.3">
      <c r="A3051" s="644"/>
      <c r="B3051" s="645"/>
    </row>
    <row r="3052" spans="1:2" x14ac:dyDescent="0.3">
      <c r="A3052" s="644"/>
      <c r="B3052" s="645"/>
    </row>
    <row r="3053" spans="1:2" x14ac:dyDescent="0.3">
      <c r="A3053" s="644"/>
      <c r="B3053" s="645"/>
    </row>
    <row r="3054" spans="1:2" x14ac:dyDescent="0.3">
      <c r="A3054" s="644"/>
      <c r="B3054" s="645"/>
    </row>
    <row r="3055" spans="1:2" x14ac:dyDescent="0.3">
      <c r="A3055" s="644"/>
      <c r="B3055" s="645"/>
    </row>
    <row r="3056" spans="1:2" x14ac:dyDescent="0.3">
      <c r="A3056" s="644"/>
      <c r="B3056" s="645"/>
    </row>
    <row r="3057" spans="1:2" x14ac:dyDescent="0.3">
      <c r="A3057" s="644"/>
      <c r="B3057" s="645"/>
    </row>
    <row r="3058" spans="1:2" x14ac:dyDescent="0.3">
      <c r="A3058" s="644"/>
      <c r="B3058" s="645"/>
    </row>
    <row r="3059" spans="1:2" x14ac:dyDescent="0.3">
      <c r="A3059" s="644"/>
      <c r="B3059" s="645"/>
    </row>
    <row r="3060" spans="1:2" x14ac:dyDescent="0.3">
      <c r="A3060" s="644"/>
      <c r="B3060" s="645"/>
    </row>
    <row r="3061" spans="1:2" x14ac:dyDescent="0.3">
      <c r="A3061" s="644"/>
      <c r="B3061" s="645"/>
    </row>
    <row r="3062" spans="1:2" x14ac:dyDescent="0.3">
      <c r="A3062" s="644"/>
      <c r="B3062" s="645"/>
    </row>
    <row r="3063" spans="1:2" x14ac:dyDescent="0.3">
      <c r="A3063" s="644"/>
      <c r="B3063" s="645"/>
    </row>
    <row r="3064" spans="1:2" x14ac:dyDescent="0.3">
      <c r="A3064" s="644"/>
      <c r="B3064" s="645"/>
    </row>
    <row r="3065" spans="1:2" x14ac:dyDescent="0.3">
      <c r="A3065" s="644"/>
      <c r="B3065" s="645"/>
    </row>
    <row r="3066" spans="1:2" x14ac:dyDescent="0.3">
      <c r="A3066" s="644"/>
      <c r="B3066" s="645"/>
    </row>
    <row r="3067" spans="1:2" x14ac:dyDescent="0.3">
      <c r="A3067" s="644"/>
      <c r="B3067" s="645"/>
    </row>
    <row r="3068" spans="1:2" x14ac:dyDescent="0.3">
      <c r="A3068" s="644"/>
      <c r="B3068" s="645"/>
    </row>
    <row r="3069" spans="1:2" x14ac:dyDescent="0.3">
      <c r="A3069" s="644"/>
      <c r="B3069" s="645"/>
    </row>
    <row r="3070" spans="1:2" x14ac:dyDescent="0.3">
      <c r="A3070" s="644"/>
      <c r="B3070" s="645"/>
    </row>
    <row r="3071" spans="1:2" x14ac:dyDescent="0.3">
      <c r="A3071" s="644"/>
      <c r="B3071" s="645"/>
    </row>
    <row r="3072" spans="1:2" x14ac:dyDescent="0.3">
      <c r="A3072" s="644"/>
      <c r="B3072" s="645"/>
    </row>
    <row r="3073" spans="1:2" x14ac:dyDescent="0.3">
      <c r="A3073" s="644"/>
      <c r="B3073" s="645"/>
    </row>
    <row r="3074" spans="1:2" x14ac:dyDescent="0.3">
      <c r="A3074" s="644"/>
      <c r="B3074" s="645"/>
    </row>
    <row r="3075" spans="1:2" x14ac:dyDescent="0.3">
      <c r="A3075" s="644"/>
      <c r="B3075" s="645"/>
    </row>
    <row r="3076" spans="1:2" x14ac:dyDescent="0.3">
      <c r="A3076" s="644"/>
      <c r="B3076" s="645"/>
    </row>
    <row r="3077" spans="1:2" x14ac:dyDescent="0.3">
      <c r="A3077" s="644"/>
      <c r="B3077" s="645"/>
    </row>
    <row r="3078" spans="1:2" x14ac:dyDescent="0.3">
      <c r="A3078" s="644"/>
      <c r="B3078" s="645"/>
    </row>
    <row r="3079" spans="1:2" x14ac:dyDescent="0.3">
      <c r="A3079" s="644"/>
      <c r="B3079" s="645"/>
    </row>
    <row r="3080" spans="1:2" x14ac:dyDescent="0.3">
      <c r="A3080" s="644"/>
      <c r="B3080" s="645"/>
    </row>
    <row r="3081" spans="1:2" x14ac:dyDescent="0.3">
      <c r="A3081" s="644"/>
      <c r="B3081" s="645"/>
    </row>
    <row r="3082" spans="1:2" x14ac:dyDescent="0.3">
      <c r="A3082" s="644"/>
      <c r="B3082" s="645"/>
    </row>
    <row r="3083" spans="1:2" x14ac:dyDescent="0.3">
      <c r="A3083" s="644"/>
      <c r="B3083" s="645"/>
    </row>
    <row r="3084" spans="1:2" x14ac:dyDescent="0.3">
      <c r="A3084" s="644"/>
      <c r="B3084" s="645"/>
    </row>
    <row r="3085" spans="1:2" x14ac:dyDescent="0.3">
      <c r="A3085" s="644"/>
      <c r="B3085" s="645"/>
    </row>
    <row r="3086" spans="1:2" x14ac:dyDescent="0.3">
      <c r="A3086" s="644"/>
      <c r="B3086" s="645"/>
    </row>
    <row r="3087" spans="1:2" x14ac:dyDescent="0.3">
      <c r="A3087" s="644"/>
      <c r="B3087" s="645"/>
    </row>
    <row r="3088" spans="1:2" x14ac:dyDescent="0.3">
      <c r="A3088" s="644"/>
      <c r="B3088" s="645"/>
    </row>
    <row r="3089" spans="1:2" x14ac:dyDescent="0.3">
      <c r="A3089" s="644"/>
      <c r="B3089" s="645"/>
    </row>
    <row r="3090" spans="1:2" x14ac:dyDescent="0.3">
      <c r="A3090" s="644"/>
      <c r="B3090" s="645"/>
    </row>
    <row r="3091" spans="1:2" x14ac:dyDescent="0.3">
      <c r="A3091" s="644"/>
      <c r="B3091" s="645"/>
    </row>
    <row r="3092" spans="1:2" x14ac:dyDescent="0.3">
      <c r="A3092" s="644"/>
      <c r="B3092" s="645"/>
    </row>
    <row r="3093" spans="1:2" x14ac:dyDescent="0.3">
      <c r="A3093" s="644"/>
      <c r="B3093" s="645"/>
    </row>
    <row r="3094" spans="1:2" x14ac:dyDescent="0.3">
      <c r="A3094" s="644"/>
      <c r="B3094" s="645"/>
    </row>
    <row r="3095" spans="1:2" x14ac:dyDescent="0.3">
      <c r="A3095" s="644"/>
      <c r="B3095" s="645"/>
    </row>
    <row r="3096" spans="1:2" x14ac:dyDescent="0.3">
      <c r="A3096" s="644"/>
      <c r="B3096" s="645"/>
    </row>
    <row r="3097" spans="1:2" x14ac:dyDescent="0.3">
      <c r="A3097" s="644"/>
      <c r="B3097" s="645"/>
    </row>
    <row r="3098" spans="1:2" x14ac:dyDescent="0.3">
      <c r="A3098" s="644"/>
      <c r="B3098" s="645"/>
    </row>
    <row r="3099" spans="1:2" x14ac:dyDescent="0.3">
      <c r="A3099" s="644"/>
      <c r="B3099" s="645"/>
    </row>
    <row r="3100" spans="1:2" x14ac:dyDescent="0.3">
      <c r="A3100" s="644"/>
      <c r="B3100" s="645"/>
    </row>
    <row r="3101" spans="1:2" x14ac:dyDescent="0.3">
      <c r="A3101" s="644"/>
      <c r="B3101" s="645"/>
    </row>
    <row r="3102" spans="1:2" x14ac:dyDescent="0.3">
      <c r="A3102" s="644"/>
      <c r="B3102" s="645"/>
    </row>
    <row r="3103" spans="1:2" x14ac:dyDescent="0.3">
      <c r="A3103" s="644"/>
      <c r="B3103" s="645"/>
    </row>
    <row r="3104" spans="1:2" x14ac:dyDescent="0.3">
      <c r="A3104" s="644"/>
      <c r="B3104" s="645"/>
    </row>
    <row r="3105" spans="1:2" x14ac:dyDescent="0.3">
      <c r="A3105" s="644"/>
      <c r="B3105" s="645"/>
    </row>
    <row r="3106" spans="1:2" x14ac:dyDescent="0.3">
      <c r="A3106" s="644"/>
      <c r="B3106" s="645"/>
    </row>
    <row r="3107" spans="1:2" x14ac:dyDescent="0.3">
      <c r="A3107" s="644"/>
      <c r="B3107" s="645"/>
    </row>
    <row r="3108" spans="1:2" x14ac:dyDescent="0.3">
      <c r="A3108" s="644"/>
      <c r="B3108" s="645"/>
    </row>
    <row r="3109" spans="1:2" x14ac:dyDescent="0.3">
      <c r="A3109" s="644"/>
      <c r="B3109" s="645"/>
    </row>
    <row r="3110" spans="1:2" x14ac:dyDescent="0.3">
      <c r="A3110" s="644"/>
      <c r="B3110" s="645"/>
    </row>
    <row r="3111" spans="1:2" x14ac:dyDescent="0.3">
      <c r="A3111" s="644"/>
      <c r="B3111" s="645"/>
    </row>
    <row r="3112" spans="1:2" x14ac:dyDescent="0.3">
      <c r="A3112" s="644"/>
      <c r="B3112" s="645"/>
    </row>
    <row r="3113" spans="1:2" x14ac:dyDescent="0.3">
      <c r="A3113" s="644"/>
      <c r="B3113" s="645"/>
    </row>
    <row r="3114" spans="1:2" x14ac:dyDescent="0.3">
      <c r="A3114" s="644"/>
      <c r="B3114" s="645"/>
    </row>
    <row r="3115" spans="1:2" x14ac:dyDescent="0.3">
      <c r="A3115" s="644"/>
      <c r="B3115" s="645"/>
    </row>
    <row r="3116" spans="1:2" x14ac:dyDescent="0.3">
      <c r="A3116" s="644"/>
      <c r="B3116" s="645"/>
    </row>
    <row r="3117" spans="1:2" x14ac:dyDescent="0.3">
      <c r="A3117" s="644"/>
      <c r="B3117" s="645"/>
    </row>
    <row r="3118" spans="1:2" x14ac:dyDescent="0.3">
      <c r="A3118" s="644"/>
      <c r="B3118" s="645"/>
    </row>
    <row r="3119" spans="1:2" x14ac:dyDescent="0.3">
      <c r="A3119" s="644"/>
      <c r="B3119" s="645"/>
    </row>
    <row r="3120" spans="1:2" x14ac:dyDescent="0.3">
      <c r="A3120" s="644"/>
      <c r="B3120" s="645"/>
    </row>
    <row r="3121" spans="1:2" x14ac:dyDescent="0.3">
      <c r="A3121" s="644"/>
      <c r="B3121" s="645"/>
    </row>
    <row r="3122" spans="1:2" x14ac:dyDescent="0.3">
      <c r="A3122" s="644"/>
      <c r="B3122" s="645"/>
    </row>
    <row r="3123" spans="1:2" x14ac:dyDescent="0.3">
      <c r="A3123" s="644"/>
      <c r="B3123" s="645"/>
    </row>
    <row r="3124" spans="1:2" x14ac:dyDescent="0.3">
      <c r="A3124" s="644"/>
      <c r="B3124" s="645"/>
    </row>
    <row r="3125" spans="1:2" x14ac:dyDescent="0.3">
      <c r="A3125" s="644"/>
      <c r="B3125" s="645"/>
    </row>
    <row r="3126" spans="1:2" x14ac:dyDescent="0.3">
      <c r="A3126" s="644"/>
      <c r="B3126" s="645"/>
    </row>
    <row r="3127" spans="1:2" x14ac:dyDescent="0.3">
      <c r="A3127" s="644"/>
      <c r="B3127" s="645"/>
    </row>
    <row r="3128" spans="1:2" x14ac:dyDescent="0.3">
      <c r="A3128" s="644"/>
      <c r="B3128" s="645"/>
    </row>
    <row r="3129" spans="1:2" x14ac:dyDescent="0.3">
      <c r="A3129" s="644"/>
      <c r="B3129" s="645"/>
    </row>
    <row r="3130" spans="1:2" x14ac:dyDescent="0.3">
      <c r="A3130" s="644"/>
      <c r="B3130" s="645"/>
    </row>
    <row r="3131" spans="1:2" x14ac:dyDescent="0.3">
      <c r="A3131" s="644"/>
      <c r="B3131" s="645"/>
    </row>
    <row r="3132" spans="1:2" x14ac:dyDescent="0.3">
      <c r="A3132" s="644"/>
      <c r="B3132" s="645"/>
    </row>
    <row r="3133" spans="1:2" x14ac:dyDescent="0.3">
      <c r="A3133" s="644"/>
      <c r="B3133" s="645"/>
    </row>
    <row r="3134" spans="1:2" x14ac:dyDescent="0.3">
      <c r="A3134" s="644"/>
      <c r="B3134" s="645"/>
    </row>
    <row r="3135" spans="1:2" x14ac:dyDescent="0.3">
      <c r="A3135" s="644"/>
      <c r="B3135" s="645"/>
    </row>
    <row r="3136" spans="1:2" x14ac:dyDescent="0.3">
      <c r="A3136" s="644"/>
      <c r="B3136" s="645"/>
    </row>
    <row r="3137" spans="1:2" x14ac:dyDescent="0.3">
      <c r="A3137" s="644"/>
      <c r="B3137" s="645"/>
    </row>
    <row r="3138" spans="1:2" x14ac:dyDescent="0.3">
      <c r="A3138" s="644"/>
      <c r="B3138" s="645"/>
    </row>
    <row r="3139" spans="1:2" x14ac:dyDescent="0.3">
      <c r="A3139" s="644"/>
      <c r="B3139" s="645"/>
    </row>
    <row r="3140" spans="1:2" x14ac:dyDescent="0.3">
      <c r="A3140" s="644"/>
      <c r="B3140" s="645"/>
    </row>
    <row r="3141" spans="1:2" x14ac:dyDescent="0.3">
      <c r="A3141" s="644"/>
      <c r="B3141" s="645"/>
    </row>
    <row r="3142" spans="1:2" x14ac:dyDescent="0.3">
      <c r="A3142" s="644"/>
      <c r="B3142" s="645"/>
    </row>
    <row r="3143" spans="1:2" x14ac:dyDescent="0.3">
      <c r="A3143" s="644"/>
      <c r="B3143" s="645"/>
    </row>
    <row r="3144" spans="1:2" x14ac:dyDescent="0.3">
      <c r="A3144" s="644"/>
      <c r="B3144" s="645"/>
    </row>
    <row r="3145" spans="1:2" x14ac:dyDescent="0.3">
      <c r="A3145" s="644"/>
      <c r="B3145" s="645"/>
    </row>
    <row r="3146" spans="1:2" x14ac:dyDescent="0.3">
      <c r="A3146" s="644"/>
      <c r="B3146" s="645"/>
    </row>
    <row r="3147" spans="1:2" x14ac:dyDescent="0.3">
      <c r="A3147" s="644"/>
      <c r="B3147" s="645"/>
    </row>
    <row r="3148" spans="1:2" x14ac:dyDescent="0.3">
      <c r="A3148" s="644"/>
      <c r="B3148" s="645"/>
    </row>
    <row r="3149" spans="1:2" x14ac:dyDescent="0.3">
      <c r="A3149" s="644"/>
      <c r="B3149" s="645"/>
    </row>
    <row r="3150" spans="1:2" x14ac:dyDescent="0.3">
      <c r="A3150" s="644"/>
      <c r="B3150" s="645"/>
    </row>
    <row r="3151" spans="1:2" x14ac:dyDescent="0.3">
      <c r="A3151" s="644"/>
      <c r="B3151" s="645"/>
    </row>
    <row r="3152" spans="1:2" x14ac:dyDescent="0.3">
      <c r="A3152" s="644"/>
      <c r="B3152" s="645"/>
    </row>
    <row r="3153" spans="1:2" x14ac:dyDescent="0.3">
      <c r="A3153" s="644"/>
      <c r="B3153" s="645"/>
    </row>
    <row r="3154" spans="1:2" x14ac:dyDescent="0.3">
      <c r="A3154" s="644"/>
      <c r="B3154" s="645"/>
    </row>
    <row r="3155" spans="1:2" x14ac:dyDescent="0.3">
      <c r="A3155" s="644"/>
      <c r="B3155" s="645"/>
    </row>
    <row r="3156" spans="1:2" x14ac:dyDescent="0.3">
      <c r="A3156" s="644"/>
      <c r="B3156" s="645"/>
    </row>
    <row r="3157" spans="1:2" x14ac:dyDescent="0.3">
      <c r="A3157" s="644"/>
      <c r="B3157" s="645"/>
    </row>
    <row r="3158" spans="1:2" x14ac:dyDescent="0.3">
      <c r="A3158" s="644"/>
      <c r="B3158" s="645"/>
    </row>
    <row r="3159" spans="1:2" x14ac:dyDescent="0.3">
      <c r="A3159" s="644"/>
      <c r="B3159" s="645"/>
    </row>
    <row r="3160" spans="1:2" x14ac:dyDescent="0.3">
      <c r="A3160" s="644"/>
      <c r="B3160" s="645"/>
    </row>
    <row r="3161" spans="1:2" x14ac:dyDescent="0.3">
      <c r="A3161" s="644"/>
      <c r="B3161" s="645"/>
    </row>
    <row r="3162" spans="1:2" x14ac:dyDescent="0.3">
      <c r="A3162" s="644"/>
      <c r="B3162" s="645"/>
    </row>
    <row r="3163" spans="1:2" x14ac:dyDescent="0.3">
      <c r="A3163" s="644"/>
      <c r="B3163" s="645"/>
    </row>
    <row r="3164" spans="1:2" x14ac:dyDescent="0.3">
      <c r="A3164" s="644"/>
      <c r="B3164" s="645"/>
    </row>
    <row r="3165" spans="1:2" x14ac:dyDescent="0.3">
      <c r="A3165" s="644"/>
      <c r="B3165" s="645"/>
    </row>
    <row r="3166" spans="1:2" x14ac:dyDescent="0.3">
      <c r="A3166" s="644"/>
      <c r="B3166" s="645"/>
    </row>
    <row r="3167" spans="1:2" x14ac:dyDescent="0.3">
      <c r="A3167" s="644"/>
      <c r="B3167" s="645"/>
    </row>
    <row r="3168" spans="1:2" x14ac:dyDescent="0.3">
      <c r="A3168" s="644"/>
      <c r="B3168" s="645"/>
    </row>
    <row r="3169" spans="1:2" x14ac:dyDescent="0.3">
      <c r="A3169" s="644"/>
      <c r="B3169" s="645"/>
    </row>
    <row r="3170" spans="1:2" x14ac:dyDescent="0.3">
      <c r="A3170" s="644"/>
      <c r="B3170" s="645"/>
    </row>
    <row r="3171" spans="1:2" x14ac:dyDescent="0.3">
      <c r="A3171" s="644"/>
      <c r="B3171" s="645"/>
    </row>
    <row r="3172" spans="1:2" x14ac:dyDescent="0.3">
      <c r="A3172" s="644"/>
      <c r="B3172" s="645"/>
    </row>
    <row r="3173" spans="1:2" x14ac:dyDescent="0.3">
      <c r="A3173" s="644"/>
      <c r="B3173" s="645"/>
    </row>
    <row r="3174" spans="1:2" x14ac:dyDescent="0.3">
      <c r="A3174" s="644"/>
      <c r="B3174" s="645"/>
    </row>
    <row r="3175" spans="1:2" x14ac:dyDescent="0.3">
      <c r="A3175" s="644"/>
      <c r="B3175" s="645"/>
    </row>
    <row r="3176" spans="1:2" x14ac:dyDescent="0.3">
      <c r="A3176" s="644"/>
      <c r="B3176" s="645"/>
    </row>
    <row r="3177" spans="1:2" x14ac:dyDescent="0.3">
      <c r="A3177" s="644"/>
      <c r="B3177" s="645"/>
    </row>
    <row r="3178" spans="1:2" x14ac:dyDescent="0.3">
      <c r="A3178" s="644"/>
      <c r="B3178" s="645"/>
    </row>
    <row r="3179" spans="1:2" x14ac:dyDescent="0.3">
      <c r="A3179" s="644"/>
      <c r="B3179" s="645"/>
    </row>
    <row r="3180" spans="1:2" x14ac:dyDescent="0.3">
      <c r="A3180" s="644"/>
      <c r="B3180" s="645"/>
    </row>
    <row r="3181" spans="1:2" x14ac:dyDescent="0.3">
      <c r="A3181" s="644"/>
      <c r="B3181" s="645"/>
    </row>
    <row r="3182" spans="1:2" x14ac:dyDescent="0.3">
      <c r="A3182" s="644"/>
      <c r="B3182" s="645"/>
    </row>
    <row r="3183" spans="1:2" x14ac:dyDescent="0.3">
      <c r="A3183" s="644"/>
      <c r="B3183" s="645"/>
    </row>
    <row r="3184" spans="1:2" x14ac:dyDescent="0.3">
      <c r="A3184" s="644"/>
      <c r="B3184" s="645"/>
    </row>
    <row r="3185" spans="1:2" x14ac:dyDescent="0.3">
      <c r="A3185" s="644"/>
      <c r="B3185" s="645"/>
    </row>
    <row r="3186" spans="1:2" x14ac:dyDescent="0.3">
      <c r="A3186" s="644"/>
      <c r="B3186" s="645"/>
    </row>
    <row r="3187" spans="1:2" x14ac:dyDescent="0.3">
      <c r="A3187" s="644"/>
      <c r="B3187" s="645"/>
    </row>
    <row r="3188" spans="1:2" x14ac:dyDescent="0.3">
      <c r="A3188" s="644"/>
      <c r="B3188" s="645"/>
    </row>
    <row r="3189" spans="1:2" x14ac:dyDescent="0.3">
      <c r="A3189" s="644"/>
      <c r="B3189" s="645"/>
    </row>
    <row r="3190" spans="1:2" x14ac:dyDescent="0.3">
      <c r="A3190" s="644"/>
      <c r="B3190" s="645"/>
    </row>
    <row r="3191" spans="1:2" x14ac:dyDescent="0.3">
      <c r="A3191" s="644"/>
      <c r="B3191" s="645"/>
    </row>
    <row r="3192" spans="1:2" x14ac:dyDescent="0.3">
      <c r="A3192" s="644"/>
      <c r="B3192" s="645"/>
    </row>
    <row r="3193" spans="1:2" x14ac:dyDescent="0.3">
      <c r="A3193" s="644"/>
      <c r="B3193" s="645"/>
    </row>
    <row r="3194" spans="1:2" x14ac:dyDescent="0.3">
      <c r="A3194" s="644"/>
      <c r="B3194" s="645"/>
    </row>
    <row r="3195" spans="1:2" x14ac:dyDescent="0.3">
      <c r="A3195" s="644"/>
      <c r="B3195" s="645"/>
    </row>
    <row r="3196" spans="1:2" x14ac:dyDescent="0.3">
      <c r="A3196" s="644"/>
      <c r="B3196" s="645"/>
    </row>
    <row r="3197" spans="1:2" x14ac:dyDescent="0.3">
      <c r="A3197" s="644"/>
      <c r="B3197" s="645"/>
    </row>
    <row r="3198" spans="1:2" x14ac:dyDescent="0.3">
      <c r="A3198" s="644"/>
      <c r="B3198" s="645"/>
    </row>
    <row r="3199" spans="1:2" x14ac:dyDescent="0.3">
      <c r="A3199" s="644"/>
      <c r="B3199" s="645"/>
    </row>
    <row r="3200" spans="1:2" x14ac:dyDescent="0.3">
      <c r="A3200" s="644"/>
      <c r="B3200" s="645"/>
    </row>
    <row r="3201" spans="1:2" x14ac:dyDescent="0.3">
      <c r="A3201" s="644"/>
      <c r="B3201" s="645"/>
    </row>
    <row r="3202" spans="1:2" x14ac:dyDescent="0.3">
      <c r="A3202" s="644"/>
      <c r="B3202" s="645"/>
    </row>
    <row r="3203" spans="1:2" x14ac:dyDescent="0.3">
      <c r="A3203" s="644"/>
      <c r="B3203" s="645"/>
    </row>
    <row r="3204" spans="1:2" x14ac:dyDescent="0.3">
      <c r="A3204" s="644"/>
      <c r="B3204" s="645"/>
    </row>
    <row r="3205" spans="1:2" x14ac:dyDescent="0.3">
      <c r="A3205" s="644"/>
      <c r="B3205" s="645"/>
    </row>
    <row r="3206" spans="1:2" x14ac:dyDescent="0.3">
      <c r="A3206" s="644"/>
      <c r="B3206" s="645"/>
    </row>
    <row r="3207" spans="1:2" x14ac:dyDescent="0.3">
      <c r="A3207" s="644"/>
      <c r="B3207" s="645"/>
    </row>
    <row r="3208" spans="1:2" x14ac:dyDescent="0.3">
      <c r="A3208" s="644"/>
      <c r="B3208" s="645"/>
    </row>
    <row r="3209" spans="1:2" x14ac:dyDescent="0.3">
      <c r="A3209" s="644"/>
      <c r="B3209" s="645"/>
    </row>
    <row r="3210" spans="1:2" x14ac:dyDescent="0.3">
      <c r="A3210" s="644"/>
      <c r="B3210" s="645"/>
    </row>
    <row r="3211" spans="1:2" x14ac:dyDescent="0.3">
      <c r="A3211" s="644"/>
      <c r="B3211" s="645"/>
    </row>
    <row r="3212" spans="1:2" x14ac:dyDescent="0.3">
      <c r="A3212" s="644"/>
      <c r="B3212" s="645"/>
    </row>
    <row r="3213" spans="1:2" x14ac:dyDescent="0.3">
      <c r="A3213" s="644"/>
      <c r="B3213" s="645"/>
    </row>
    <row r="3214" spans="1:2" x14ac:dyDescent="0.3">
      <c r="A3214" s="644"/>
      <c r="B3214" s="645"/>
    </row>
    <row r="3215" spans="1:2" x14ac:dyDescent="0.3">
      <c r="A3215" s="644"/>
      <c r="B3215" s="645"/>
    </row>
    <row r="3216" spans="1:2" x14ac:dyDescent="0.3">
      <c r="A3216" s="644"/>
      <c r="B3216" s="645"/>
    </row>
    <row r="3217" spans="1:2" x14ac:dyDescent="0.3">
      <c r="A3217" s="644"/>
      <c r="B3217" s="645"/>
    </row>
    <row r="3218" spans="1:2" x14ac:dyDescent="0.3">
      <c r="A3218" s="644"/>
      <c r="B3218" s="645"/>
    </row>
    <row r="3219" spans="1:2" x14ac:dyDescent="0.3">
      <c r="A3219" s="644"/>
      <c r="B3219" s="645"/>
    </row>
    <row r="3220" spans="1:2" x14ac:dyDescent="0.3">
      <c r="A3220" s="644"/>
      <c r="B3220" s="645"/>
    </row>
    <row r="3221" spans="1:2" x14ac:dyDescent="0.3">
      <c r="A3221" s="644"/>
      <c r="B3221" s="645"/>
    </row>
    <row r="3222" spans="1:2" x14ac:dyDescent="0.3">
      <c r="A3222" s="644"/>
      <c r="B3222" s="645"/>
    </row>
    <row r="3223" spans="1:2" x14ac:dyDescent="0.3">
      <c r="A3223" s="644"/>
      <c r="B3223" s="645"/>
    </row>
    <row r="3224" spans="1:2" x14ac:dyDescent="0.3">
      <c r="A3224" s="644"/>
      <c r="B3224" s="645"/>
    </row>
    <row r="3225" spans="1:2" x14ac:dyDescent="0.3">
      <c r="A3225" s="644"/>
      <c r="B3225" s="645"/>
    </row>
    <row r="3226" spans="1:2" x14ac:dyDescent="0.3">
      <c r="A3226" s="644"/>
      <c r="B3226" s="645"/>
    </row>
    <row r="3227" spans="1:2" x14ac:dyDescent="0.3">
      <c r="A3227" s="644"/>
      <c r="B3227" s="645"/>
    </row>
    <row r="3228" spans="1:2" x14ac:dyDescent="0.3">
      <c r="A3228" s="644"/>
      <c r="B3228" s="645"/>
    </row>
    <row r="3229" spans="1:2" x14ac:dyDescent="0.3">
      <c r="A3229" s="644"/>
      <c r="B3229" s="645"/>
    </row>
    <row r="3230" spans="1:2" x14ac:dyDescent="0.3">
      <c r="A3230" s="644"/>
      <c r="B3230" s="645"/>
    </row>
    <row r="3231" spans="1:2" x14ac:dyDescent="0.3">
      <c r="A3231" s="644"/>
      <c r="B3231" s="645"/>
    </row>
    <row r="3232" spans="1:2" x14ac:dyDescent="0.3">
      <c r="A3232" s="644"/>
      <c r="B3232" s="645"/>
    </row>
    <row r="3233" spans="1:2" x14ac:dyDescent="0.3">
      <c r="A3233" s="644"/>
      <c r="B3233" s="645"/>
    </row>
    <row r="3234" spans="1:2" x14ac:dyDescent="0.3">
      <c r="A3234" s="644"/>
      <c r="B3234" s="645"/>
    </row>
    <row r="3235" spans="1:2" x14ac:dyDescent="0.3">
      <c r="A3235" s="644"/>
      <c r="B3235" s="645"/>
    </row>
    <row r="3236" spans="1:2" x14ac:dyDescent="0.3">
      <c r="A3236" s="644"/>
      <c r="B3236" s="645"/>
    </row>
    <row r="3237" spans="1:2" x14ac:dyDescent="0.3">
      <c r="A3237" s="644"/>
      <c r="B3237" s="645"/>
    </row>
    <row r="3238" spans="1:2" x14ac:dyDescent="0.3">
      <c r="A3238" s="644"/>
      <c r="B3238" s="645"/>
    </row>
    <row r="3239" spans="1:2" x14ac:dyDescent="0.3">
      <c r="A3239" s="644"/>
      <c r="B3239" s="645"/>
    </row>
    <row r="3240" spans="1:2" x14ac:dyDescent="0.3">
      <c r="A3240" s="644"/>
      <c r="B3240" s="645"/>
    </row>
    <row r="3241" spans="1:2" x14ac:dyDescent="0.3">
      <c r="A3241" s="644"/>
      <c r="B3241" s="645"/>
    </row>
    <row r="3242" spans="1:2" x14ac:dyDescent="0.3">
      <c r="A3242" s="644"/>
      <c r="B3242" s="645"/>
    </row>
    <row r="3243" spans="1:2" x14ac:dyDescent="0.3">
      <c r="A3243" s="644"/>
      <c r="B3243" s="645"/>
    </row>
    <row r="3244" spans="1:2" x14ac:dyDescent="0.3">
      <c r="A3244" s="644"/>
      <c r="B3244" s="645"/>
    </row>
    <row r="3245" spans="1:2" x14ac:dyDescent="0.3">
      <c r="A3245" s="644"/>
      <c r="B3245" s="645"/>
    </row>
    <row r="3246" spans="1:2" x14ac:dyDescent="0.3">
      <c r="A3246" s="644"/>
      <c r="B3246" s="645"/>
    </row>
    <row r="3247" spans="1:2" x14ac:dyDescent="0.3">
      <c r="A3247" s="644"/>
      <c r="B3247" s="645"/>
    </row>
    <row r="3248" spans="1:2" x14ac:dyDescent="0.3">
      <c r="A3248" s="644"/>
      <c r="B3248" s="645"/>
    </row>
    <row r="3249" spans="1:2" x14ac:dyDescent="0.3">
      <c r="A3249" s="644"/>
      <c r="B3249" s="645"/>
    </row>
    <row r="3250" spans="1:2" x14ac:dyDescent="0.3">
      <c r="A3250" s="644"/>
      <c r="B3250" s="645"/>
    </row>
    <row r="3251" spans="1:2" x14ac:dyDescent="0.3">
      <c r="A3251" s="644"/>
      <c r="B3251" s="645"/>
    </row>
    <row r="3252" spans="1:2" x14ac:dyDescent="0.3">
      <c r="A3252" s="644"/>
      <c r="B3252" s="645"/>
    </row>
    <row r="3253" spans="1:2" x14ac:dyDescent="0.3">
      <c r="A3253" s="644"/>
      <c r="B3253" s="645"/>
    </row>
    <row r="3254" spans="1:2" x14ac:dyDescent="0.3">
      <c r="A3254" s="644"/>
      <c r="B3254" s="645"/>
    </row>
    <row r="3255" spans="1:2" x14ac:dyDescent="0.3">
      <c r="A3255" s="644"/>
      <c r="B3255" s="645"/>
    </row>
    <row r="3256" spans="1:2" x14ac:dyDescent="0.3">
      <c r="A3256" s="644"/>
      <c r="B3256" s="645"/>
    </row>
    <row r="3257" spans="1:2" x14ac:dyDescent="0.3">
      <c r="A3257" s="644"/>
      <c r="B3257" s="645"/>
    </row>
    <row r="3258" spans="1:2" x14ac:dyDescent="0.3">
      <c r="A3258" s="644"/>
      <c r="B3258" s="645"/>
    </row>
    <row r="3259" spans="1:2" x14ac:dyDescent="0.3">
      <c r="A3259" s="644"/>
      <c r="B3259" s="645"/>
    </row>
    <row r="3260" spans="1:2" x14ac:dyDescent="0.3">
      <c r="A3260" s="644"/>
      <c r="B3260" s="645"/>
    </row>
    <row r="3261" spans="1:2" x14ac:dyDescent="0.3">
      <c r="A3261" s="644"/>
      <c r="B3261" s="645"/>
    </row>
    <row r="3262" spans="1:2" x14ac:dyDescent="0.3">
      <c r="A3262" s="644"/>
      <c r="B3262" s="645"/>
    </row>
    <row r="3263" spans="1:2" x14ac:dyDescent="0.3">
      <c r="A3263" s="644"/>
      <c r="B3263" s="645"/>
    </row>
    <row r="3264" spans="1:2" x14ac:dyDescent="0.3">
      <c r="A3264" s="644"/>
      <c r="B3264" s="645"/>
    </row>
    <row r="3265" spans="1:2" x14ac:dyDescent="0.3">
      <c r="A3265" s="644"/>
      <c r="B3265" s="645"/>
    </row>
    <row r="3266" spans="1:2" x14ac:dyDescent="0.3">
      <c r="A3266" s="644"/>
      <c r="B3266" s="645"/>
    </row>
    <row r="3267" spans="1:2" x14ac:dyDescent="0.3">
      <c r="A3267" s="644"/>
      <c r="B3267" s="645"/>
    </row>
    <row r="3268" spans="1:2" x14ac:dyDescent="0.3">
      <c r="A3268" s="644"/>
      <c r="B3268" s="645"/>
    </row>
    <row r="3269" spans="1:2" x14ac:dyDescent="0.3">
      <c r="A3269" s="644"/>
      <c r="B3269" s="645"/>
    </row>
    <row r="3270" spans="1:2" x14ac:dyDescent="0.3">
      <c r="A3270" s="644"/>
      <c r="B3270" s="645"/>
    </row>
    <row r="3271" spans="1:2" x14ac:dyDescent="0.3">
      <c r="A3271" s="644"/>
      <c r="B3271" s="645"/>
    </row>
    <row r="3272" spans="1:2" x14ac:dyDescent="0.3">
      <c r="A3272" s="644"/>
      <c r="B3272" s="645"/>
    </row>
    <row r="3273" spans="1:2" x14ac:dyDescent="0.3">
      <c r="A3273" s="644"/>
      <c r="B3273" s="645"/>
    </row>
    <row r="3274" spans="1:2" x14ac:dyDescent="0.3">
      <c r="A3274" s="644"/>
      <c r="B3274" s="645"/>
    </row>
    <row r="3275" spans="1:2" x14ac:dyDescent="0.3">
      <c r="A3275" s="644"/>
      <c r="B3275" s="645"/>
    </row>
    <row r="3276" spans="1:2" x14ac:dyDescent="0.3">
      <c r="A3276" s="644"/>
      <c r="B3276" s="645"/>
    </row>
    <row r="3277" spans="1:2" x14ac:dyDescent="0.3">
      <c r="A3277" s="644"/>
      <c r="B3277" s="645"/>
    </row>
    <row r="3278" spans="1:2" x14ac:dyDescent="0.3">
      <c r="A3278" s="644"/>
      <c r="B3278" s="645"/>
    </row>
    <row r="3279" spans="1:2" x14ac:dyDescent="0.3">
      <c r="A3279" s="644"/>
      <c r="B3279" s="645"/>
    </row>
    <row r="3280" spans="1:2" x14ac:dyDescent="0.3">
      <c r="A3280" s="644"/>
      <c r="B3280" s="645"/>
    </row>
    <row r="3281" spans="1:2" x14ac:dyDescent="0.3">
      <c r="A3281" s="644"/>
      <c r="B3281" s="645"/>
    </row>
    <row r="3282" spans="1:2" x14ac:dyDescent="0.3">
      <c r="A3282" s="644"/>
      <c r="B3282" s="645"/>
    </row>
    <row r="3283" spans="1:2" x14ac:dyDescent="0.3">
      <c r="A3283" s="644"/>
      <c r="B3283" s="645"/>
    </row>
    <row r="3284" spans="1:2" x14ac:dyDescent="0.3">
      <c r="A3284" s="644"/>
      <c r="B3284" s="645"/>
    </row>
    <row r="3285" spans="1:2" x14ac:dyDescent="0.3">
      <c r="A3285" s="644"/>
      <c r="B3285" s="645"/>
    </row>
    <row r="3286" spans="1:2" x14ac:dyDescent="0.3">
      <c r="A3286" s="644"/>
      <c r="B3286" s="645"/>
    </row>
    <row r="3287" spans="1:2" x14ac:dyDescent="0.3">
      <c r="A3287" s="644"/>
      <c r="B3287" s="645"/>
    </row>
    <row r="3288" spans="1:2" x14ac:dyDescent="0.3">
      <c r="A3288" s="644"/>
      <c r="B3288" s="645"/>
    </row>
    <row r="3289" spans="1:2" x14ac:dyDescent="0.3">
      <c r="A3289" s="644"/>
      <c r="B3289" s="645"/>
    </row>
    <row r="3290" spans="1:2" x14ac:dyDescent="0.3">
      <c r="A3290" s="644"/>
      <c r="B3290" s="645"/>
    </row>
    <row r="3291" spans="1:2" x14ac:dyDescent="0.3">
      <c r="A3291" s="644"/>
      <c r="B3291" s="645"/>
    </row>
    <row r="3292" spans="1:2" x14ac:dyDescent="0.3">
      <c r="A3292" s="644"/>
      <c r="B3292" s="645"/>
    </row>
    <row r="3293" spans="1:2" x14ac:dyDescent="0.3">
      <c r="A3293" s="644"/>
      <c r="B3293" s="645"/>
    </row>
    <row r="3294" spans="1:2" x14ac:dyDescent="0.3">
      <c r="A3294" s="644"/>
      <c r="B3294" s="645"/>
    </row>
    <row r="3295" spans="1:2" x14ac:dyDescent="0.3">
      <c r="A3295" s="644"/>
      <c r="B3295" s="645"/>
    </row>
    <row r="3296" spans="1:2" x14ac:dyDescent="0.3">
      <c r="A3296" s="644"/>
      <c r="B3296" s="645"/>
    </row>
    <row r="3297" spans="1:2" x14ac:dyDescent="0.3">
      <c r="A3297" s="644"/>
      <c r="B3297" s="645"/>
    </row>
    <row r="3298" spans="1:2" x14ac:dyDescent="0.3">
      <c r="A3298" s="644"/>
      <c r="B3298" s="645"/>
    </row>
    <row r="3299" spans="1:2" x14ac:dyDescent="0.3">
      <c r="A3299" s="644"/>
      <c r="B3299" s="645"/>
    </row>
    <row r="3300" spans="1:2" x14ac:dyDescent="0.3">
      <c r="A3300" s="644"/>
      <c r="B3300" s="645"/>
    </row>
    <row r="3301" spans="1:2" x14ac:dyDescent="0.3">
      <c r="A3301" s="644"/>
      <c r="B3301" s="645"/>
    </row>
    <row r="3302" spans="1:2" x14ac:dyDescent="0.3">
      <c r="A3302" s="644"/>
      <c r="B3302" s="645"/>
    </row>
    <row r="3303" spans="1:2" x14ac:dyDescent="0.3">
      <c r="A3303" s="644"/>
      <c r="B3303" s="645"/>
    </row>
    <row r="3304" spans="1:2" x14ac:dyDescent="0.3">
      <c r="A3304" s="644"/>
      <c r="B3304" s="645"/>
    </row>
    <row r="3305" spans="1:2" x14ac:dyDescent="0.3">
      <c r="A3305" s="644"/>
      <c r="B3305" s="645"/>
    </row>
    <row r="3306" spans="1:2" x14ac:dyDescent="0.3">
      <c r="A3306" s="644"/>
      <c r="B3306" s="645"/>
    </row>
    <row r="3307" spans="1:2" x14ac:dyDescent="0.3">
      <c r="A3307" s="644"/>
      <c r="B3307" s="645"/>
    </row>
    <row r="3308" spans="1:2" x14ac:dyDescent="0.3">
      <c r="A3308" s="644"/>
      <c r="B3308" s="645"/>
    </row>
    <row r="3309" spans="1:2" x14ac:dyDescent="0.3">
      <c r="A3309" s="644"/>
      <c r="B3309" s="645"/>
    </row>
    <row r="3310" spans="1:2" x14ac:dyDescent="0.3">
      <c r="A3310" s="644"/>
      <c r="B3310" s="645"/>
    </row>
    <row r="3311" spans="1:2" x14ac:dyDescent="0.3">
      <c r="A3311" s="644"/>
      <c r="B3311" s="645"/>
    </row>
    <row r="3312" spans="1:2" x14ac:dyDescent="0.3">
      <c r="A3312" s="644"/>
      <c r="B3312" s="645"/>
    </row>
    <row r="3313" spans="1:2" x14ac:dyDescent="0.3">
      <c r="A3313" s="644"/>
      <c r="B3313" s="645"/>
    </row>
    <row r="3314" spans="1:2" x14ac:dyDescent="0.3">
      <c r="A3314" s="644"/>
      <c r="B3314" s="645"/>
    </row>
    <row r="3315" spans="1:2" x14ac:dyDescent="0.3">
      <c r="A3315" s="644"/>
      <c r="B3315" s="645"/>
    </row>
    <row r="3316" spans="1:2" x14ac:dyDescent="0.3">
      <c r="A3316" s="644"/>
      <c r="B3316" s="645"/>
    </row>
    <row r="3317" spans="1:2" x14ac:dyDescent="0.3">
      <c r="A3317" s="644"/>
      <c r="B3317" s="645"/>
    </row>
    <row r="3318" spans="1:2" x14ac:dyDescent="0.3">
      <c r="A3318" s="644"/>
      <c r="B3318" s="645"/>
    </row>
    <row r="3319" spans="1:2" x14ac:dyDescent="0.3">
      <c r="A3319" s="644"/>
      <c r="B3319" s="645"/>
    </row>
    <row r="3320" spans="1:2" x14ac:dyDescent="0.3">
      <c r="A3320" s="644"/>
      <c r="B3320" s="645"/>
    </row>
    <row r="3321" spans="1:2" x14ac:dyDescent="0.3">
      <c r="A3321" s="644"/>
      <c r="B3321" s="645"/>
    </row>
    <row r="3322" spans="1:2" x14ac:dyDescent="0.3">
      <c r="A3322" s="644"/>
      <c r="B3322" s="645"/>
    </row>
    <row r="3323" spans="1:2" x14ac:dyDescent="0.3">
      <c r="A3323" s="644"/>
      <c r="B3323" s="645"/>
    </row>
    <row r="3324" spans="1:2" x14ac:dyDescent="0.3">
      <c r="A3324" s="644"/>
      <c r="B3324" s="645"/>
    </row>
    <row r="3325" spans="1:2" x14ac:dyDescent="0.3">
      <c r="A3325" s="644"/>
      <c r="B3325" s="645"/>
    </row>
    <row r="3326" spans="1:2" x14ac:dyDescent="0.3">
      <c r="A3326" s="644"/>
      <c r="B3326" s="645"/>
    </row>
    <row r="3327" spans="1:2" x14ac:dyDescent="0.3">
      <c r="A3327" s="644"/>
      <c r="B3327" s="645"/>
    </row>
    <row r="3328" spans="1:2" x14ac:dyDescent="0.3">
      <c r="A3328" s="644"/>
      <c r="B3328" s="645"/>
    </row>
    <row r="3329" spans="1:2" x14ac:dyDescent="0.3">
      <c r="A3329" s="644"/>
      <c r="B3329" s="645"/>
    </row>
    <row r="3330" spans="1:2" x14ac:dyDescent="0.3">
      <c r="A3330" s="644"/>
      <c r="B3330" s="645"/>
    </row>
    <row r="3331" spans="1:2" x14ac:dyDescent="0.3">
      <c r="A3331" s="644"/>
      <c r="B3331" s="645"/>
    </row>
    <row r="3332" spans="1:2" x14ac:dyDescent="0.3">
      <c r="A3332" s="644"/>
      <c r="B3332" s="645"/>
    </row>
    <row r="3333" spans="1:2" x14ac:dyDescent="0.3">
      <c r="A3333" s="644"/>
      <c r="B3333" s="645"/>
    </row>
    <row r="3334" spans="1:2" x14ac:dyDescent="0.3">
      <c r="A3334" s="644"/>
      <c r="B3334" s="645"/>
    </row>
    <row r="3335" spans="1:2" x14ac:dyDescent="0.3">
      <c r="A3335" s="644"/>
      <c r="B3335" s="645"/>
    </row>
    <row r="3336" spans="1:2" x14ac:dyDescent="0.3">
      <c r="A3336" s="644"/>
      <c r="B3336" s="645"/>
    </row>
    <row r="3337" spans="1:2" x14ac:dyDescent="0.3">
      <c r="A3337" s="644"/>
      <c r="B3337" s="645"/>
    </row>
    <row r="3338" spans="1:2" x14ac:dyDescent="0.3">
      <c r="A3338" s="644"/>
      <c r="B3338" s="645"/>
    </row>
    <row r="3339" spans="1:2" x14ac:dyDescent="0.3">
      <c r="A3339" s="644"/>
      <c r="B3339" s="645"/>
    </row>
    <row r="3340" spans="1:2" x14ac:dyDescent="0.3">
      <c r="A3340" s="644"/>
      <c r="B3340" s="645"/>
    </row>
    <row r="3341" spans="1:2" x14ac:dyDescent="0.3">
      <c r="A3341" s="644"/>
      <c r="B3341" s="645"/>
    </row>
    <row r="3342" spans="1:2" x14ac:dyDescent="0.3">
      <c r="A3342" s="644"/>
      <c r="B3342" s="645"/>
    </row>
    <row r="3343" spans="1:2" x14ac:dyDescent="0.3">
      <c r="A3343" s="644"/>
      <c r="B3343" s="645"/>
    </row>
    <row r="3344" spans="1:2" x14ac:dyDescent="0.3">
      <c r="A3344" s="644"/>
      <c r="B3344" s="645"/>
    </row>
    <row r="3345" spans="1:2" x14ac:dyDescent="0.3">
      <c r="A3345" s="644"/>
      <c r="B3345" s="645"/>
    </row>
    <row r="3346" spans="1:2" x14ac:dyDescent="0.3">
      <c r="A3346" s="644"/>
      <c r="B3346" s="645"/>
    </row>
    <row r="3347" spans="1:2" x14ac:dyDescent="0.3">
      <c r="A3347" s="644"/>
      <c r="B3347" s="645"/>
    </row>
    <row r="3348" spans="1:2" x14ac:dyDescent="0.3">
      <c r="A3348" s="644"/>
      <c r="B3348" s="645"/>
    </row>
    <row r="3349" spans="1:2" x14ac:dyDescent="0.3">
      <c r="A3349" s="644"/>
      <c r="B3349" s="645"/>
    </row>
    <row r="3350" spans="1:2" x14ac:dyDescent="0.3">
      <c r="A3350" s="644"/>
      <c r="B3350" s="645"/>
    </row>
    <row r="3351" spans="1:2" x14ac:dyDescent="0.3">
      <c r="A3351" s="644"/>
      <c r="B3351" s="645"/>
    </row>
    <row r="3352" spans="1:2" x14ac:dyDescent="0.3">
      <c r="A3352" s="644"/>
      <c r="B3352" s="645"/>
    </row>
    <row r="3353" spans="1:2" x14ac:dyDescent="0.3">
      <c r="A3353" s="644"/>
      <c r="B3353" s="645"/>
    </row>
    <row r="3354" spans="1:2" x14ac:dyDescent="0.3">
      <c r="A3354" s="644"/>
      <c r="B3354" s="645"/>
    </row>
    <row r="3355" spans="1:2" x14ac:dyDescent="0.3">
      <c r="A3355" s="644"/>
      <c r="B3355" s="645"/>
    </row>
    <row r="3356" spans="1:2" x14ac:dyDescent="0.3">
      <c r="A3356" s="644"/>
      <c r="B3356" s="645"/>
    </row>
    <row r="3357" spans="1:2" x14ac:dyDescent="0.3">
      <c r="A3357" s="644"/>
      <c r="B3357" s="645"/>
    </row>
    <row r="3358" spans="1:2" x14ac:dyDescent="0.3">
      <c r="A3358" s="644"/>
      <c r="B3358" s="645"/>
    </row>
    <row r="3359" spans="1:2" x14ac:dyDescent="0.3">
      <c r="A3359" s="644"/>
      <c r="B3359" s="645"/>
    </row>
    <row r="3360" spans="1:2" x14ac:dyDescent="0.3">
      <c r="A3360" s="644"/>
      <c r="B3360" s="645"/>
    </row>
    <row r="3361" spans="1:2" x14ac:dyDescent="0.3">
      <c r="A3361" s="644"/>
      <c r="B3361" s="645"/>
    </row>
    <row r="3362" spans="1:2" x14ac:dyDescent="0.3">
      <c r="A3362" s="644"/>
      <c r="B3362" s="645"/>
    </row>
    <row r="3363" spans="1:2" x14ac:dyDescent="0.3">
      <c r="A3363" s="644"/>
      <c r="B3363" s="645"/>
    </row>
    <row r="3364" spans="1:2" x14ac:dyDescent="0.3">
      <c r="A3364" s="644"/>
      <c r="B3364" s="645"/>
    </row>
    <row r="3365" spans="1:2" x14ac:dyDescent="0.3">
      <c r="A3365" s="644"/>
      <c r="B3365" s="645"/>
    </row>
    <row r="3366" spans="1:2" x14ac:dyDescent="0.3">
      <c r="A3366" s="644"/>
      <c r="B3366" s="645"/>
    </row>
    <row r="3367" spans="1:2" x14ac:dyDescent="0.3">
      <c r="A3367" s="644"/>
      <c r="B3367" s="645"/>
    </row>
    <row r="3368" spans="1:2" x14ac:dyDescent="0.3">
      <c r="A3368" s="644"/>
      <c r="B3368" s="645"/>
    </row>
    <row r="3369" spans="1:2" x14ac:dyDescent="0.3">
      <c r="A3369" s="644"/>
      <c r="B3369" s="645"/>
    </row>
    <row r="3370" spans="1:2" x14ac:dyDescent="0.3">
      <c r="A3370" s="644"/>
      <c r="B3370" s="645"/>
    </row>
    <row r="3371" spans="1:2" x14ac:dyDescent="0.3">
      <c r="A3371" s="644"/>
      <c r="B3371" s="645"/>
    </row>
    <row r="3372" spans="1:2" x14ac:dyDescent="0.3">
      <c r="A3372" s="644"/>
      <c r="B3372" s="645"/>
    </row>
    <row r="3373" spans="1:2" x14ac:dyDescent="0.3">
      <c r="A3373" s="644"/>
      <c r="B3373" s="645"/>
    </row>
    <row r="3374" spans="1:2" x14ac:dyDescent="0.3">
      <c r="A3374" s="644"/>
      <c r="B3374" s="645"/>
    </row>
    <row r="3375" spans="1:2" x14ac:dyDescent="0.3">
      <c r="A3375" s="644"/>
      <c r="B3375" s="645"/>
    </row>
    <row r="3376" spans="1:2" x14ac:dyDescent="0.3">
      <c r="A3376" s="644"/>
      <c r="B3376" s="645"/>
    </row>
    <row r="3377" spans="1:2" x14ac:dyDescent="0.3">
      <c r="A3377" s="644"/>
      <c r="B3377" s="645"/>
    </row>
    <row r="3378" spans="1:2" x14ac:dyDescent="0.3">
      <c r="A3378" s="644"/>
      <c r="B3378" s="645"/>
    </row>
    <row r="3379" spans="1:2" x14ac:dyDescent="0.3">
      <c r="A3379" s="644"/>
      <c r="B3379" s="645"/>
    </row>
    <row r="3380" spans="1:2" x14ac:dyDescent="0.3">
      <c r="A3380" s="644"/>
      <c r="B3380" s="645"/>
    </row>
    <row r="3381" spans="1:2" x14ac:dyDescent="0.3">
      <c r="A3381" s="644"/>
      <c r="B3381" s="645"/>
    </row>
    <row r="3382" spans="1:2" x14ac:dyDescent="0.3">
      <c r="A3382" s="644"/>
      <c r="B3382" s="645"/>
    </row>
    <row r="3383" spans="1:2" x14ac:dyDescent="0.3">
      <c r="A3383" s="644"/>
      <c r="B3383" s="645"/>
    </row>
    <row r="3384" spans="1:2" x14ac:dyDescent="0.3">
      <c r="A3384" s="644"/>
      <c r="B3384" s="645"/>
    </row>
    <row r="3385" spans="1:2" x14ac:dyDescent="0.3">
      <c r="A3385" s="644"/>
      <c r="B3385" s="645"/>
    </row>
    <row r="3386" spans="1:2" x14ac:dyDescent="0.3">
      <c r="A3386" s="644"/>
      <c r="B3386" s="645"/>
    </row>
    <row r="3387" spans="1:2" x14ac:dyDescent="0.3">
      <c r="A3387" s="644"/>
      <c r="B3387" s="645"/>
    </row>
    <row r="3388" spans="1:2" x14ac:dyDescent="0.3">
      <c r="A3388" s="644"/>
      <c r="B3388" s="645"/>
    </row>
    <row r="3389" spans="1:2" x14ac:dyDescent="0.3">
      <c r="A3389" s="644"/>
      <c r="B3389" s="645"/>
    </row>
    <row r="3390" spans="1:2" x14ac:dyDescent="0.3">
      <c r="A3390" s="644"/>
      <c r="B3390" s="645"/>
    </row>
    <row r="3391" spans="1:2" x14ac:dyDescent="0.3">
      <c r="A3391" s="644"/>
      <c r="B3391" s="645"/>
    </row>
    <row r="3392" spans="1:2" x14ac:dyDescent="0.3">
      <c r="A3392" s="644"/>
      <c r="B3392" s="645"/>
    </row>
    <row r="3393" spans="1:2" x14ac:dyDescent="0.3">
      <c r="A3393" s="644"/>
      <c r="B3393" s="645"/>
    </row>
    <row r="3394" spans="1:2" x14ac:dyDescent="0.3">
      <c r="A3394" s="644"/>
      <c r="B3394" s="645"/>
    </row>
    <row r="3395" spans="1:2" x14ac:dyDescent="0.3">
      <c r="A3395" s="644"/>
      <c r="B3395" s="645"/>
    </row>
    <row r="3396" spans="1:2" x14ac:dyDescent="0.3">
      <c r="A3396" s="644"/>
      <c r="B3396" s="645"/>
    </row>
    <row r="3397" spans="1:2" x14ac:dyDescent="0.3">
      <c r="A3397" s="644"/>
      <c r="B3397" s="645"/>
    </row>
    <row r="3398" spans="1:2" x14ac:dyDescent="0.3">
      <c r="A3398" s="644"/>
      <c r="B3398" s="645"/>
    </row>
    <row r="3399" spans="1:2" x14ac:dyDescent="0.3">
      <c r="A3399" s="644"/>
      <c r="B3399" s="645"/>
    </row>
    <row r="3400" spans="1:2" x14ac:dyDescent="0.3">
      <c r="A3400" s="644"/>
      <c r="B3400" s="645"/>
    </row>
    <row r="3401" spans="1:2" x14ac:dyDescent="0.3">
      <c r="A3401" s="644"/>
      <c r="B3401" s="645"/>
    </row>
    <row r="3402" spans="1:2" x14ac:dyDescent="0.3">
      <c r="A3402" s="644"/>
      <c r="B3402" s="645"/>
    </row>
    <row r="3403" spans="1:2" x14ac:dyDescent="0.3">
      <c r="A3403" s="644"/>
      <c r="B3403" s="645"/>
    </row>
    <row r="3404" spans="1:2" x14ac:dyDescent="0.3">
      <c r="A3404" s="644"/>
      <c r="B3404" s="645"/>
    </row>
    <row r="3405" spans="1:2" x14ac:dyDescent="0.3">
      <c r="A3405" s="644"/>
      <c r="B3405" s="645"/>
    </row>
    <row r="3406" spans="1:2" x14ac:dyDescent="0.3">
      <c r="A3406" s="644"/>
      <c r="B3406" s="645"/>
    </row>
    <row r="3407" spans="1:2" x14ac:dyDescent="0.3">
      <c r="A3407" s="644"/>
      <c r="B3407" s="645"/>
    </row>
    <row r="3408" spans="1:2" x14ac:dyDescent="0.3">
      <c r="A3408" s="644"/>
      <c r="B3408" s="645"/>
    </row>
    <row r="3409" spans="1:2" x14ac:dyDescent="0.3">
      <c r="A3409" s="644"/>
      <c r="B3409" s="645"/>
    </row>
    <row r="3410" spans="1:2" x14ac:dyDescent="0.3">
      <c r="A3410" s="644"/>
      <c r="B3410" s="645"/>
    </row>
    <row r="3411" spans="1:2" x14ac:dyDescent="0.3">
      <c r="A3411" s="644"/>
      <c r="B3411" s="645"/>
    </row>
    <row r="3412" spans="1:2" x14ac:dyDescent="0.3">
      <c r="A3412" s="644"/>
      <c r="B3412" s="645"/>
    </row>
    <row r="3413" spans="1:2" x14ac:dyDescent="0.3">
      <c r="A3413" s="644"/>
      <c r="B3413" s="645"/>
    </row>
    <row r="3414" spans="1:2" x14ac:dyDescent="0.3">
      <c r="A3414" s="644"/>
      <c r="B3414" s="645"/>
    </row>
    <row r="3415" spans="1:2" x14ac:dyDescent="0.3">
      <c r="A3415" s="644"/>
      <c r="B3415" s="645"/>
    </row>
    <row r="3416" spans="1:2" x14ac:dyDescent="0.3">
      <c r="A3416" s="644"/>
      <c r="B3416" s="645"/>
    </row>
    <row r="3417" spans="1:2" x14ac:dyDescent="0.3">
      <c r="A3417" s="644"/>
      <c r="B3417" s="645"/>
    </row>
    <row r="3418" spans="1:2" x14ac:dyDescent="0.3">
      <c r="A3418" s="644"/>
      <c r="B3418" s="645"/>
    </row>
    <row r="3419" spans="1:2" x14ac:dyDescent="0.3">
      <c r="A3419" s="644"/>
      <c r="B3419" s="645"/>
    </row>
    <row r="3420" spans="1:2" x14ac:dyDescent="0.3">
      <c r="A3420" s="644"/>
      <c r="B3420" s="645"/>
    </row>
    <row r="3421" spans="1:2" x14ac:dyDescent="0.3">
      <c r="A3421" s="644"/>
      <c r="B3421" s="645"/>
    </row>
    <row r="3422" spans="1:2" x14ac:dyDescent="0.3">
      <c r="A3422" s="644"/>
      <c r="B3422" s="645"/>
    </row>
    <row r="3423" spans="1:2" x14ac:dyDescent="0.3">
      <c r="A3423" s="644"/>
      <c r="B3423" s="645"/>
    </row>
    <row r="3424" spans="1:2" x14ac:dyDescent="0.3">
      <c r="A3424" s="644"/>
      <c r="B3424" s="645"/>
    </row>
    <row r="3425" spans="1:2" x14ac:dyDescent="0.3">
      <c r="A3425" s="644"/>
      <c r="B3425" s="645"/>
    </row>
    <row r="3426" spans="1:2" x14ac:dyDescent="0.3">
      <c r="A3426" s="644"/>
      <c r="B3426" s="645"/>
    </row>
    <row r="3427" spans="1:2" x14ac:dyDescent="0.3">
      <c r="A3427" s="644"/>
      <c r="B3427" s="645"/>
    </row>
    <row r="3428" spans="1:2" x14ac:dyDescent="0.3">
      <c r="A3428" s="644"/>
      <c r="B3428" s="645"/>
    </row>
    <row r="3429" spans="1:2" x14ac:dyDescent="0.3">
      <c r="A3429" s="644"/>
      <c r="B3429" s="645"/>
    </row>
    <row r="3430" spans="1:2" x14ac:dyDescent="0.3">
      <c r="A3430" s="644"/>
      <c r="B3430" s="645"/>
    </row>
    <row r="3431" spans="1:2" x14ac:dyDescent="0.3">
      <c r="A3431" s="644"/>
      <c r="B3431" s="645"/>
    </row>
    <row r="3432" spans="1:2" x14ac:dyDescent="0.3">
      <c r="A3432" s="644"/>
      <c r="B3432" s="645"/>
    </row>
    <row r="3433" spans="1:2" x14ac:dyDescent="0.3">
      <c r="A3433" s="644"/>
      <c r="B3433" s="645"/>
    </row>
    <row r="3434" spans="1:2" x14ac:dyDescent="0.3">
      <c r="A3434" s="644"/>
      <c r="B3434" s="645"/>
    </row>
    <row r="3435" spans="1:2" x14ac:dyDescent="0.3">
      <c r="A3435" s="644"/>
      <c r="B3435" s="645"/>
    </row>
    <row r="3436" spans="1:2" x14ac:dyDescent="0.3">
      <c r="A3436" s="644"/>
      <c r="B3436" s="645"/>
    </row>
    <row r="3437" spans="1:2" x14ac:dyDescent="0.3">
      <c r="A3437" s="644"/>
      <c r="B3437" s="645"/>
    </row>
    <row r="3438" spans="1:2" x14ac:dyDescent="0.3">
      <c r="A3438" s="644"/>
      <c r="B3438" s="645"/>
    </row>
    <row r="3439" spans="1:2" x14ac:dyDescent="0.3">
      <c r="A3439" s="644"/>
      <c r="B3439" s="645"/>
    </row>
    <row r="3440" spans="1:2" x14ac:dyDescent="0.3">
      <c r="A3440" s="644"/>
      <c r="B3440" s="645"/>
    </row>
    <row r="3441" spans="1:2" x14ac:dyDescent="0.3">
      <c r="A3441" s="644"/>
      <c r="B3441" s="645"/>
    </row>
    <row r="3442" spans="1:2" x14ac:dyDescent="0.3">
      <c r="A3442" s="644"/>
      <c r="B3442" s="645"/>
    </row>
    <row r="3443" spans="1:2" x14ac:dyDescent="0.3">
      <c r="A3443" s="644"/>
      <c r="B3443" s="645"/>
    </row>
    <row r="3444" spans="1:2" x14ac:dyDescent="0.3">
      <c r="A3444" s="644"/>
      <c r="B3444" s="645"/>
    </row>
    <row r="3445" spans="1:2" x14ac:dyDescent="0.3">
      <c r="A3445" s="644"/>
      <c r="B3445" s="645"/>
    </row>
    <row r="3446" spans="1:2" x14ac:dyDescent="0.3">
      <c r="A3446" s="644"/>
      <c r="B3446" s="645"/>
    </row>
    <row r="3447" spans="1:2" x14ac:dyDescent="0.3">
      <c r="A3447" s="644"/>
      <c r="B3447" s="645"/>
    </row>
    <row r="3448" spans="1:2" x14ac:dyDescent="0.3">
      <c r="A3448" s="644"/>
      <c r="B3448" s="645"/>
    </row>
    <row r="3449" spans="1:2" x14ac:dyDescent="0.3">
      <c r="A3449" s="644"/>
      <c r="B3449" s="645"/>
    </row>
    <row r="3450" spans="1:2" x14ac:dyDescent="0.3">
      <c r="A3450" s="644"/>
      <c r="B3450" s="645"/>
    </row>
    <row r="3451" spans="1:2" x14ac:dyDescent="0.3">
      <c r="A3451" s="644"/>
      <c r="B3451" s="645"/>
    </row>
    <row r="3452" spans="1:2" x14ac:dyDescent="0.3">
      <c r="A3452" s="644"/>
      <c r="B3452" s="645"/>
    </row>
    <row r="3453" spans="1:2" x14ac:dyDescent="0.3">
      <c r="A3453" s="644"/>
      <c r="B3453" s="645"/>
    </row>
    <row r="3454" spans="1:2" x14ac:dyDescent="0.3">
      <c r="A3454" s="644"/>
      <c r="B3454" s="645"/>
    </row>
    <row r="3455" spans="1:2" x14ac:dyDescent="0.3">
      <c r="A3455" s="644"/>
      <c r="B3455" s="645"/>
    </row>
    <row r="3456" spans="1:2" x14ac:dyDescent="0.3">
      <c r="A3456" s="644"/>
      <c r="B3456" s="645"/>
    </row>
    <row r="3457" spans="1:2" x14ac:dyDescent="0.3">
      <c r="A3457" s="644"/>
      <c r="B3457" s="645"/>
    </row>
    <row r="3458" spans="1:2" x14ac:dyDescent="0.3">
      <c r="A3458" s="644"/>
      <c r="B3458" s="645"/>
    </row>
    <row r="3459" spans="1:2" x14ac:dyDescent="0.3">
      <c r="A3459" s="644"/>
      <c r="B3459" s="645"/>
    </row>
    <row r="3460" spans="1:2" x14ac:dyDescent="0.3">
      <c r="A3460" s="644"/>
      <c r="B3460" s="645"/>
    </row>
    <row r="3461" spans="1:2" x14ac:dyDescent="0.3">
      <c r="A3461" s="644"/>
      <c r="B3461" s="645"/>
    </row>
    <row r="3462" spans="1:2" x14ac:dyDescent="0.3">
      <c r="A3462" s="644"/>
      <c r="B3462" s="645"/>
    </row>
    <row r="3463" spans="1:2" x14ac:dyDescent="0.3">
      <c r="A3463" s="644"/>
      <c r="B3463" s="645"/>
    </row>
    <row r="3464" spans="1:2" x14ac:dyDescent="0.3">
      <c r="A3464" s="644"/>
      <c r="B3464" s="645"/>
    </row>
    <row r="3465" spans="1:2" x14ac:dyDescent="0.3">
      <c r="A3465" s="644"/>
      <c r="B3465" s="645"/>
    </row>
    <row r="3466" spans="1:2" x14ac:dyDescent="0.3">
      <c r="A3466" s="644"/>
      <c r="B3466" s="645"/>
    </row>
    <row r="3467" spans="1:2" x14ac:dyDescent="0.3">
      <c r="A3467" s="644"/>
      <c r="B3467" s="645"/>
    </row>
    <row r="3468" spans="1:2" x14ac:dyDescent="0.3">
      <c r="A3468" s="644"/>
      <c r="B3468" s="645"/>
    </row>
    <row r="3469" spans="1:2" x14ac:dyDescent="0.3">
      <c r="A3469" s="644"/>
      <c r="B3469" s="645"/>
    </row>
    <row r="3470" spans="1:2" x14ac:dyDescent="0.3">
      <c r="A3470" s="644"/>
      <c r="B3470" s="645"/>
    </row>
    <row r="3471" spans="1:2" x14ac:dyDescent="0.3">
      <c r="A3471" s="644"/>
      <c r="B3471" s="645"/>
    </row>
    <row r="3472" spans="1:2" x14ac:dyDescent="0.3">
      <c r="A3472" s="644"/>
      <c r="B3472" s="645"/>
    </row>
    <row r="3473" spans="1:2" x14ac:dyDescent="0.3">
      <c r="A3473" s="644"/>
      <c r="B3473" s="645"/>
    </row>
    <row r="3474" spans="1:2" x14ac:dyDescent="0.3">
      <c r="A3474" s="644"/>
      <c r="B3474" s="645"/>
    </row>
    <row r="3475" spans="1:2" x14ac:dyDescent="0.3">
      <c r="A3475" s="644"/>
      <c r="B3475" s="645"/>
    </row>
    <row r="3476" spans="1:2" x14ac:dyDescent="0.3">
      <c r="A3476" s="644"/>
      <c r="B3476" s="645"/>
    </row>
    <row r="3477" spans="1:2" x14ac:dyDescent="0.3">
      <c r="A3477" s="644"/>
      <c r="B3477" s="645"/>
    </row>
    <row r="3478" spans="1:2" x14ac:dyDescent="0.3">
      <c r="A3478" s="644"/>
      <c r="B3478" s="645"/>
    </row>
    <row r="3479" spans="1:2" x14ac:dyDescent="0.3">
      <c r="A3479" s="644"/>
      <c r="B3479" s="645"/>
    </row>
    <row r="3480" spans="1:2" x14ac:dyDescent="0.3">
      <c r="A3480" s="644"/>
      <c r="B3480" s="645"/>
    </row>
    <row r="3481" spans="1:2" x14ac:dyDescent="0.3">
      <c r="A3481" s="644"/>
      <c r="B3481" s="645"/>
    </row>
    <row r="3482" spans="1:2" x14ac:dyDescent="0.3">
      <c r="A3482" s="644"/>
      <c r="B3482" s="645"/>
    </row>
    <row r="3483" spans="1:2" x14ac:dyDescent="0.3">
      <c r="A3483" s="644"/>
      <c r="B3483" s="645"/>
    </row>
    <row r="3484" spans="1:2" x14ac:dyDescent="0.3">
      <c r="A3484" s="644"/>
      <c r="B3484" s="645"/>
    </row>
    <row r="3485" spans="1:2" x14ac:dyDescent="0.3">
      <c r="A3485" s="644"/>
      <c r="B3485" s="645"/>
    </row>
    <row r="3486" spans="1:2" x14ac:dyDescent="0.3">
      <c r="A3486" s="644"/>
      <c r="B3486" s="645"/>
    </row>
    <row r="3487" spans="1:2" x14ac:dyDescent="0.3">
      <c r="A3487" s="644"/>
      <c r="B3487" s="645"/>
    </row>
    <row r="3488" spans="1:2" x14ac:dyDescent="0.3">
      <c r="A3488" s="644"/>
      <c r="B3488" s="645"/>
    </row>
    <row r="3489" spans="1:2" x14ac:dyDescent="0.3">
      <c r="A3489" s="644"/>
      <c r="B3489" s="645"/>
    </row>
    <row r="3490" spans="1:2" x14ac:dyDescent="0.3">
      <c r="A3490" s="644"/>
      <c r="B3490" s="645"/>
    </row>
    <row r="3491" spans="1:2" x14ac:dyDescent="0.3">
      <c r="A3491" s="644"/>
      <c r="B3491" s="645"/>
    </row>
    <row r="3492" spans="1:2" x14ac:dyDescent="0.3">
      <c r="A3492" s="644"/>
      <c r="B3492" s="645"/>
    </row>
    <row r="3493" spans="1:2" x14ac:dyDescent="0.3">
      <c r="A3493" s="644"/>
      <c r="B3493" s="645"/>
    </row>
    <row r="3494" spans="1:2" x14ac:dyDescent="0.3">
      <c r="A3494" s="644"/>
      <c r="B3494" s="645"/>
    </row>
    <row r="3495" spans="1:2" x14ac:dyDescent="0.3">
      <c r="A3495" s="644"/>
      <c r="B3495" s="645"/>
    </row>
    <row r="3496" spans="1:2" x14ac:dyDescent="0.3">
      <c r="A3496" s="644"/>
      <c r="B3496" s="645"/>
    </row>
    <row r="3497" spans="1:2" x14ac:dyDescent="0.3">
      <c r="A3497" s="644"/>
      <c r="B3497" s="645"/>
    </row>
    <row r="3498" spans="1:2" x14ac:dyDescent="0.3">
      <c r="A3498" s="644"/>
      <c r="B3498" s="645"/>
    </row>
    <row r="3499" spans="1:2" x14ac:dyDescent="0.3">
      <c r="A3499" s="644"/>
      <c r="B3499" s="645"/>
    </row>
    <row r="3500" spans="1:2" x14ac:dyDescent="0.3">
      <c r="A3500" s="644"/>
      <c r="B3500" s="645"/>
    </row>
    <row r="3501" spans="1:2" x14ac:dyDescent="0.3">
      <c r="A3501" s="644"/>
      <c r="B3501" s="645"/>
    </row>
    <row r="3502" spans="1:2" x14ac:dyDescent="0.3">
      <c r="A3502" s="644"/>
      <c r="B3502" s="645"/>
    </row>
    <row r="3503" spans="1:2" x14ac:dyDescent="0.3">
      <c r="A3503" s="644"/>
      <c r="B3503" s="645"/>
    </row>
    <row r="3504" spans="1:2" x14ac:dyDescent="0.3">
      <c r="A3504" s="644"/>
      <c r="B3504" s="645"/>
    </row>
    <row r="3505" spans="1:2" x14ac:dyDescent="0.3">
      <c r="A3505" s="644"/>
      <c r="B3505" s="645"/>
    </row>
    <row r="3506" spans="1:2" x14ac:dyDescent="0.3">
      <c r="A3506" s="644"/>
      <c r="B3506" s="645"/>
    </row>
    <row r="3507" spans="1:2" x14ac:dyDescent="0.3">
      <c r="A3507" s="644"/>
      <c r="B3507" s="645"/>
    </row>
    <row r="3508" spans="1:2" x14ac:dyDescent="0.3">
      <c r="A3508" s="644"/>
      <c r="B3508" s="645"/>
    </row>
    <row r="3509" spans="1:2" x14ac:dyDescent="0.3">
      <c r="A3509" s="644"/>
      <c r="B3509" s="645"/>
    </row>
    <row r="3510" spans="1:2" x14ac:dyDescent="0.3">
      <c r="A3510" s="644"/>
      <c r="B3510" s="645"/>
    </row>
    <row r="3511" spans="1:2" x14ac:dyDescent="0.3">
      <c r="A3511" s="644"/>
      <c r="B3511" s="645"/>
    </row>
    <row r="3512" spans="1:2" x14ac:dyDescent="0.3">
      <c r="A3512" s="644"/>
      <c r="B3512" s="645"/>
    </row>
    <row r="3513" spans="1:2" x14ac:dyDescent="0.3">
      <c r="A3513" s="644"/>
      <c r="B3513" s="645"/>
    </row>
    <row r="3514" spans="1:2" x14ac:dyDescent="0.3">
      <c r="A3514" s="644"/>
      <c r="B3514" s="645"/>
    </row>
    <row r="3515" spans="1:2" x14ac:dyDescent="0.3">
      <c r="A3515" s="644"/>
      <c r="B3515" s="645"/>
    </row>
    <row r="3516" spans="1:2" x14ac:dyDescent="0.3">
      <c r="A3516" s="644"/>
      <c r="B3516" s="645"/>
    </row>
    <row r="3517" spans="1:2" x14ac:dyDescent="0.3">
      <c r="A3517" s="644"/>
      <c r="B3517" s="645"/>
    </row>
    <row r="3518" spans="1:2" x14ac:dyDescent="0.3">
      <c r="A3518" s="644"/>
      <c r="B3518" s="645"/>
    </row>
    <row r="3519" spans="1:2" x14ac:dyDescent="0.3">
      <c r="A3519" s="644"/>
      <c r="B3519" s="645"/>
    </row>
    <row r="3520" spans="1:2" x14ac:dyDescent="0.3">
      <c r="A3520" s="644"/>
      <c r="B3520" s="645"/>
    </row>
    <row r="3521" spans="1:2" x14ac:dyDescent="0.3">
      <c r="A3521" s="644"/>
      <c r="B3521" s="645"/>
    </row>
    <row r="3522" spans="1:2" x14ac:dyDescent="0.3">
      <c r="A3522" s="644"/>
      <c r="B3522" s="645"/>
    </row>
    <row r="3523" spans="1:2" x14ac:dyDescent="0.3">
      <c r="A3523" s="644"/>
      <c r="B3523" s="645"/>
    </row>
    <row r="3524" spans="1:2" x14ac:dyDescent="0.3">
      <c r="A3524" s="644"/>
      <c r="B3524" s="645"/>
    </row>
    <row r="3525" spans="1:2" x14ac:dyDescent="0.3">
      <c r="A3525" s="644"/>
      <c r="B3525" s="645"/>
    </row>
    <row r="3526" spans="1:2" x14ac:dyDescent="0.3">
      <c r="A3526" s="644"/>
      <c r="B3526" s="645"/>
    </row>
    <row r="3527" spans="1:2" x14ac:dyDescent="0.3">
      <c r="A3527" s="644"/>
      <c r="B3527" s="645"/>
    </row>
    <row r="3528" spans="1:2" x14ac:dyDescent="0.3">
      <c r="A3528" s="644"/>
      <c r="B3528" s="645"/>
    </row>
    <row r="3529" spans="1:2" x14ac:dyDescent="0.3">
      <c r="A3529" s="644"/>
      <c r="B3529" s="645"/>
    </row>
    <row r="3530" spans="1:2" x14ac:dyDescent="0.3">
      <c r="A3530" s="644"/>
      <c r="B3530" s="645"/>
    </row>
    <row r="3531" spans="1:2" x14ac:dyDescent="0.3">
      <c r="A3531" s="644"/>
      <c r="B3531" s="645"/>
    </row>
    <row r="3532" spans="1:2" x14ac:dyDescent="0.3">
      <c r="A3532" s="644"/>
      <c r="B3532" s="645"/>
    </row>
    <row r="3533" spans="1:2" x14ac:dyDescent="0.3">
      <c r="A3533" s="644"/>
      <c r="B3533" s="645"/>
    </row>
    <row r="3534" spans="1:2" x14ac:dyDescent="0.3">
      <c r="A3534" s="644"/>
      <c r="B3534" s="645"/>
    </row>
    <row r="3535" spans="1:2" x14ac:dyDescent="0.3">
      <c r="A3535" s="644"/>
      <c r="B3535" s="645"/>
    </row>
    <row r="3536" spans="1:2" x14ac:dyDescent="0.3">
      <c r="A3536" s="644"/>
      <c r="B3536" s="645"/>
    </row>
    <row r="3537" spans="1:2" x14ac:dyDescent="0.3">
      <c r="A3537" s="644"/>
      <c r="B3537" s="645"/>
    </row>
    <row r="3538" spans="1:2" x14ac:dyDescent="0.3">
      <c r="A3538" s="644"/>
      <c r="B3538" s="645"/>
    </row>
    <row r="3539" spans="1:2" x14ac:dyDescent="0.3">
      <c r="A3539" s="644"/>
      <c r="B3539" s="645"/>
    </row>
    <row r="3540" spans="1:2" x14ac:dyDescent="0.3">
      <c r="A3540" s="644"/>
      <c r="B3540" s="645"/>
    </row>
    <row r="3541" spans="1:2" x14ac:dyDescent="0.3">
      <c r="A3541" s="644"/>
      <c r="B3541" s="645"/>
    </row>
    <row r="3542" spans="1:2" x14ac:dyDescent="0.3">
      <c r="A3542" s="644"/>
      <c r="B3542" s="645"/>
    </row>
    <row r="3543" spans="1:2" x14ac:dyDescent="0.3">
      <c r="A3543" s="644"/>
      <c r="B3543" s="645"/>
    </row>
    <row r="3544" spans="1:2" x14ac:dyDescent="0.3">
      <c r="A3544" s="644"/>
      <c r="B3544" s="645"/>
    </row>
    <row r="3545" spans="1:2" x14ac:dyDescent="0.3">
      <c r="A3545" s="644"/>
      <c r="B3545" s="645"/>
    </row>
    <row r="3546" spans="1:2" x14ac:dyDescent="0.3">
      <c r="A3546" s="644"/>
      <c r="B3546" s="645"/>
    </row>
    <row r="3547" spans="1:2" x14ac:dyDescent="0.3">
      <c r="A3547" s="644"/>
      <c r="B3547" s="645"/>
    </row>
    <row r="3548" spans="1:2" x14ac:dyDescent="0.3">
      <c r="A3548" s="644"/>
      <c r="B3548" s="645"/>
    </row>
    <row r="3549" spans="1:2" x14ac:dyDescent="0.3">
      <c r="A3549" s="644"/>
      <c r="B3549" s="645"/>
    </row>
    <row r="3550" spans="1:2" x14ac:dyDescent="0.3">
      <c r="A3550" s="644"/>
      <c r="B3550" s="645"/>
    </row>
    <row r="3551" spans="1:2" x14ac:dyDescent="0.3">
      <c r="A3551" s="644"/>
      <c r="B3551" s="645"/>
    </row>
    <row r="3552" spans="1:2" x14ac:dyDescent="0.3">
      <c r="A3552" s="644"/>
      <c r="B3552" s="645"/>
    </row>
    <row r="3553" spans="1:2" x14ac:dyDescent="0.3">
      <c r="A3553" s="644"/>
      <c r="B3553" s="645"/>
    </row>
    <row r="3554" spans="1:2" x14ac:dyDescent="0.3">
      <c r="A3554" s="644"/>
      <c r="B3554" s="645"/>
    </row>
    <row r="3555" spans="1:2" x14ac:dyDescent="0.3">
      <c r="A3555" s="644"/>
      <c r="B3555" s="645"/>
    </row>
    <row r="3556" spans="1:2" x14ac:dyDescent="0.3">
      <c r="A3556" s="644"/>
      <c r="B3556" s="645"/>
    </row>
    <row r="3557" spans="1:2" x14ac:dyDescent="0.3">
      <c r="A3557" s="644"/>
      <c r="B3557" s="645"/>
    </row>
    <row r="3558" spans="1:2" x14ac:dyDescent="0.3">
      <c r="A3558" s="644"/>
      <c r="B3558" s="645"/>
    </row>
    <row r="3559" spans="1:2" x14ac:dyDescent="0.3">
      <c r="A3559" s="644"/>
      <c r="B3559" s="645"/>
    </row>
    <row r="3560" spans="1:2" x14ac:dyDescent="0.3">
      <c r="A3560" s="644"/>
      <c r="B3560" s="645"/>
    </row>
    <row r="3561" spans="1:2" x14ac:dyDescent="0.3">
      <c r="A3561" s="644"/>
      <c r="B3561" s="645"/>
    </row>
    <row r="3562" spans="1:2" x14ac:dyDescent="0.3">
      <c r="A3562" s="644"/>
      <c r="B3562" s="645"/>
    </row>
    <row r="3563" spans="1:2" x14ac:dyDescent="0.3">
      <c r="A3563" s="644"/>
      <c r="B3563" s="645"/>
    </row>
    <row r="3564" spans="1:2" x14ac:dyDescent="0.3">
      <c r="A3564" s="644"/>
      <c r="B3564" s="645"/>
    </row>
    <row r="3565" spans="1:2" x14ac:dyDescent="0.3">
      <c r="A3565" s="644"/>
      <c r="B3565" s="645"/>
    </row>
    <row r="3566" spans="1:2" x14ac:dyDescent="0.3">
      <c r="A3566" s="644"/>
      <c r="B3566" s="645"/>
    </row>
    <row r="3567" spans="1:2" x14ac:dyDescent="0.3">
      <c r="A3567" s="644"/>
      <c r="B3567" s="645"/>
    </row>
    <row r="3568" spans="1:2" x14ac:dyDescent="0.3">
      <c r="A3568" s="644"/>
      <c r="B3568" s="645"/>
    </row>
    <row r="3569" spans="1:2" x14ac:dyDescent="0.3">
      <c r="A3569" s="644"/>
      <c r="B3569" s="645"/>
    </row>
    <row r="3570" spans="1:2" x14ac:dyDescent="0.3">
      <c r="A3570" s="644"/>
      <c r="B3570" s="645"/>
    </row>
    <row r="3571" spans="1:2" x14ac:dyDescent="0.3">
      <c r="A3571" s="644"/>
      <c r="B3571" s="645"/>
    </row>
    <row r="3572" spans="1:2" x14ac:dyDescent="0.3">
      <c r="A3572" s="644"/>
      <c r="B3572" s="645"/>
    </row>
    <row r="3573" spans="1:2" x14ac:dyDescent="0.3">
      <c r="A3573" s="644"/>
      <c r="B3573" s="645"/>
    </row>
    <row r="3574" spans="1:2" x14ac:dyDescent="0.3">
      <c r="A3574" s="644"/>
      <c r="B3574" s="645"/>
    </row>
    <row r="3575" spans="1:2" x14ac:dyDescent="0.3">
      <c r="A3575" s="644"/>
      <c r="B3575" s="645"/>
    </row>
    <row r="3576" spans="1:2" x14ac:dyDescent="0.3">
      <c r="A3576" s="644"/>
      <c r="B3576" s="645"/>
    </row>
    <row r="3577" spans="1:2" x14ac:dyDescent="0.3">
      <c r="A3577" s="644"/>
      <c r="B3577" s="645"/>
    </row>
    <row r="3578" spans="1:2" x14ac:dyDescent="0.3">
      <c r="A3578" s="644"/>
      <c r="B3578" s="645"/>
    </row>
    <row r="3579" spans="1:2" x14ac:dyDescent="0.3">
      <c r="A3579" s="644"/>
      <c r="B3579" s="645"/>
    </row>
    <row r="3580" spans="1:2" x14ac:dyDescent="0.3">
      <c r="A3580" s="644"/>
      <c r="B3580" s="645"/>
    </row>
    <row r="3581" spans="1:2" x14ac:dyDescent="0.3">
      <c r="A3581" s="644"/>
      <c r="B3581" s="645"/>
    </row>
    <row r="3582" spans="1:2" x14ac:dyDescent="0.3">
      <c r="A3582" s="644"/>
      <c r="B3582" s="645"/>
    </row>
    <row r="3583" spans="1:2" x14ac:dyDescent="0.3">
      <c r="A3583" s="644"/>
      <c r="B3583" s="645"/>
    </row>
    <row r="3584" spans="1:2" x14ac:dyDescent="0.3">
      <c r="A3584" s="644"/>
      <c r="B3584" s="645"/>
    </row>
    <row r="3585" spans="1:2" x14ac:dyDescent="0.3">
      <c r="A3585" s="644"/>
      <c r="B3585" s="645"/>
    </row>
    <row r="3586" spans="1:2" x14ac:dyDescent="0.3">
      <c r="A3586" s="644"/>
      <c r="B3586" s="645"/>
    </row>
    <row r="3587" spans="1:2" x14ac:dyDescent="0.3">
      <c r="A3587" s="644"/>
      <c r="B3587" s="645"/>
    </row>
    <row r="3588" spans="1:2" x14ac:dyDescent="0.3">
      <c r="A3588" s="644"/>
      <c r="B3588" s="645"/>
    </row>
    <row r="3589" spans="1:2" x14ac:dyDescent="0.3">
      <c r="A3589" s="644"/>
      <c r="B3589" s="645"/>
    </row>
    <row r="3590" spans="1:2" x14ac:dyDescent="0.3">
      <c r="A3590" s="644"/>
      <c r="B3590" s="645"/>
    </row>
    <row r="3591" spans="1:2" x14ac:dyDescent="0.3">
      <c r="A3591" s="644"/>
      <c r="B3591" s="645"/>
    </row>
    <row r="3592" spans="1:2" x14ac:dyDescent="0.3">
      <c r="A3592" s="644"/>
      <c r="B3592" s="645"/>
    </row>
    <row r="3593" spans="1:2" x14ac:dyDescent="0.3">
      <c r="A3593" s="644"/>
      <c r="B3593" s="645"/>
    </row>
    <row r="3594" spans="1:2" x14ac:dyDescent="0.3">
      <c r="A3594" s="644"/>
      <c r="B3594" s="645"/>
    </row>
    <row r="3595" spans="1:2" x14ac:dyDescent="0.3">
      <c r="A3595" s="644"/>
      <c r="B3595" s="645"/>
    </row>
    <row r="3596" spans="1:2" x14ac:dyDescent="0.3">
      <c r="A3596" s="644"/>
      <c r="B3596" s="645"/>
    </row>
    <row r="3597" spans="1:2" x14ac:dyDescent="0.3">
      <c r="A3597" s="644"/>
      <c r="B3597" s="645"/>
    </row>
    <row r="3598" spans="1:2" x14ac:dyDescent="0.3">
      <c r="A3598" s="644"/>
      <c r="B3598" s="645"/>
    </row>
    <row r="3599" spans="1:2" x14ac:dyDescent="0.3">
      <c r="A3599" s="644"/>
      <c r="B3599" s="645"/>
    </row>
    <row r="3600" spans="1:2" x14ac:dyDescent="0.3">
      <c r="A3600" s="644"/>
      <c r="B3600" s="645"/>
    </row>
    <row r="3601" spans="1:2" x14ac:dyDescent="0.3">
      <c r="A3601" s="644"/>
      <c r="B3601" s="645"/>
    </row>
    <row r="3602" spans="1:2" x14ac:dyDescent="0.3">
      <c r="A3602" s="644"/>
      <c r="B3602" s="645"/>
    </row>
    <row r="3603" spans="1:2" x14ac:dyDescent="0.3">
      <c r="A3603" s="644"/>
      <c r="B3603" s="645"/>
    </row>
    <row r="3604" spans="1:2" x14ac:dyDescent="0.3">
      <c r="A3604" s="644"/>
      <c r="B3604" s="645"/>
    </row>
    <row r="3605" spans="1:2" x14ac:dyDescent="0.3">
      <c r="A3605" s="644"/>
      <c r="B3605" s="645"/>
    </row>
    <row r="3606" spans="1:2" x14ac:dyDescent="0.3">
      <c r="A3606" s="644"/>
      <c r="B3606" s="645"/>
    </row>
    <row r="3607" spans="1:2" x14ac:dyDescent="0.3">
      <c r="A3607" s="644"/>
      <c r="B3607" s="645"/>
    </row>
    <row r="3608" spans="1:2" x14ac:dyDescent="0.3">
      <c r="A3608" s="644"/>
      <c r="B3608" s="645"/>
    </row>
    <row r="3609" spans="1:2" x14ac:dyDescent="0.3">
      <c r="A3609" s="644"/>
      <c r="B3609" s="645"/>
    </row>
    <row r="3610" spans="1:2" x14ac:dyDescent="0.3">
      <c r="A3610" s="644"/>
      <c r="B3610" s="645"/>
    </row>
    <row r="3611" spans="1:2" x14ac:dyDescent="0.3">
      <c r="A3611" s="644"/>
      <c r="B3611" s="645"/>
    </row>
    <row r="3612" spans="1:2" x14ac:dyDescent="0.3">
      <c r="A3612" s="644"/>
      <c r="B3612" s="645"/>
    </row>
    <row r="3613" spans="1:2" x14ac:dyDescent="0.3">
      <c r="A3613" s="644"/>
      <c r="B3613" s="645"/>
    </row>
    <row r="3614" spans="1:2" x14ac:dyDescent="0.3">
      <c r="A3614" s="644"/>
      <c r="B3614" s="645"/>
    </row>
    <row r="3615" spans="1:2" x14ac:dyDescent="0.3">
      <c r="A3615" s="644"/>
      <c r="B3615" s="645"/>
    </row>
    <row r="3616" spans="1:2" x14ac:dyDescent="0.3">
      <c r="A3616" s="644"/>
      <c r="B3616" s="645"/>
    </row>
    <row r="3617" spans="1:2" x14ac:dyDescent="0.3">
      <c r="A3617" s="644"/>
      <c r="B3617" s="645"/>
    </row>
    <row r="3618" spans="1:2" x14ac:dyDescent="0.3">
      <c r="A3618" s="644"/>
      <c r="B3618" s="645"/>
    </row>
    <row r="3619" spans="1:2" x14ac:dyDescent="0.3">
      <c r="A3619" s="644"/>
      <c r="B3619" s="645"/>
    </row>
    <row r="3620" spans="1:2" x14ac:dyDescent="0.3">
      <c r="A3620" s="644"/>
      <c r="B3620" s="645"/>
    </row>
    <row r="3621" spans="1:2" x14ac:dyDescent="0.3">
      <c r="A3621" s="644"/>
      <c r="B3621" s="645"/>
    </row>
    <row r="3622" spans="1:2" x14ac:dyDescent="0.3">
      <c r="A3622" s="644"/>
      <c r="B3622" s="645"/>
    </row>
    <row r="3623" spans="1:2" x14ac:dyDescent="0.3">
      <c r="A3623" s="644"/>
      <c r="B3623" s="645"/>
    </row>
    <row r="3624" spans="1:2" x14ac:dyDescent="0.3">
      <c r="A3624" s="644"/>
      <c r="B3624" s="645"/>
    </row>
    <row r="3625" spans="1:2" x14ac:dyDescent="0.3">
      <c r="A3625" s="644"/>
      <c r="B3625" s="645"/>
    </row>
    <row r="3626" spans="1:2" x14ac:dyDescent="0.3">
      <c r="A3626" s="644"/>
      <c r="B3626" s="645"/>
    </row>
    <row r="3627" spans="1:2" x14ac:dyDescent="0.3">
      <c r="A3627" s="644"/>
      <c r="B3627" s="645"/>
    </row>
    <row r="3628" spans="1:2" x14ac:dyDescent="0.3">
      <c r="A3628" s="644"/>
      <c r="B3628" s="645"/>
    </row>
    <row r="3629" spans="1:2" x14ac:dyDescent="0.3">
      <c r="A3629" s="644"/>
      <c r="B3629" s="645"/>
    </row>
    <row r="3630" spans="1:2" x14ac:dyDescent="0.3">
      <c r="A3630" s="644"/>
      <c r="B3630" s="645"/>
    </row>
    <row r="3631" spans="1:2" x14ac:dyDescent="0.3">
      <c r="A3631" s="644"/>
      <c r="B3631" s="645"/>
    </row>
    <row r="3632" spans="1:2" x14ac:dyDescent="0.3">
      <c r="A3632" s="644"/>
      <c r="B3632" s="645"/>
    </row>
    <row r="3633" spans="1:2" x14ac:dyDescent="0.3">
      <c r="A3633" s="644"/>
      <c r="B3633" s="645"/>
    </row>
    <row r="3634" spans="1:2" x14ac:dyDescent="0.3">
      <c r="A3634" s="644"/>
      <c r="B3634" s="645"/>
    </row>
    <row r="3635" spans="1:2" x14ac:dyDescent="0.3">
      <c r="A3635" s="644"/>
      <c r="B3635" s="645"/>
    </row>
    <row r="3636" spans="1:2" x14ac:dyDescent="0.3">
      <c r="A3636" s="644"/>
      <c r="B3636" s="645"/>
    </row>
    <row r="3637" spans="1:2" x14ac:dyDescent="0.3">
      <c r="A3637" s="644"/>
      <c r="B3637" s="645"/>
    </row>
    <row r="3638" spans="1:2" x14ac:dyDescent="0.3">
      <c r="A3638" s="644"/>
      <c r="B3638" s="645"/>
    </row>
    <row r="3639" spans="1:2" x14ac:dyDescent="0.3">
      <c r="A3639" s="644"/>
      <c r="B3639" s="645"/>
    </row>
    <row r="3640" spans="1:2" x14ac:dyDescent="0.3">
      <c r="A3640" s="644"/>
      <c r="B3640" s="645"/>
    </row>
    <row r="3641" spans="1:2" x14ac:dyDescent="0.3">
      <c r="A3641" s="644"/>
      <c r="B3641" s="645"/>
    </row>
    <row r="3642" spans="1:2" x14ac:dyDescent="0.3">
      <c r="A3642" s="644"/>
      <c r="B3642" s="645"/>
    </row>
    <row r="3643" spans="1:2" x14ac:dyDescent="0.3">
      <c r="A3643" s="644"/>
      <c r="B3643" s="645"/>
    </row>
    <row r="3644" spans="1:2" x14ac:dyDescent="0.3">
      <c r="A3644" s="644"/>
      <c r="B3644" s="645"/>
    </row>
    <row r="3645" spans="1:2" x14ac:dyDescent="0.3">
      <c r="A3645" s="644"/>
      <c r="B3645" s="645"/>
    </row>
    <row r="3646" spans="1:2" x14ac:dyDescent="0.3">
      <c r="A3646" s="644"/>
      <c r="B3646" s="645"/>
    </row>
    <row r="3647" spans="1:2" x14ac:dyDescent="0.3">
      <c r="A3647" s="644"/>
      <c r="B3647" s="645"/>
    </row>
    <row r="3648" spans="1:2" x14ac:dyDescent="0.3">
      <c r="A3648" s="644"/>
      <c r="B3648" s="645"/>
    </row>
    <row r="3649" spans="1:2" x14ac:dyDescent="0.3">
      <c r="A3649" s="644"/>
      <c r="B3649" s="645"/>
    </row>
    <row r="3650" spans="1:2" x14ac:dyDescent="0.3">
      <c r="A3650" s="644"/>
      <c r="B3650" s="645"/>
    </row>
    <row r="3651" spans="1:2" x14ac:dyDescent="0.3">
      <c r="A3651" s="644"/>
      <c r="B3651" s="645"/>
    </row>
    <row r="3652" spans="1:2" x14ac:dyDescent="0.3">
      <c r="A3652" s="644"/>
      <c r="B3652" s="645"/>
    </row>
    <row r="3653" spans="1:2" x14ac:dyDescent="0.3">
      <c r="A3653" s="644"/>
      <c r="B3653" s="645"/>
    </row>
    <row r="3654" spans="1:2" x14ac:dyDescent="0.3">
      <c r="A3654" s="644"/>
      <c r="B3654" s="645"/>
    </row>
    <row r="3655" spans="1:2" x14ac:dyDescent="0.3">
      <c r="A3655" s="644"/>
      <c r="B3655" s="645"/>
    </row>
    <row r="3656" spans="1:2" x14ac:dyDescent="0.3">
      <c r="A3656" s="644"/>
      <c r="B3656" s="645"/>
    </row>
    <row r="3657" spans="1:2" x14ac:dyDescent="0.3">
      <c r="A3657" s="644"/>
      <c r="B3657" s="645"/>
    </row>
    <row r="3658" spans="1:2" x14ac:dyDescent="0.3">
      <c r="A3658" s="644"/>
      <c r="B3658" s="645"/>
    </row>
    <row r="3659" spans="1:2" x14ac:dyDescent="0.3">
      <c r="A3659" s="644"/>
      <c r="B3659" s="645"/>
    </row>
    <row r="3660" spans="1:2" x14ac:dyDescent="0.3">
      <c r="A3660" s="644"/>
      <c r="B3660" s="645"/>
    </row>
    <row r="3661" spans="1:2" x14ac:dyDescent="0.3">
      <c r="A3661" s="644"/>
      <c r="B3661" s="645"/>
    </row>
    <row r="3662" spans="1:2" x14ac:dyDescent="0.3">
      <c r="A3662" s="644"/>
      <c r="B3662" s="645"/>
    </row>
    <row r="3663" spans="1:2" x14ac:dyDescent="0.3">
      <c r="A3663" s="644"/>
      <c r="B3663" s="645"/>
    </row>
    <row r="3664" spans="1:2" x14ac:dyDescent="0.3">
      <c r="A3664" s="644"/>
      <c r="B3664" s="645"/>
    </row>
    <row r="3665" spans="1:2" x14ac:dyDescent="0.3">
      <c r="A3665" s="644"/>
      <c r="B3665" s="645"/>
    </row>
    <row r="3666" spans="1:2" x14ac:dyDescent="0.3">
      <c r="A3666" s="644"/>
      <c r="B3666" s="645"/>
    </row>
    <row r="3667" spans="1:2" x14ac:dyDescent="0.3">
      <c r="A3667" s="644"/>
      <c r="B3667" s="645"/>
    </row>
    <row r="3668" spans="1:2" x14ac:dyDescent="0.3">
      <c r="A3668" s="644"/>
      <c r="B3668" s="645"/>
    </row>
    <row r="3669" spans="1:2" x14ac:dyDescent="0.3">
      <c r="A3669" s="644"/>
      <c r="B3669" s="645"/>
    </row>
    <row r="3670" spans="1:2" x14ac:dyDescent="0.3">
      <c r="A3670" s="644"/>
      <c r="B3670" s="645"/>
    </row>
    <row r="3671" spans="1:2" x14ac:dyDescent="0.3">
      <c r="A3671" s="644"/>
      <c r="B3671" s="645"/>
    </row>
    <row r="3672" spans="1:2" x14ac:dyDescent="0.3">
      <c r="A3672" s="644"/>
      <c r="B3672" s="645"/>
    </row>
    <row r="3673" spans="1:2" x14ac:dyDescent="0.3">
      <c r="A3673" s="644"/>
      <c r="B3673" s="645"/>
    </row>
    <row r="3674" spans="1:2" x14ac:dyDescent="0.3">
      <c r="A3674" s="644"/>
      <c r="B3674" s="645"/>
    </row>
    <row r="3675" spans="1:2" x14ac:dyDescent="0.3">
      <c r="A3675" s="644"/>
      <c r="B3675" s="645"/>
    </row>
    <row r="3676" spans="1:2" x14ac:dyDescent="0.3">
      <c r="A3676" s="644"/>
      <c r="B3676" s="645"/>
    </row>
    <row r="3677" spans="1:2" x14ac:dyDescent="0.3">
      <c r="A3677" s="644"/>
      <c r="B3677" s="645"/>
    </row>
    <row r="3678" spans="1:2" x14ac:dyDescent="0.3">
      <c r="A3678" s="644"/>
      <c r="B3678" s="645"/>
    </row>
    <row r="3679" spans="1:2" x14ac:dyDescent="0.3">
      <c r="A3679" s="644"/>
      <c r="B3679" s="645"/>
    </row>
    <row r="3680" spans="1:2" x14ac:dyDescent="0.3">
      <c r="A3680" s="644"/>
      <c r="B3680" s="645"/>
    </row>
    <row r="3681" spans="1:2" x14ac:dyDescent="0.3">
      <c r="A3681" s="644"/>
      <c r="B3681" s="645"/>
    </row>
    <row r="3682" spans="1:2" x14ac:dyDescent="0.3">
      <c r="A3682" s="644"/>
      <c r="B3682" s="645"/>
    </row>
    <row r="3683" spans="1:2" x14ac:dyDescent="0.3">
      <c r="A3683" s="644"/>
      <c r="B3683" s="645"/>
    </row>
    <row r="3684" spans="1:2" x14ac:dyDescent="0.3">
      <c r="A3684" s="644"/>
      <c r="B3684" s="645"/>
    </row>
    <row r="3685" spans="1:2" x14ac:dyDescent="0.3">
      <c r="A3685" s="644"/>
      <c r="B3685" s="645"/>
    </row>
    <row r="3686" spans="1:2" x14ac:dyDescent="0.3">
      <c r="A3686" s="644"/>
      <c r="B3686" s="645"/>
    </row>
    <row r="3687" spans="1:2" x14ac:dyDescent="0.3">
      <c r="A3687" s="644"/>
      <c r="B3687" s="645"/>
    </row>
    <row r="3688" spans="1:2" x14ac:dyDescent="0.3">
      <c r="A3688" s="644"/>
      <c r="B3688" s="645"/>
    </row>
    <row r="3689" spans="1:2" x14ac:dyDescent="0.3">
      <c r="A3689" s="644"/>
      <c r="B3689" s="645"/>
    </row>
    <row r="3690" spans="1:2" x14ac:dyDescent="0.3">
      <c r="A3690" s="644"/>
      <c r="B3690" s="645"/>
    </row>
    <row r="3691" spans="1:2" x14ac:dyDescent="0.3">
      <c r="A3691" s="644"/>
      <c r="B3691" s="645"/>
    </row>
    <row r="3692" spans="1:2" x14ac:dyDescent="0.3">
      <c r="A3692" s="644"/>
      <c r="B3692" s="645"/>
    </row>
    <row r="3693" spans="1:2" x14ac:dyDescent="0.3">
      <c r="A3693" s="644"/>
      <c r="B3693" s="645"/>
    </row>
    <row r="3694" spans="1:2" x14ac:dyDescent="0.3">
      <c r="A3694" s="644"/>
      <c r="B3694" s="645"/>
    </row>
    <row r="3695" spans="1:2" x14ac:dyDescent="0.3">
      <c r="A3695" s="644"/>
      <c r="B3695" s="645"/>
    </row>
    <row r="3696" spans="1:2" x14ac:dyDescent="0.3">
      <c r="A3696" s="644"/>
      <c r="B3696" s="645"/>
    </row>
    <row r="3697" spans="1:2" x14ac:dyDescent="0.3">
      <c r="A3697" s="644"/>
      <c r="B3697" s="645"/>
    </row>
    <row r="3698" spans="1:2" x14ac:dyDescent="0.3">
      <c r="A3698" s="644"/>
      <c r="B3698" s="645"/>
    </row>
    <row r="3699" spans="1:2" x14ac:dyDescent="0.3">
      <c r="A3699" s="644"/>
      <c r="B3699" s="645"/>
    </row>
    <row r="3700" spans="1:2" x14ac:dyDescent="0.3">
      <c r="A3700" s="644"/>
      <c r="B3700" s="645"/>
    </row>
    <row r="3701" spans="1:2" x14ac:dyDescent="0.3">
      <c r="A3701" s="644"/>
      <c r="B3701" s="645"/>
    </row>
    <row r="3702" spans="1:2" x14ac:dyDescent="0.3">
      <c r="A3702" s="644"/>
      <c r="B3702" s="645"/>
    </row>
    <row r="3703" spans="1:2" x14ac:dyDescent="0.3">
      <c r="A3703" s="644"/>
      <c r="B3703" s="645"/>
    </row>
    <row r="3704" spans="1:2" x14ac:dyDescent="0.3">
      <c r="A3704" s="644"/>
      <c r="B3704" s="645"/>
    </row>
    <row r="3705" spans="1:2" x14ac:dyDescent="0.3">
      <c r="A3705" s="644"/>
      <c r="B3705" s="645"/>
    </row>
    <row r="3706" spans="1:2" x14ac:dyDescent="0.3">
      <c r="A3706" s="644"/>
      <c r="B3706" s="645"/>
    </row>
    <row r="3707" spans="1:2" x14ac:dyDescent="0.3">
      <c r="A3707" s="644"/>
      <c r="B3707" s="645"/>
    </row>
    <row r="3708" spans="1:2" x14ac:dyDescent="0.3">
      <c r="A3708" s="644"/>
      <c r="B3708" s="645"/>
    </row>
    <row r="3709" spans="1:2" x14ac:dyDescent="0.3">
      <c r="A3709" s="644"/>
      <c r="B3709" s="645"/>
    </row>
    <row r="3710" spans="1:2" x14ac:dyDescent="0.3">
      <c r="A3710" s="644"/>
      <c r="B3710" s="645"/>
    </row>
    <row r="3711" spans="1:2" x14ac:dyDescent="0.3">
      <c r="A3711" s="644"/>
      <c r="B3711" s="645"/>
    </row>
    <row r="3712" spans="1:2" x14ac:dyDescent="0.3">
      <c r="A3712" s="644"/>
      <c r="B3712" s="645"/>
    </row>
    <row r="3713" spans="1:2" x14ac:dyDescent="0.3">
      <c r="A3713" s="644"/>
      <c r="B3713" s="645"/>
    </row>
    <row r="3714" spans="1:2" x14ac:dyDescent="0.3">
      <c r="A3714" s="644"/>
      <c r="B3714" s="645"/>
    </row>
    <row r="3715" spans="1:2" x14ac:dyDescent="0.3">
      <c r="A3715" s="644"/>
      <c r="B3715" s="645"/>
    </row>
    <row r="3716" spans="1:2" x14ac:dyDescent="0.3">
      <c r="A3716" s="644"/>
      <c r="B3716" s="645"/>
    </row>
    <row r="3717" spans="1:2" x14ac:dyDescent="0.3">
      <c r="A3717" s="644"/>
      <c r="B3717" s="645"/>
    </row>
    <row r="3718" spans="1:2" x14ac:dyDescent="0.3">
      <c r="A3718" s="644"/>
      <c r="B3718" s="645"/>
    </row>
    <row r="3719" spans="1:2" x14ac:dyDescent="0.3">
      <c r="A3719" s="644"/>
      <c r="B3719" s="645"/>
    </row>
    <row r="3720" spans="1:2" x14ac:dyDescent="0.3">
      <c r="A3720" s="644"/>
      <c r="B3720" s="645"/>
    </row>
    <row r="3721" spans="1:2" x14ac:dyDescent="0.3">
      <c r="A3721" s="644"/>
      <c r="B3721" s="645"/>
    </row>
    <row r="3722" spans="1:2" x14ac:dyDescent="0.3">
      <c r="A3722" s="644"/>
      <c r="B3722" s="645"/>
    </row>
    <row r="3723" spans="1:2" x14ac:dyDescent="0.3">
      <c r="A3723" s="644"/>
      <c r="B3723" s="645"/>
    </row>
    <row r="3724" spans="1:2" x14ac:dyDescent="0.3">
      <c r="A3724" s="644"/>
      <c r="B3724" s="645"/>
    </row>
    <row r="3725" spans="1:2" x14ac:dyDescent="0.3">
      <c r="A3725" s="644"/>
      <c r="B3725" s="645"/>
    </row>
    <row r="3726" spans="1:2" x14ac:dyDescent="0.3">
      <c r="A3726" s="644"/>
      <c r="B3726" s="645"/>
    </row>
    <row r="3727" spans="1:2" x14ac:dyDescent="0.3">
      <c r="A3727" s="644"/>
      <c r="B3727" s="645"/>
    </row>
    <row r="3728" spans="1:2" x14ac:dyDescent="0.3">
      <c r="A3728" s="644"/>
      <c r="B3728" s="645"/>
    </row>
    <row r="3729" spans="1:2" x14ac:dyDescent="0.3">
      <c r="A3729" s="644"/>
      <c r="B3729" s="645"/>
    </row>
    <row r="3730" spans="1:2" x14ac:dyDescent="0.3">
      <c r="A3730" s="644"/>
      <c r="B3730" s="645"/>
    </row>
    <row r="3731" spans="1:2" x14ac:dyDescent="0.3">
      <c r="A3731" s="644"/>
      <c r="B3731" s="645"/>
    </row>
    <row r="3732" spans="1:2" x14ac:dyDescent="0.3">
      <c r="A3732" s="644"/>
      <c r="B3732" s="645"/>
    </row>
    <row r="3733" spans="1:2" x14ac:dyDescent="0.3">
      <c r="A3733" s="644"/>
      <c r="B3733" s="645"/>
    </row>
    <row r="3734" spans="1:2" x14ac:dyDescent="0.3">
      <c r="A3734" s="644"/>
      <c r="B3734" s="645"/>
    </row>
    <row r="3735" spans="1:2" x14ac:dyDescent="0.3">
      <c r="A3735" s="644"/>
      <c r="B3735" s="645"/>
    </row>
    <row r="3736" spans="1:2" x14ac:dyDescent="0.3">
      <c r="A3736" s="644"/>
      <c r="B3736" s="645"/>
    </row>
    <row r="3737" spans="1:2" x14ac:dyDescent="0.3">
      <c r="A3737" s="644"/>
      <c r="B3737" s="645"/>
    </row>
    <row r="3738" spans="1:2" x14ac:dyDescent="0.3">
      <c r="A3738" s="644"/>
      <c r="B3738" s="645"/>
    </row>
    <row r="3739" spans="1:2" x14ac:dyDescent="0.3">
      <c r="A3739" s="644"/>
      <c r="B3739" s="645"/>
    </row>
    <row r="3740" spans="1:2" x14ac:dyDescent="0.3">
      <c r="A3740" s="644"/>
      <c r="B3740" s="645"/>
    </row>
    <row r="3741" spans="1:2" x14ac:dyDescent="0.3">
      <c r="A3741" s="644"/>
      <c r="B3741" s="645"/>
    </row>
    <row r="3742" spans="1:2" x14ac:dyDescent="0.3">
      <c r="A3742" s="644"/>
      <c r="B3742" s="645"/>
    </row>
    <row r="3743" spans="1:2" x14ac:dyDescent="0.3">
      <c r="A3743" s="644"/>
      <c r="B3743" s="645"/>
    </row>
    <row r="3744" spans="1:2" x14ac:dyDescent="0.3">
      <c r="A3744" s="644"/>
      <c r="B3744" s="645"/>
    </row>
    <row r="3745" spans="1:2" x14ac:dyDescent="0.3">
      <c r="A3745" s="644"/>
      <c r="B3745" s="645"/>
    </row>
    <row r="3746" spans="1:2" x14ac:dyDescent="0.3">
      <c r="A3746" s="644"/>
      <c r="B3746" s="645"/>
    </row>
    <row r="3747" spans="1:2" x14ac:dyDescent="0.3">
      <c r="A3747" s="644"/>
      <c r="B3747" s="645"/>
    </row>
    <row r="3748" spans="1:2" x14ac:dyDescent="0.3">
      <c r="A3748" s="644"/>
      <c r="B3748" s="645"/>
    </row>
    <row r="3749" spans="1:2" x14ac:dyDescent="0.3">
      <c r="A3749" s="644"/>
      <c r="B3749" s="645"/>
    </row>
    <row r="3750" spans="1:2" x14ac:dyDescent="0.3">
      <c r="A3750" s="644"/>
      <c r="B3750" s="645"/>
    </row>
    <row r="3751" spans="1:2" x14ac:dyDescent="0.3">
      <c r="A3751" s="644"/>
      <c r="B3751" s="645"/>
    </row>
    <row r="3752" spans="1:2" x14ac:dyDescent="0.3">
      <c r="A3752" s="644"/>
      <c r="B3752" s="645"/>
    </row>
    <row r="3753" spans="1:2" x14ac:dyDescent="0.3">
      <c r="A3753" s="644"/>
      <c r="B3753" s="645"/>
    </row>
    <row r="3754" spans="1:2" x14ac:dyDescent="0.3">
      <c r="A3754" s="644"/>
      <c r="B3754" s="645"/>
    </row>
    <row r="3755" spans="1:2" x14ac:dyDescent="0.3">
      <c r="A3755" s="644"/>
      <c r="B3755" s="645"/>
    </row>
    <row r="3756" spans="1:2" x14ac:dyDescent="0.3">
      <c r="A3756" s="644"/>
      <c r="B3756" s="645"/>
    </row>
    <row r="3757" spans="1:2" x14ac:dyDescent="0.3">
      <c r="A3757" s="644"/>
      <c r="B3757" s="645"/>
    </row>
    <row r="3758" spans="1:2" x14ac:dyDescent="0.3">
      <c r="A3758" s="644"/>
      <c r="B3758" s="645"/>
    </row>
    <row r="3759" spans="1:2" x14ac:dyDescent="0.3">
      <c r="A3759" s="644"/>
      <c r="B3759" s="645"/>
    </row>
    <row r="3760" spans="1:2" x14ac:dyDescent="0.3">
      <c r="A3760" s="644"/>
      <c r="B3760" s="645"/>
    </row>
    <row r="3761" spans="1:2" x14ac:dyDescent="0.3">
      <c r="A3761" s="644"/>
      <c r="B3761" s="645"/>
    </row>
    <row r="3762" spans="1:2" x14ac:dyDescent="0.3">
      <c r="A3762" s="644"/>
      <c r="B3762" s="645"/>
    </row>
    <row r="3763" spans="1:2" x14ac:dyDescent="0.3">
      <c r="A3763" s="644"/>
      <c r="B3763" s="645"/>
    </row>
    <row r="3764" spans="1:2" x14ac:dyDescent="0.3">
      <c r="A3764" s="644"/>
      <c r="B3764" s="645"/>
    </row>
    <row r="3765" spans="1:2" x14ac:dyDescent="0.3">
      <c r="A3765" s="644"/>
      <c r="B3765" s="645"/>
    </row>
    <row r="3766" spans="1:2" x14ac:dyDescent="0.3">
      <c r="A3766" s="644"/>
      <c r="B3766" s="645"/>
    </row>
    <row r="3767" spans="1:2" x14ac:dyDescent="0.3">
      <c r="A3767" s="644"/>
      <c r="B3767" s="645"/>
    </row>
    <row r="3768" spans="1:2" x14ac:dyDescent="0.3">
      <c r="A3768" s="644"/>
      <c r="B3768" s="645"/>
    </row>
    <row r="3769" spans="1:2" x14ac:dyDescent="0.3">
      <c r="A3769" s="644"/>
      <c r="B3769" s="645"/>
    </row>
    <row r="3770" spans="1:2" x14ac:dyDescent="0.3">
      <c r="A3770" s="644"/>
      <c r="B3770" s="645"/>
    </row>
    <row r="3771" spans="1:2" x14ac:dyDescent="0.3">
      <c r="A3771" s="644"/>
      <c r="B3771" s="645"/>
    </row>
    <row r="3772" spans="1:2" x14ac:dyDescent="0.3">
      <c r="A3772" s="644"/>
      <c r="B3772" s="645"/>
    </row>
    <row r="3773" spans="1:2" x14ac:dyDescent="0.3">
      <c r="A3773" s="644"/>
      <c r="B3773" s="645"/>
    </row>
    <row r="3774" spans="1:2" x14ac:dyDescent="0.3">
      <c r="A3774" s="644"/>
      <c r="B3774" s="645"/>
    </row>
    <row r="3775" spans="1:2" x14ac:dyDescent="0.3">
      <c r="A3775" s="644"/>
      <c r="B3775" s="645"/>
    </row>
    <row r="3776" spans="1:2" x14ac:dyDescent="0.3">
      <c r="A3776" s="644"/>
      <c r="B3776" s="645"/>
    </row>
    <row r="3777" spans="1:2" x14ac:dyDescent="0.3">
      <c r="A3777" s="644"/>
      <c r="B3777" s="645"/>
    </row>
    <row r="3778" spans="1:2" x14ac:dyDescent="0.3">
      <c r="A3778" s="644"/>
      <c r="B3778" s="645"/>
    </row>
    <row r="3779" spans="1:2" x14ac:dyDescent="0.3">
      <c r="A3779" s="644"/>
      <c r="B3779" s="645"/>
    </row>
    <row r="3780" spans="1:2" x14ac:dyDescent="0.3">
      <c r="A3780" s="644"/>
      <c r="B3780" s="645"/>
    </row>
    <row r="3781" spans="1:2" x14ac:dyDescent="0.3">
      <c r="A3781" s="644"/>
      <c r="B3781" s="645"/>
    </row>
    <row r="3782" spans="1:2" x14ac:dyDescent="0.3">
      <c r="A3782" s="644"/>
      <c r="B3782" s="645"/>
    </row>
    <row r="3783" spans="1:2" x14ac:dyDescent="0.3">
      <c r="A3783" s="644"/>
      <c r="B3783" s="645"/>
    </row>
    <row r="3784" spans="1:2" x14ac:dyDescent="0.3">
      <c r="A3784" s="644"/>
      <c r="B3784" s="645"/>
    </row>
    <row r="3785" spans="1:2" x14ac:dyDescent="0.3">
      <c r="A3785" s="644"/>
      <c r="B3785" s="645"/>
    </row>
    <row r="3786" spans="1:2" x14ac:dyDescent="0.3">
      <c r="A3786" s="644"/>
      <c r="B3786" s="645"/>
    </row>
    <row r="3787" spans="1:2" x14ac:dyDescent="0.3">
      <c r="A3787" s="644"/>
      <c r="B3787" s="645"/>
    </row>
    <row r="3788" spans="1:2" x14ac:dyDescent="0.3">
      <c r="A3788" s="644"/>
      <c r="B3788" s="645"/>
    </row>
    <row r="3789" spans="1:2" x14ac:dyDescent="0.3">
      <c r="A3789" s="644"/>
      <c r="B3789" s="645"/>
    </row>
    <row r="3790" spans="1:2" x14ac:dyDescent="0.3">
      <c r="A3790" s="644"/>
      <c r="B3790" s="645"/>
    </row>
    <row r="3791" spans="1:2" x14ac:dyDescent="0.3">
      <c r="A3791" s="644"/>
      <c r="B3791" s="645"/>
    </row>
    <row r="3792" spans="1:2" x14ac:dyDescent="0.3">
      <c r="A3792" s="644"/>
      <c r="B3792" s="645"/>
    </row>
    <row r="3793" spans="1:2" x14ac:dyDescent="0.3">
      <c r="A3793" s="644"/>
      <c r="B3793" s="645"/>
    </row>
    <row r="3794" spans="1:2" x14ac:dyDescent="0.3">
      <c r="A3794" s="644"/>
      <c r="B3794" s="645"/>
    </row>
    <row r="3795" spans="1:2" x14ac:dyDescent="0.3">
      <c r="A3795" s="644"/>
      <c r="B3795" s="645"/>
    </row>
    <row r="3796" spans="1:2" x14ac:dyDescent="0.3">
      <c r="A3796" s="644"/>
      <c r="B3796" s="645"/>
    </row>
    <row r="3797" spans="1:2" x14ac:dyDescent="0.3">
      <c r="A3797" s="644"/>
      <c r="B3797" s="645"/>
    </row>
    <row r="3798" spans="1:2" x14ac:dyDescent="0.3">
      <c r="A3798" s="644"/>
      <c r="B3798" s="645"/>
    </row>
    <row r="3799" spans="1:2" x14ac:dyDescent="0.3">
      <c r="A3799" s="644"/>
      <c r="B3799" s="645"/>
    </row>
    <row r="3800" spans="1:2" x14ac:dyDescent="0.3">
      <c r="A3800" s="644"/>
      <c r="B3800" s="645"/>
    </row>
    <row r="3801" spans="1:2" x14ac:dyDescent="0.3">
      <c r="A3801" s="644"/>
      <c r="B3801" s="645"/>
    </row>
    <row r="3802" spans="1:2" x14ac:dyDescent="0.3">
      <c r="A3802" s="644"/>
      <c r="B3802" s="645"/>
    </row>
    <row r="3803" spans="1:2" x14ac:dyDescent="0.3">
      <c r="A3803" s="644"/>
      <c r="B3803" s="645"/>
    </row>
    <row r="3804" spans="1:2" x14ac:dyDescent="0.3">
      <c r="A3804" s="644"/>
      <c r="B3804" s="645"/>
    </row>
    <row r="3805" spans="1:2" x14ac:dyDescent="0.3">
      <c r="A3805" s="644"/>
      <c r="B3805" s="645"/>
    </row>
    <row r="3806" spans="1:2" x14ac:dyDescent="0.3">
      <c r="A3806" s="644"/>
      <c r="B3806" s="645"/>
    </row>
    <row r="3807" spans="1:2" x14ac:dyDescent="0.3">
      <c r="A3807" s="644"/>
      <c r="B3807" s="645"/>
    </row>
    <row r="3808" spans="1:2" x14ac:dyDescent="0.3">
      <c r="A3808" s="644"/>
      <c r="B3808" s="645"/>
    </row>
    <row r="3809" spans="1:2" x14ac:dyDescent="0.3">
      <c r="A3809" s="644"/>
      <c r="B3809" s="645"/>
    </row>
    <row r="3810" spans="1:2" x14ac:dyDescent="0.3">
      <c r="A3810" s="644"/>
      <c r="B3810" s="645"/>
    </row>
    <row r="3811" spans="1:2" x14ac:dyDescent="0.3">
      <c r="A3811" s="644"/>
      <c r="B3811" s="645"/>
    </row>
    <row r="3812" spans="1:2" x14ac:dyDescent="0.3">
      <c r="A3812" s="644"/>
      <c r="B3812" s="645"/>
    </row>
    <row r="3813" spans="1:2" x14ac:dyDescent="0.3">
      <c r="A3813" s="644"/>
      <c r="B3813" s="645"/>
    </row>
    <row r="3814" spans="1:2" x14ac:dyDescent="0.3">
      <c r="A3814" s="644"/>
      <c r="B3814" s="645"/>
    </row>
    <row r="3815" spans="1:2" x14ac:dyDescent="0.3">
      <c r="A3815" s="644"/>
      <c r="B3815" s="645"/>
    </row>
    <row r="3816" spans="1:2" x14ac:dyDescent="0.3">
      <c r="A3816" s="644"/>
      <c r="B3816" s="645"/>
    </row>
    <row r="3817" spans="1:2" x14ac:dyDescent="0.3">
      <c r="A3817" s="644"/>
      <c r="B3817" s="645"/>
    </row>
    <row r="3818" spans="1:2" x14ac:dyDescent="0.3">
      <c r="A3818" s="644"/>
      <c r="B3818" s="645"/>
    </row>
    <row r="3819" spans="1:2" x14ac:dyDescent="0.3">
      <c r="A3819" s="644"/>
      <c r="B3819" s="645"/>
    </row>
    <row r="3820" spans="1:2" x14ac:dyDescent="0.3">
      <c r="A3820" s="644"/>
      <c r="B3820" s="645"/>
    </row>
    <row r="3821" spans="1:2" x14ac:dyDescent="0.3">
      <c r="A3821" s="644"/>
      <c r="B3821" s="645"/>
    </row>
    <row r="3822" spans="1:2" x14ac:dyDescent="0.3">
      <c r="A3822" s="644"/>
      <c r="B3822" s="645"/>
    </row>
    <row r="3823" spans="1:2" x14ac:dyDescent="0.3">
      <c r="A3823" s="644"/>
      <c r="B3823" s="645"/>
    </row>
    <row r="3824" spans="1:2" x14ac:dyDescent="0.3">
      <c r="A3824" s="644"/>
      <c r="B3824" s="645"/>
    </row>
    <row r="3825" spans="1:2" x14ac:dyDescent="0.3">
      <c r="A3825" s="644"/>
      <c r="B3825" s="645"/>
    </row>
    <row r="3826" spans="1:2" x14ac:dyDescent="0.3">
      <c r="A3826" s="644"/>
      <c r="B3826" s="645"/>
    </row>
    <row r="3827" spans="1:2" x14ac:dyDescent="0.3">
      <c r="A3827" s="644"/>
      <c r="B3827" s="645"/>
    </row>
    <row r="3828" spans="1:2" x14ac:dyDescent="0.3">
      <c r="A3828" s="644"/>
      <c r="B3828" s="645"/>
    </row>
    <row r="3829" spans="1:2" x14ac:dyDescent="0.3">
      <c r="A3829" s="644"/>
      <c r="B3829" s="645"/>
    </row>
    <row r="3830" spans="1:2" x14ac:dyDescent="0.3">
      <c r="A3830" s="644"/>
      <c r="B3830" s="645"/>
    </row>
    <row r="3831" spans="1:2" x14ac:dyDescent="0.3">
      <c r="A3831" s="644"/>
      <c r="B3831" s="645"/>
    </row>
    <row r="3832" spans="1:2" x14ac:dyDescent="0.3">
      <c r="A3832" s="644"/>
      <c r="B3832" s="645"/>
    </row>
    <row r="3833" spans="1:2" x14ac:dyDescent="0.3">
      <c r="A3833" s="644"/>
      <c r="B3833" s="645"/>
    </row>
    <row r="3834" spans="1:2" x14ac:dyDescent="0.3">
      <c r="A3834" s="644"/>
      <c r="B3834" s="645"/>
    </row>
    <row r="3835" spans="1:2" x14ac:dyDescent="0.3">
      <c r="A3835" s="644"/>
      <c r="B3835" s="645"/>
    </row>
    <row r="3836" spans="1:2" x14ac:dyDescent="0.3">
      <c r="A3836" s="644"/>
      <c r="B3836" s="645"/>
    </row>
    <row r="3837" spans="1:2" x14ac:dyDescent="0.3">
      <c r="A3837" s="644"/>
      <c r="B3837" s="645"/>
    </row>
    <row r="3838" spans="1:2" x14ac:dyDescent="0.3">
      <c r="A3838" s="644"/>
      <c r="B3838" s="645"/>
    </row>
    <row r="3839" spans="1:2" x14ac:dyDescent="0.3">
      <c r="A3839" s="644"/>
      <c r="B3839" s="645"/>
    </row>
    <row r="3840" spans="1:2" x14ac:dyDescent="0.3">
      <c r="A3840" s="644"/>
      <c r="B3840" s="645"/>
    </row>
    <row r="3841" spans="1:2" x14ac:dyDescent="0.3">
      <c r="A3841" s="644"/>
      <c r="B3841" s="645"/>
    </row>
    <row r="3842" spans="1:2" x14ac:dyDescent="0.3">
      <c r="A3842" s="644"/>
      <c r="B3842" s="645"/>
    </row>
    <row r="3843" spans="1:2" x14ac:dyDescent="0.3">
      <c r="A3843" s="644"/>
      <c r="B3843" s="645"/>
    </row>
    <row r="3844" spans="1:2" x14ac:dyDescent="0.3">
      <c r="A3844" s="644"/>
      <c r="B3844" s="645"/>
    </row>
    <row r="3845" spans="1:2" x14ac:dyDescent="0.3">
      <c r="A3845" s="644"/>
      <c r="B3845" s="645"/>
    </row>
    <row r="3846" spans="1:2" x14ac:dyDescent="0.3">
      <c r="A3846" s="644"/>
      <c r="B3846" s="645"/>
    </row>
    <row r="3847" spans="1:2" x14ac:dyDescent="0.3">
      <c r="A3847" s="644"/>
      <c r="B3847" s="645"/>
    </row>
    <row r="3848" spans="1:2" x14ac:dyDescent="0.3">
      <c r="A3848" s="644"/>
      <c r="B3848" s="645"/>
    </row>
    <row r="3849" spans="1:2" x14ac:dyDescent="0.3">
      <c r="A3849" s="644"/>
      <c r="B3849" s="645"/>
    </row>
    <row r="3850" spans="1:2" x14ac:dyDescent="0.3">
      <c r="A3850" s="644"/>
      <c r="B3850" s="645"/>
    </row>
    <row r="3851" spans="1:2" x14ac:dyDescent="0.3">
      <c r="A3851" s="644"/>
      <c r="B3851" s="645"/>
    </row>
    <row r="3852" spans="1:2" x14ac:dyDescent="0.3">
      <c r="A3852" s="644"/>
      <c r="B3852" s="645"/>
    </row>
    <row r="3853" spans="1:2" x14ac:dyDescent="0.3">
      <c r="A3853" s="644"/>
      <c r="B3853" s="645"/>
    </row>
    <row r="3854" spans="1:2" x14ac:dyDescent="0.3">
      <c r="A3854" s="644"/>
      <c r="B3854" s="645"/>
    </row>
    <row r="3855" spans="1:2" x14ac:dyDescent="0.3">
      <c r="A3855" s="644"/>
      <c r="B3855" s="645"/>
    </row>
    <row r="3856" spans="1:2" x14ac:dyDescent="0.3">
      <c r="A3856" s="644"/>
      <c r="B3856" s="645"/>
    </row>
    <row r="3857" spans="1:2" x14ac:dyDescent="0.3">
      <c r="A3857" s="644"/>
      <c r="B3857" s="645"/>
    </row>
    <row r="3858" spans="1:2" x14ac:dyDescent="0.3">
      <c r="A3858" s="644"/>
      <c r="B3858" s="645"/>
    </row>
    <row r="3859" spans="1:2" x14ac:dyDescent="0.3">
      <c r="A3859" s="644"/>
      <c r="B3859" s="645"/>
    </row>
    <row r="3860" spans="1:2" x14ac:dyDescent="0.3">
      <c r="A3860" s="644"/>
      <c r="B3860" s="645"/>
    </row>
    <row r="3861" spans="1:2" x14ac:dyDescent="0.3">
      <c r="A3861" s="644"/>
      <c r="B3861" s="645"/>
    </row>
    <row r="3862" spans="1:2" x14ac:dyDescent="0.3">
      <c r="A3862" s="644"/>
      <c r="B3862" s="645"/>
    </row>
    <row r="3863" spans="1:2" x14ac:dyDescent="0.3">
      <c r="A3863" s="644"/>
      <c r="B3863" s="645"/>
    </row>
    <row r="3864" spans="1:2" x14ac:dyDescent="0.3">
      <c r="A3864" s="644"/>
      <c r="B3864" s="645"/>
    </row>
    <row r="3865" spans="1:2" x14ac:dyDescent="0.3">
      <c r="A3865" s="644"/>
      <c r="B3865" s="645"/>
    </row>
    <row r="3866" spans="1:2" x14ac:dyDescent="0.3">
      <c r="A3866" s="644"/>
      <c r="B3866" s="645"/>
    </row>
    <row r="3867" spans="1:2" x14ac:dyDescent="0.3">
      <c r="A3867" s="644"/>
      <c r="B3867" s="645"/>
    </row>
    <row r="3868" spans="1:2" x14ac:dyDescent="0.3">
      <c r="A3868" s="644"/>
      <c r="B3868" s="645"/>
    </row>
    <row r="3869" spans="1:2" x14ac:dyDescent="0.3">
      <c r="A3869" s="644"/>
      <c r="B3869" s="645"/>
    </row>
    <row r="3870" spans="1:2" x14ac:dyDescent="0.3">
      <c r="A3870" s="644"/>
      <c r="B3870" s="645"/>
    </row>
    <row r="3871" spans="1:2" x14ac:dyDescent="0.3">
      <c r="A3871" s="644"/>
      <c r="B3871" s="645"/>
    </row>
    <row r="3872" spans="1:2" x14ac:dyDescent="0.3">
      <c r="A3872" s="644"/>
      <c r="B3872" s="645"/>
    </row>
    <row r="3873" spans="1:2" x14ac:dyDescent="0.3">
      <c r="A3873" s="644"/>
      <c r="B3873" s="645"/>
    </row>
    <row r="3874" spans="1:2" x14ac:dyDescent="0.3">
      <c r="A3874" s="644"/>
      <c r="B3874" s="645"/>
    </row>
    <row r="3875" spans="1:2" x14ac:dyDescent="0.3">
      <c r="A3875" s="644"/>
      <c r="B3875" s="645"/>
    </row>
    <row r="3876" spans="1:2" x14ac:dyDescent="0.3">
      <c r="A3876" s="644"/>
      <c r="B3876" s="645"/>
    </row>
    <row r="3877" spans="1:2" x14ac:dyDescent="0.3">
      <c r="A3877" s="644"/>
      <c r="B3877" s="645"/>
    </row>
    <row r="3878" spans="1:2" x14ac:dyDescent="0.3">
      <c r="A3878" s="644"/>
      <c r="B3878" s="645"/>
    </row>
    <row r="3879" spans="1:2" x14ac:dyDescent="0.3">
      <c r="A3879" s="644"/>
      <c r="B3879" s="645"/>
    </row>
    <row r="3880" spans="1:2" x14ac:dyDescent="0.3">
      <c r="A3880" s="644"/>
      <c r="B3880" s="645"/>
    </row>
    <row r="3881" spans="1:2" x14ac:dyDescent="0.3">
      <c r="A3881" s="644"/>
      <c r="B3881" s="645"/>
    </row>
    <row r="3882" spans="1:2" x14ac:dyDescent="0.3">
      <c r="A3882" s="644"/>
      <c r="B3882" s="645"/>
    </row>
    <row r="3883" spans="1:2" x14ac:dyDescent="0.3">
      <c r="A3883" s="644"/>
      <c r="B3883" s="645"/>
    </row>
    <row r="3884" spans="1:2" x14ac:dyDescent="0.3">
      <c r="A3884" s="644"/>
      <c r="B3884" s="645"/>
    </row>
    <row r="3885" spans="1:2" x14ac:dyDescent="0.3">
      <c r="A3885" s="644"/>
      <c r="B3885" s="645"/>
    </row>
    <row r="3886" spans="1:2" x14ac:dyDescent="0.3">
      <c r="A3886" s="644"/>
      <c r="B3886" s="645"/>
    </row>
    <row r="3887" spans="1:2" x14ac:dyDescent="0.3">
      <c r="A3887" s="644"/>
      <c r="B3887" s="645"/>
    </row>
    <row r="3888" spans="1:2" x14ac:dyDescent="0.3">
      <c r="A3888" s="644"/>
      <c r="B3888" s="645"/>
    </row>
    <row r="3889" spans="1:2" x14ac:dyDescent="0.3">
      <c r="A3889" s="644"/>
      <c r="B3889" s="645"/>
    </row>
    <row r="3890" spans="1:2" x14ac:dyDescent="0.3">
      <c r="A3890" s="644"/>
      <c r="B3890" s="645"/>
    </row>
    <row r="3891" spans="1:2" x14ac:dyDescent="0.3">
      <c r="A3891" s="644"/>
      <c r="B3891" s="645"/>
    </row>
    <row r="3892" spans="1:2" x14ac:dyDescent="0.3">
      <c r="A3892" s="644"/>
      <c r="B3892" s="645"/>
    </row>
    <row r="3893" spans="1:2" x14ac:dyDescent="0.3">
      <c r="A3893" s="644"/>
      <c r="B3893" s="645"/>
    </row>
    <row r="3894" spans="1:2" x14ac:dyDescent="0.3">
      <c r="A3894" s="644"/>
      <c r="B3894" s="645"/>
    </row>
    <row r="3895" spans="1:2" x14ac:dyDescent="0.3">
      <c r="A3895" s="644"/>
      <c r="B3895" s="645"/>
    </row>
    <row r="3896" spans="1:2" x14ac:dyDescent="0.3">
      <c r="A3896" s="644"/>
      <c r="B3896" s="645"/>
    </row>
    <row r="3897" spans="1:2" x14ac:dyDescent="0.3">
      <c r="A3897" s="644"/>
      <c r="B3897" s="645"/>
    </row>
    <row r="3898" spans="1:2" x14ac:dyDescent="0.3">
      <c r="A3898" s="644"/>
      <c r="B3898" s="645"/>
    </row>
    <row r="3899" spans="1:2" x14ac:dyDescent="0.3">
      <c r="A3899" s="644"/>
      <c r="B3899" s="645"/>
    </row>
    <row r="3900" spans="1:2" x14ac:dyDescent="0.3">
      <c r="A3900" s="644"/>
      <c r="B3900" s="645"/>
    </row>
    <row r="3901" spans="1:2" x14ac:dyDescent="0.3">
      <c r="A3901" s="644"/>
      <c r="B3901" s="645"/>
    </row>
    <row r="3902" spans="1:2" x14ac:dyDescent="0.3">
      <c r="A3902" s="644"/>
      <c r="B3902" s="645"/>
    </row>
    <row r="3903" spans="1:2" x14ac:dyDescent="0.3">
      <c r="A3903" s="644"/>
      <c r="B3903" s="645"/>
    </row>
    <row r="3904" spans="1:2" x14ac:dyDescent="0.3">
      <c r="A3904" s="644"/>
      <c r="B3904" s="645"/>
    </row>
    <row r="3905" spans="1:2" x14ac:dyDescent="0.3">
      <c r="A3905" s="644"/>
      <c r="B3905" s="645"/>
    </row>
    <row r="3906" spans="1:2" x14ac:dyDescent="0.3">
      <c r="A3906" s="644"/>
      <c r="B3906" s="645"/>
    </row>
    <row r="3907" spans="1:2" x14ac:dyDescent="0.3">
      <c r="A3907" s="644"/>
      <c r="B3907" s="645"/>
    </row>
    <row r="3908" spans="1:2" x14ac:dyDescent="0.3">
      <c r="A3908" s="644"/>
      <c r="B3908" s="645"/>
    </row>
    <row r="3909" spans="1:2" x14ac:dyDescent="0.3">
      <c r="A3909" s="644"/>
      <c r="B3909" s="645"/>
    </row>
    <row r="3910" spans="1:2" x14ac:dyDescent="0.3">
      <c r="A3910" s="644"/>
      <c r="B3910" s="645"/>
    </row>
    <row r="3911" spans="1:2" x14ac:dyDescent="0.3">
      <c r="A3911" s="644"/>
      <c r="B3911" s="645"/>
    </row>
    <row r="3912" spans="1:2" x14ac:dyDescent="0.3">
      <c r="A3912" s="644"/>
      <c r="B3912" s="645"/>
    </row>
    <row r="3913" spans="1:2" x14ac:dyDescent="0.3">
      <c r="A3913" s="644"/>
      <c r="B3913" s="645"/>
    </row>
    <row r="3914" spans="1:2" x14ac:dyDescent="0.3">
      <c r="A3914" s="644"/>
      <c r="B3914" s="645"/>
    </row>
    <row r="3915" spans="1:2" x14ac:dyDescent="0.3">
      <c r="A3915" s="644"/>
      <c r="B3915" s="645"/>
    </row>
    <row r="3916" spans="1:2" x14ac:dyDescent="0.3">
      <c r="A3916" s="644"/>
      <c r="B3916" s="645"/>
    </row>
    <row r="3917" spans="1:2" x14ac:dyDescent="0.3">
      <c r="A3917" s="644"/>
      <c r="B3917" s="645"/>
    </row>
    <row r="3918" spans="1:2" x14ac:dyDescent="0.3">
      <c r="A3918" s="644"/>
      <c r="B3918" s="645"/>
    </row>
    <row r="3919" spans="1:2" x14ac:dyDescent="0.3">
      <c r="A3919" s="644"/>
      <c r="B3919" s="645"/>
    </row>
    <row r="3920" spans="1:2" x14ac:dyDescent="0.3">
      <c r="A3920" s="644"/>
      <c r="B3920" s="645"/>
    </row>
    <row r="3921" spans="1:2" x14ac:dyDescent="0.3">
      <c r="A3921" s="644"/>
      <c r="B3921" s="645"/>
    </row>
    <row r="3922" spans="1:2" x14ac:dyDescent="0.3">
      <c r="A3922" s="644"/>
      <c r="B3922" s="645"/>
    </row>
    <row r="3923" spans="1:2" x14ac:dyDescent="0.3">
      <c r="A3923" s="644"/>
      <c r="B3923" s="645"/>
    </row>
    <row r="3924" spans="1:2" x14ac:dyDescent="0.3">
      <c r="A3924" s="644"/>
      <c r="B3924" s="645"/>
    </row>
    <row r="3925" spans="1:2" x14ac:dyDescent="0.3">
      <c r="A3925" s="644"/>
      <c r="B3925" s="645"/>
    </row>
    <row r="3926" spans="1:2" x14ac:dyDescent="0.3">
      <c r="A3926" s="644"/>
      <c r="B3926" s="645"/>
    </row>
    <row r="3927" spans="1:2" x14ac:dyDescent="0.3">
      <c r="A3927" s="644"/>
      <c r="B3927" s="645"/>
    </row>
    <row r="3928" spans="1:2" x14ac:dyDescent="0.3">
      <c r="A3928" s="644"/>
      <c r="B3928" s="645"/>
    </row>
    <row r="3929" spans="1:2" x14ac:dyDescent="0.3">
      <c r="A3929" s="644"/>
      <c r="B3929" s="645"/>
    </row>
    <row r="3930" spans="1:2" x14ac:dyDescent="0.3">
      <c r="A3930" s="644"/>
      <c r="B3930" s="645"/>
    </row>
    <row r="3931" spans="1:2" x14ac:dyDescent="0.3">
      <c r="A3931" s="644"/>
      <c r="B3931" s="645"/>
    </row>
    <row r="3932" spans="1:2" x14ac:dyDescent="0.3">
      <c r="A3932" s="644"/>
      <c r="B3932" s="645"/>
    </row>
    <row r="3933" spans="1:2" x14ac:dyDescent="0.3">
      <c r="A3933" s="644"/>
      <c r="B3933" s="645"/>
    </row>
    <row r="3934" spans="1:2" x14ac:dyDescent="0.3">
      <c r="A3934" s="644"/>
      <c r="B3934" s="645"/>
    </row>
    <row r="3935" spans="1:2" x14ac:dyDescent="0.3">
      <c r="A3935" s="644"/>
      <c r="B3935" s="645"/>
    </row>
    <row r="3936" spans="1:2" x14ac:dyDescent="0.3">
      <c r="A3936" s="644"/>
      <c r="B3936" s="645"/>
    </row>
    <row r="3937" spans="1:2" x14ac:dyDescent="0.3">
      <c r="A3937" s="644"/>
      <c r="B3937" s="645"/>
    </row>
    <row r="3938" spans="1:2" x14ac:dyDescent="0.3">
      <c r="A3938" s="644"/>
      <c r="B3938" s="645"/>
    </row>
    <row r="3939" spans="1:2" x14ac:dyDescent="0.3">
      <c r="A3939" s="644"/>
      <c r="B3939" s="645"/>
    </row>
    <row r="3940" spans="1:2" x14ac:dyDescent="0.3">
      <c r="A3940" s="644"/>
      <c r="B3940" s="645"/>
    </row>
    <row r="3941" spans="1:2" x14ac:dyDescent="0.3">
      <c r="A3941" s="644"/>
      <c r="B3941" s="645"/>
    </row>
    <row r="3942" spans="1:2" x14ac:dyDescent="0.3">
      <c r="A3942" s="644"/>
      <c r="B3942" s="645"/>
    </row>
    <row r="3943" spans="1:2" x14ac:dyDescent="0.3">
      <c r="A3943" s="644"/>
      <c r="B3943" s="645"/>
    </row>
    <row r="3944" spans="1:2" x14ac:dyDescent="0.3">
      <c r="A3944" s="644"/>
      <c r="B3944" s="645"/>
    </row>
    <row r="3945" spans="1:2" x14ac:dyDescent="0.3">
      <c r="A3945" s="644"/>
      <c r="B3945" s="645"/>
    </row>
    <row r="3946" spans="1:2" x14ac:dyDescent="0.3">
      <c r="A3946" s="644"/>
      <c r="B3946" s="645"/>
    </row>
    <row r="3947" spans="1:2" x14ac:dyDescent="0.3">
      <c r="A3947" s="644"/>
      <c r="B3947" s="645"/>
    </row>
    <row r="3948" spans="1:2" x14ac:dyDescent="0.3">
      <c r="A3948" s="644"/>
      <c r="B3948" s="645"/>
    </row>
    <row r="3949" spans="1:2" x14ac:dyDescent="0.3">
      <c r="A3949" s="644"/>
      <c r="B3949" s="645"/>
    </row>
    <row r="3950" spans="1:2" x14ac:dyDescent="0.3">
      <c r="A3950" s="644"/>
      <c r="B3950" s="645"/>
    </row>
    <row r="3951" spans="1:2" x14ac:dyDescent="0.3">
      <c r="A3951" s="644"/>
      <c r="B3951" s="645"/>
    </row>
    <row r="3952" spans="1:2" x14ac:dyDescent="0.3">
      <c r="A3952" s="644"/>
      <c r="B3952" s="645"/>
    </row>
    <row r="3953" spans="1:2" x14ac:dyDescent="0.3">
      <c r="A3953" s="644"/>
      <c r="B3953" s="645"/>
    </row>
    <row r="3954" spans="1:2" x14ac:dyDescent="0.3">
      <c r="A3954" s="644"/>
      <c r="B3954" s="645"/>
    </row>
    <row r="3955" spans="1:2" x14ac:dyDescent="0.3">
      <c r="A3955" s="644"/>
      <c r="B3955" s="645"/>
    </row>
    <row r="3956" spans="1:2" x14ac:dyDescent="0.3">
      <c r="A3956" s="644"/>
      <c r="B3956" s="645"/>
    </row>
    <row r="3957" spans="1:2" x14ac:dyDescent="0.3">
      <c r="A3957" s="644"/>
      <c r="B3957" s="645"/>
    </row>
    <row r="3958" spans="1:2" x14ac:dyDescent="0.3">
      <c r="A3958" s="644"/>
      <c r="B3958" s="645"/>
    </row>
    <row r="3959" spans="1:2" x14ac:dyDescent="0.3">
      <c r="A3959" s="644"/>
      <c r="B3959" s="645"/>
    </row>
    <row r="3960" spans="1:2" x14ac:dyDescent="0.3">
      <c r="A3960" s="644"/>
      <c r="B3960" s="645"/>
    </row>
    <row r="3961" spans="1:2" x14ac:dyDescent="0.3">
      <c r="A3961" s="644"/>
      <c r="B3961" s="645"/>
    </row>
    <row r="3962" spans="1:2" x14ac:dyDescent="0.3">
      <c r="A3962" s="644"/>
      <c r="B3962" s="645"/>
    </row>
    <row r="3963" spans="1:2" x14ac:dyDescent="0.3">
      <c r="A3963" s="644"/>
      <c r="B3963" s="645"/>
    </row>
    <row r="3964" spans="1:2" x14ac:dyDescent="0.3">
      <c r="A3964" s="644"/>
      <c r="B3964" s="645"/>
    </row>
    <row r="3965" spans="1:2" x14ac:dyDescent="0.3">
      <c r="A3965" s="644"/>
      <c r="B3965" s="645"/>
    </row>
    <row r="3966" spans="1:2" x14ac:dyDescent="0.3">
      <c r="A3966" s="644"/>
      <c r="B3966" s="645"/>
    </row>
    <row r="3967" spans="1:2" x14ac:dyDescent="0.3">
      <c r="A3967" s="644"/>
      <c r="B3967" s="645"/>
    </row>
    <row r="3968" spans="1:2" x14ac:dyDescent="0.3">
      <c r="A3968" s="644"/>
      <c r="B3968" s="645"/>
    </row>
    <row r="3969" spans="1:2" x14ac:dyDescent="0.3">
      <c r="A3969" s="644"/>
      <c r="B3969" s="645"/>
    </row>
    <row r="3970" spans="1:2" x14ac:dyDescent="0.3">
      <c r="A3970" s="644"/>
      <c r="B3970" s="645"/>
    </row>
    <row r="3971" spans="1:2" x14ac:dyDescent="0.3">
      <c r="A3971" s="644"/>
      <c r="B3971" s="645"/>
    </row>
    <row r="3972" spans="1:2" x14ac:dyDescent="0.3">
      <c r="A3972" s="644"/>
      <c r="B3972" s="645"/>
    </row>
    <row r="3973" spans="1:2" x14ac:dyDescent="0.3">
      <c r="A3973" s="644"/>
      <c r="B3973" s="645"/>
    </row>
    <row r="3974" spans="1:2" x14ac:dyDescent="0.3">
      <c r="A3974" s="644"/>
      <c r="B3974" s="645"/>
    </row>
    <row r="3975" spans="1:2" x14ac:dyDescent="0.3">
      <c r="A3975" s="644"/>
      <c r="B3975" s="645"/>
    </row>
    <row r="3976" spans="1:2" x14ac:dyDescent="0.3">
      <c r="A3976" s="644"/>
      <c r="B3976" s="645"/>
    </row>
    <row r="3977" spans="1:2" x14ac:dyDescent="0.3">
      <c r="A3977" s="644"/>
      <c r="B3977" s="645"/>
    </row>
    <row r="3978" spans="1:2" x14ac:dyDescent="0.3">
      <c r="A3978" s="644"/>
      <c r="B3978" s="645"/>
    </row>
    <row r="3979" spans="1:2" x14ac:dyDescent="0.3">
      <c r="A3979" s="644"/>
      <c r="B3979" s="645"/>
    </row>
    <row r="3980" spans="1:2" x14ac:dyDescent="0.3">
      <c r="A3980" s="644"/>
      <c r="B3980" s="645"/>
    </row>
    <row r="3981" spans="1:2" x14ac:dyDescent="0.3">
      <c r="A3981" s="644"/>
      <c r="B3981" s="645"/>
    </row>
    <row r="3982" spans="1:2" x14ac:dyDescent="0.3">
      <c r="A3982" s="644"/>
      <c r="B3982" s="645"/>
    </row>
    <row r="3983" spans="1:2" x14ac:dyDescent="0.3">
      <c r="A3983" s="644"/>
      <c r="B3983" s="645"/>
    </row>
    <row r="3984" spans="1:2" x14ac:dyDescent="0.3">
      <c r="A3984" s="644"/>
      <c r="B3984" s="645"/>
    </row>
    <row r="3985" spans="1:2" x14ac:dyDescent="0.3">
      <c r="A3985" s="644"/>
      <c r="B3985" s="645"/>
    </row>
    <row r="3986" spans="1:2" x14ac:dyDescent="0.3">
      <c r="A3986" s="644"/>
      <c r="B3986" s="645"/>
    </row>
    <row r="3987" spans="1:2" x14ac:dyDescent="0.3">
      <c r="A3987" s="644"/>
      <c r="B3987" s="645"/>
    </row>
    <row r="3988" spans="1:2" x14ac:dyDescent="0.3">
      <c r="A3988" s="644"/>
      <c r="B3988" s="645"/>
    </row>
    <row r="3989" spans="1:2" x14ac:dyDescent="0.3">
      <c r="A3989" s="644"/>
      <c r="B3989" s="645"/>
    </row>
    <row r="3990" spans="1:2" x14ac:dyDescent="0.3">
      <c r="A3990" s="644"/>
      <c r="B3990" s="645"/>
    </row>
    <row r="3991" spans="1:2" x14ac:dyDescent="0.3">
      <c r="A3991" s="644"/>
      <c r="B3991" s="645"/>
    </row>
    <row r="3992" spans="1:2" x14ac:dyDescent="0.3">
      <c r="A3992" s="644"/>
      <c r="B3992" s="645"/>
    </row>
    <row r="3993" spans="1:2" x14ac:dyDescent="0.3">
      <c r="A3993" s="644"/>
      <c r="B3993" s="645"/>
    </row>
    <row r="3994" spans="1:2" x14ac:dyDescent="0.3">
      <c r="A3994" s="644"/>
      <c r="B3994" s="645"/>
    </row>
    <row r="3995" spans="1:2" x14ac:dyDescent="0.3">
      <c r="A3995" s="644"/>
      <c r="B3995" s="645"/>
    </row>
    <row r="3996" spans="1:2" x14ac:dyDescent="0.3">
      <c r="A3996" s="644"/>
      <c r="B3996" s="645"/>
    </row>
    <row r="3997" spans="1:2" x14ac:dyDescent="0.3">
      <c r="A3997" s="644"/>
      <c r="B3997" s="645"/>
    </row>
    <row r="3998" spans="1:2" x14ac:dyDescent="0.3">
      <c r="A3998" s="644"/>
      <c r="B3998" s="645"/>
    </row>
    <row r="3999" spans="1:2" x14ac:dyDescent="0.3">
      <c r="A3999" s="644"/>
      <c r="B3999" s="645"/>
    </row>
    <row r="4000" spans="1:2" x14ac:dyDescent="0.3">
      <c r="A4000" s="644"/>
      <c r="B4000" s="645"/>
    </row>
    <row r="4001" spans="1:2" x14ac:dyDescent="0.3">
      <c r="A4001" s="644"/>
      <c r="B4001" s="645"/>
    </row>
    <row r="4002" spans="1:2" x14ac:dyDescent="0.3">
      <c r="A4002" s="644"/>
      <c r="B4002" s="645"/>
    </row>
    <row r="4003" spans="1:2" x14ac:dyDescent="0.3">
      <c r="A4003" s="644"/>
      <c r="B4003" s="645"/>
    </row>
    <row r="4004" spans="1:2" x14ac:dyDescent="0.3">
      <c r="A4004" s="644"/>
      <c r="B4004" s="645"/>
    </row>
    <row r="4005" spans="1:2" x14ac:dyDescent="0.3">
      <c r="A4005" s="644"/>
      <c r="B4005" s="645"/>
    </row>
    <row r="4006" spans="1:2" x14ac:dyDescent="0.3">
      <c r="A4006" s="644"/>
      <c r="B4006" s="645"/>
    </row>
    <row r="4007" spans="1:2" x14ac:dyDescent="0.3">
      <c r="A4007" s="644"/>
      <c r="B4007" s="645"/>
    </row>
    <row r="4008" spans="1:2" x14ac:dyDescent="0.3">
      <c r="A4008" s="644"/>
      <c r="B4008" s="645"/>
    </row>
    <row r="4009" spans="1:2" x14ac:dyDescent="0.3">
      <c r="A4009" s="644"/>
      <c r="B4009" s="645"/>
    </row>
    <row r="4010" spans="1:2" x14ac:dyDescent="0.3">
      <c r="A4010" s="644"/>
      <c r="B4010" s="645"/>
    </row>
    <row r="4011" spans="1:2" x14ac:dyDescent="0.3">
      <c r="A4011" s="644"/>
      <c r="B4011" s="645"/>
    </row>
    <row r="4012" spans="1:2" x14ac:dyDescent="0.3">
      <c r="A4012" s="644"/>
      <c r="B4012" s="645"/>
    </row>
    <row r="4013" spans="1:2" x14ac:dyDescent="0.3">
      <c r="A4013" s="644"/>
      <c r="B4013" s="645"/>
    </row>
    <row r="4014" spans="1:2" x14ac:dyDescent="0.3">
      <c r="A4014" s="644"/>
      <c r="B4014" s="645"/>
    </row>
    <row r="4015" spans="1:2" x14ac:dyDescent="0.3">
      <c r="A4015" s="644"/>
      <c r="B4015" s="645"/>
    </row>
    <row r="4016" spans="1:2" x14ac:dyDescent="0.3">
      <c r="A4016" s="644"/>
      <c r="B4016" s="645"/>
    </row>
    <row r="4017" spans="1:2" x14ac:dyDescent="0.3">
      <c r="A4017" s="644"/>
      <c r="B4017" s="645"/>
    </row>
    <row r="4018" spans="1:2" x14ac:dyDescent="0.3">
      <c r="A4018" s="644"/>
      <c r="B4018" s="645"/>
    </row>
    <row r="4019" spans="1:2" x14ac:dyDescent="0.3">
      <c r="A4019" s="644"/>
      <c r="B4019" s="645"/>
    </row>
    <row r="4020" spans="1:2" x14ac:dyDescent="0.3">
      <c r="A4020" s="644"/>
      <c r="B4020" s="645"/>
    </row>
    <row r="4021" spans="1:2" x14ac:dyDescent="0.3">
      <c r="A4021" s="644"/>
      <c r="B4021" s="645"/>
    </row>
    <row r="4022" spans="1:2" x14ac:dyDescent="0.3">
      <c r="A4022" s="644"/>
      <c r="B4022" s="645"/>
    </row>
    <row r="4023" spans="1:2" x14ac:dyDescent="0.3">
      <c r="A4023" s="644"/>
      <c r="B4023" s="645"/>
    </row>
    <row r="4024" spans="1:2" x14ac:dyDescent="0.3">
      <c r="A4024" s="644"/>
      <c r="B4024" s="645"/>
    </row>
    <row r="4025" spans="1:2" x14ac:dyDescent="0.3">
      <c r="A4025" s="644"/>
      <c r="B4025" s="645"/>
    </row>
    <row r="4026" spans="1:2" x14ac:dyDescent="0.3">
      <c r="A4026" s="644"/>
      <c r="B4026" s="645"/>
    </row>
    <row r="4027" spans="1:2" x14ac:dyDescent="0.3">
      <c r="A4027" s="644"/>
      <c r="B4027" s="645"/>
    </row>
    <row r="4028" spans="1:2" x14ac:dyDescent="0.3">
      <c r="A4028" s="644"/>
      <c r="B4028" s="645"/>
    </row>
    <row r="4029" spans="1:2" x14ac:dyDescent="0.3">
      <c r="A4029" s="644"/>
      <c r="B4029" s="645"/>
    </row>
    <row r="4030" spans="1:2" x14ac:dyDescent="0.3">
      <c r="A4030" s="644"/>
      <c r="B4030" s="645"/>
    </row>
    <row r="4031" spans="1:2" x14ac:dyDescent="0.3">
      <c r="A4031" s="644"/>
      <c r="B4031" s="645"/>
    </row>
    <row r="4032" spans="1:2" x14ac:dyDescent="0.3">
      <c r="A4032" s="644"/>
      <c r="B4032" s="645"/>
    </row>
    <row r="4033" spans="1:2" x14ac:dyDescent="0.3">
      <c r="A4033" s="644"/>
      <c r="B4033" s="645"/>
    </row>
    <row r="4034" spans="1:2" x14ac:dyDescent="0.3">
      <c r="A4034" s="644"/>
      <c r="B4034" s="645"/>
    </row>
    <row r="4035" spans="1:2" x14ac:dyDescent="0.3">
      <c r="A4035" s="644"/>
      <c r="B4035" s="645"/>
    </row>
    <row r="4036" spans="1:2" x14ac:dyDescent="0.3">
      <c r="A4036" s="644"/>
      <c r="B4036" s="645"/>
    </row>
    <row r="4037" spans="1:2" x14ac:dyDescent="0.3">
      <c r="A4037" s="644"/>
      <c r="B4037" s="645"/>
    </row>
    <row r="4038" spans="1:2" x14ac:dyDescent="0.3">
      <c r="A4038" s="644"/>
      <c r="B4038" s="645"/>
    </row>
    <row r="4039" spans="1:2" x14ac:dyDescent="0.3">
      <c r="A4039" s="644"/>
      <c r="B4039" s="645"/>
    </row>
    <row r="4040" spans="1:2" x14ac:dyDescent="0.3">
      <c r="A4040" s="644"/>
      <c r="B4040" s="645"/>
    </row>
    <row r="4041" spans="1:2" x14ac:dyDescent="0.3">
      <c r="A4041" s="644"/>
      <c r="B4041" s="645"/>
    </row>
    <row r="4042" spans="1:2" x14ac:dyDescent="0.3">
      <c r="A4042" s="644"/>
      <c r="B4042" s="645"/>
    </row>
    <row r="4043" spans="1:2" x14ac:dyDescent="0.3">
      <c r="A4043" s="644"/>
      <c r="B4043" s="645"/>
    </row>
    <row r="4044" spans="1:2" x14ac:dyDescent="0.3">
      <c r="A4044" s="644"/>
      <c r="B4044" s="645"/>
    </row>
    <row r="4045" spans="1:2" x14ac:dyDescent="0.3">
      <c r="A4045" s="644"/>
      <c r="B4045" s="645"/>
    </row>
    <row r="4046" spans="1:2" x14ac:dyDescent="0.3">
      <c r="A4046" s="644"/>
      <c r="B4046" s="645"/>
    </row>
    <row r="4047" spans="1:2" x14ac:dyDescent="0.3">
      <c r="A4047" s="644"/>
      <c r="B4047" s="645"/>
    </row>
    <row r="4048" spans="1:2" x14ac:dyDescent="0.3">
      <c r="A4048" s="644"/>
      <c r="B4048" s="645"/>
    </row>
    <row r="4049" spans="1:2" x14ac:dyDescent="0.3">
      <c r="A4049" s="644"/>
      <c r="B4049" s="645"/>
    </row>
    <row r="4050" spans="1:2" x14ac:dyDescent="0.3">
      <c r="A4050" s="644"/>
      <c r="B4050" s="645"/>
    </row>
    <row r="4051" spans="1:2" x14ac:dyDescent="0.3">
      <c r="A4051" s="644"/>
      <c r="B4051" s="645"/>
    </row>
    <row r="4052" spans="1:2" x14ac:dyDescent="0.3">
      <c r="A4052" s="644"/>
      <c r="B4052" s="645"/>
    </row>
    <row r="4053" spans="1:2" x14ac:dyDescent="0.3">
      <c r="A4053" s="644"/>
      <c r="B4053" s="645"/>
    </row>
    <row r="4054" spans="1:2" x14ac:dyDescent="0.3">
      <c r="A4054" s="644"/>
      <c r="B4054" s="645"/>
    </row>
    <row r="4055" spans="1:2" x14ac:dyDescent="0.3">
      <c r="A4055" s="644"/>
      <c r="B4055" s="645"/>
    </row>
    <row r="4056" spans="1:2" x14ac:dyDescent="0.3">
      <c r="A4056" s="644"/>
      <c r="B4056" s="645"/>
    </row>
    <row r="4057" spans="1:2" x14ac:dyDescent="0.3">
      <c r="A4057" s="644"/>
      <c r="B4057" s="645"/>
    </row>
    <row r="4058" spans="1:2" x14ac:dyDescent="0.3">
      <c r="A4058" s="644"/>
      <c r="B4058" s="645"/>
    </row>
    <row r="4059" spans="1:2" x14ac:dyDescent="0.3">
      <c r="A4059" s="644"/>
      <c r="B4059" s="645"/>
    </row>
    <row r="4060" spans="1:2" x14ac:dyDescent="0.3">
      <c r="A4060" s="644"/>
      <c r="B4060" s="645"/>
    </row>
    <row r="4061" spans="1:2" x14ac:dyDescent="0.3">
      <c r="A4061" s="644"/>
      <c r="B4061" s="645"/>
    </row>
    <row r="4062" spans="1:2" x14ac:dyDescent="0.3">
      <c r="A4062" s="644"/>
      <c r="B4062" s="645"/>
    </row>
    <row r="4063" spans="1:2" x14ac:dyDescent="0.3">
      <c r="A4063" s="644"/>
      <c r="B4063" s="645"/>
    </row>
    <row r="4064" spans="1:2" x14ac:dyDescent="0.3">
      <c r="A4064" s="644"/>
      <c r="B4064" s="645"/>
    </row>
    <row r="4065" spans="1:2" x14ac:dyDescent="0.3">
      <c r="A4065" s="644"/>
      <c r="B4065" s="645"/>
    </row>
    <row r="4066" spans="1:2" x14ac:dyDescent="0.3">
      <c r="A4066" s="644"/>
      <c r="B4066" s="645"/>
    </row>
    <row r="4067" spans="1:2" x14ac:dyDescent="0.3">
      <c r="A4067" s="644"/>
      <c r="B4067" s="645"/>
    </row>
    <row r="4068" spans="1:2" x14ac:dyDescent="0.3">
      <c r="A4068" s="644"/>
      <c r="B4068" s="645"/>
    </row>
    <row r="4069" spans="1:2" x14ac:dyDescent="0.3">
      <c r="A4069" s="644"/>
      <c r="B4069" s="645"/>
    </row>
    <row r="4070" spans="1:2" x14ac:dyDescent="0.3">
      <c r="A4070" s="644"/>
      <c r="B4070" s="645"/>
    </row>
    <row r="4071" spans="1:2" x14ac:dyDescent="0.3">
      <c r="A4071" s="644"/>
      <c r="B4071" s="645"/>
    </row>
    <row r="4072" spans="1:2" x14ac:dyDescent="0.3">
      <c r="A4072" s="644"/>
      <c r="B4072" s="645"/>
    </row>
    <row r="4073" spans="1:2" x14ac:dyDescent="0.3">
      <c r="A4073" s="644"/>
      <c r="B4073" s="645"/>
    </row>
    <row r="4074" spans="1:2" x14ac:dyDescent="0.3">
      <c r="A4074" s="644"/>
      <c r="B4074" s="645"/>
    </row>
    <row r="4075" spans="1:2" x14ac:dyDescent="0.3">
      <c r="A4075" s="644"/>
      <c r="B4075" s="645"/>
    </row>
    <row r="4076" spans="1:2" x14ac:dyDescent="0.3">
      <c r="A4076" s="644"/>
      <c r="B4076" s="645"/>
    </row>
    <row r="4077" spans="1:2" x14ac:dyDescent="0.3">
      <c r="A4077" s="644"/>
      <c r="B4077" s="645"/>
    </row>
    <row r="4078" spans="1:2" x14ac:dyDescent="0.3">
      <c r="A4078" s="644"/>
      <c r="B4078" s="645"/>
    </row>
    <row r="4079" spans="1:2" x14ac:dyDescent="0.3">
      <c r="A4079" s="644"/>
      <c r="B4079" s="645"/>
    </row>
    <row r="4080" spans="1:2" x14ac:dyDescent="0.3">
      <c r="A4080" s="644"/>
      <c r="B4080" s="645"/>
    </row>
    <row r="4081" spans="1:2" x14ac:dyDescent="0.3">
      <c r="A4081" s="644"/>
      <c r="B4081" s="645"/>
    </row>
    <row r="4082" spans="1:2" x14ac:dyDescent="0.3">
      <c r="A4082" s="644"/>
      <c r="B4082" s="645"/>
    </row>
    <row r="4083" spans="1:2" x14ac:dyDescent="0.3">
      <c r="A4083" s="644"/>
      <c r="B4083" s="645"/>
    </row>
    <row r="4084" spans="1:2" x14ac:dyDescent="0.3">
      <c r="A4084" s="644"/>
      <c r="B4084" s="645"/>
    </row>
    <row r="4085" spans="1:2" x14ac:dyDescent="0.3">
      <c r="A4085" s="644"/>
      <c r="B4085" s="645"/>
    </row>
    <row r="4086" spans="1:2" x14ac:dyDescent="0.3">
      <c r="A4086" s="644"/>
      <c r="B4086" s="645"/>
    </row>
    <row r="4087" spans="1:2" x14ac:dyDescent="0.3">
      <c r="A4087" s="644"/>
      <c r="B4087" s="645"/>
    </row>
    <row r="4088" spans="1:2" x14ac:dyDescent="0.3">
      <c r="A4088" s="644"/>
      <c r="B4088" s="645"/>
    </row>
    <row r="4089" spans="1:2" x14ac:dyDescent="0.3">
      <c r="A4089" s="644"/>
      <c r="B4089" s="645"/>
    </row>
    <row r="4090" spans="1:2" x14ac:dyDescent="0.3">
      <c r="A4090" s="644"/>
      <c r="B4090" s="645"/>
    </row>
    <row r="4091" spans="1:2" x14ac:dyDescent="0.3">
      <c r="A4091" s="644"/>
      <c r="B4091" s="645"/>
    </row>
    <row r="4092" spans="1:2" x14ac:dyDescent="0.3">
      <c r="A4092" s="644"/>
      <c r="B4092" s="645"/>
    </row>
    <row r="4093" spans="1:2" x14ac:dyDescent="0.3">
      <c r="A4093" s="644"/>
      <c r="B4093" s="645"/>
    </row>
    <row r="4094" spans="1:2" x14ac:dyDescent="0.3">
      <c r="A4094" s="644"/>
      <c r="B4094" s="645"/>
    </row>
    <row r="4095" spans="1:2" x14ac:dyDescent="0.3">
      <c r="A4095" s="644"/>
      <c r="B4095" s="645"/>
    </row>
    <row r="4096" spans="1:2" x14ac:dyDescent="0.3">
      <c r="A4096" s="644"/>
      <c r="B4096" s="645"/>
    </row>
    <row r="4097" spans="1:2" x14ac:dyDescent="0.3">
      <c r="A4097" s="644"/>
      <c r="B4097" s="645"/>
    </row>
    <row r="4098" spans="1:2" x14ac:dyDescent="0.3">
      <c r="A4098" s="644"/>
      <c r="B4098" s="645"/>
    </row>
    <row r="4099" spans="1:2" x14ac:dyDescent="0.3">
      <c r="A4099" s="644"/>
      <c r="B4099" s="645"/>
    </row>
    <row r="4100" spans="1:2" x14ac:dyDescent="0.3">
      <c r="A4100" s="644"/>
      <c r="B4100" s="645"/>
    </row>
    <row r="4101" spans="1:2" x14ac:dyDescent="0.3">
      <c r="A4101" s="644"/>
      <c r="B4101" s="645"/>
    </row>
    <row r="4102" spans="1:2" x14ac:dyDescent="0.3">
      <c r="A4102" s="644"/>
      <c r="B4102" s="645"/>
    </row>
    <row r="4103" spans="1:2" x14ac:dyDescent="0.3">
      <c r="A4103" s="644"/>
      <c r="B4103" s="645"/>
    </row>
    <row r="4104" spans="1:2" x14ac:dyDescent="0.3">
      <c r="A4104" s="644"/>
      <c r="B4104" s="645"/>
    </row>
    <row r="4105" spans="1:2" x14ac:dyDescent="0.3">
      <c r="A4105" s="644"/>
      <c r="B4105" s="645"/>
    </row>
    <row r="4106" spans="1:2" x14ac:dyDescent="0.3">
      <c r="A4106" s="644"/>
      <c r="B4106" s="645"/>
    </row>
    <row r="4107" spans="1:2" x14ac:dyDescent="0.3">
      <c r="A4107" s="644"/>
      <c r="B4107" s="645"/>
    </row>
    <row r="4108" spans="1:2" x14ac:dyDescent="0.3">
      <c r="A4108" s="644"/>
      <c r="B4108" s="645"/>
    </row>
    <row r="4109" spans="1:2" x14ac:dyDescent="0.3">
      <c r="A4109" s="644"/>
      <c r="B4109" s="645"/>
    </row>
    <row r="4110" spans="1:2" x14ac:dyDescent="0.3">
      <c r="A4110" s="644"/>
      <c r="B4110" s="645"/>
    </row>
    <row r="4111" spans="1:2" x14ac:dyDescent="0.3">
      <c r="A4111" s="644"/>
      <c r="B4111" s="645"/>
    </row>
    <row r="4112" spans="1:2" x14ac:dyDescent="0.3">
      <c r="A4112" s="644"/>
      <c r="B4112" s="645"/>
    </row>
    <row r="4113" spans="1:2" x14ac:dyDescent="0.3">
      <c r="A4113" s="644"/>
      <c r="B4113" s="645"/>
    </row>
    <row r="4114" spans="1:2" x14ac:dyDescent="0.3">
      <c r="A4114" s="644"/>
      <c r="B4114" s="645"/>
    </row>
    <row r="4115" spans="1:2" x14ac:dyDescent="0.3">
      <c r="A4115" s="644"/>
      <c r="B4115" s="645"/>
    </row>
    <row r="4116" spans="1:2" x14ac:dyDescent="0.3">
      <c r="A4116" s="644"/>
      <c r="B4116" s="645"/>
    </row>
    <row r="4117" spans="1:2" x14ac:dyDescent="0.3">
      <c r="A4117" s="644"/>
      <c r="B4117" s="645"/>
    </row>
    <row r="4118" spans="1:2" x14ac:dyDescent="0.3">
      <c r="A4118" s="644"/>
      <c r="B4118" s="645"/>
    </row>
    <row r="4119" spans="1:2" x14ac:dyDescent="0.3">
      <c r="A4119" s="644"/>
      <c r="B4119" s="645"/>
    </row>
    <row r="4120" spans="1:2" x14ac:dyDescent="0.3">
      <c r="A4120" s="644"/>
      <c r="B4120" s="645"/>
    </row>
    <row r="4121" spans="1:2" x14ac:dyDescent="0.3">
      <c r="A4121" s="644"/>
      <c r="B4121" s="645"/>
    </row>
    <row r="4122" spans="1:2" x14ac:dyDescent="0.3">
      <c r="A4122" s="644"/>
      <c r="B4122" s="645"/>
    </row>
    <row r="4123" spans="1:2" x14ac:dyDescent="0.3">
      <c r="A4123" s="644"/>
      <c r="B4123" s="645"/>
    </row>
    <row r="4124" spans="1:2" x14ac:dyDescent="0.3">
      <c r="A4124" s="644"/>
      <c r="B4124" s="645"/>
    </row>
    <row r="4125" spans="1:2" x14ac:dyDescent="0.3">
      <c r="A4125" s="644"/>
      <c r="B4125" s="645"/>
    </row>
    <row r="4126" spans="1:2" x14ac:dyDescent="0.3">
      <c r="A4126" s="644"/>
      <c r="B4126" s="645"/>
    </row>
    <row r="4127" spans="1:2" x14ac:dyDescent="0.3">
      <c r="A4127" s="644"/>
      <c r="B4127" s="645"/>
    </row>
    <row r="4128" spans="1:2" x14ac:dyDescent="0.3">
      <c r="A4128" s="644"/>
      <c r="B4128" s="645"/>
    </row>
    <row r="4129" spans="1:2" x14ac:dyDescent="0.3">
      <c r="A4129" s="644"/>
      <c r="B4129" s="645"/>
    </row>
    <row r="4130" spans="1:2" x14ac:dyDescent="0.3">
      <c r="A4130" s="644"/>
      <c r="B4130" s="645"/>
    </row>
    <row r="4131" spans="1:2" x14ac:dyDescent="0.3">
      <c r="A4131" s="644"/>
      <c r="B4131" s="645"/>
    </row>
    <row r="4132" spans="1:2" x14ac:dyDescent="0.3">
      <c r="A4132" s="644"/>
      <c r="B4132" s="645"/>
    </row>
    <row r="4133" spans="1:2" x14ac:dyDescent="0.3">
      <c r="A4133" s="644"/>
      <c r="B4133" s="645"/>
    </row>
    <row r="4134" spans="1:2" x14ac:dyDescent="0.3">
      <c r="A4134" s="644"/>
      <c r="B4134" s="645"/>
    </row>
    <row r="4135" spans="1:2" x14ac:dyDescent="0.3">
      <c r="A4135" s="644"/>
      <c r="B4135" s="645"/>
    </row>
    <row r="4136" spans="1:2" x14ac:dyDescent="0.3">
      <c r="A4136" s="644"/>
      <c r="B4136" s="645"/>
    </row>
    <row r="4137" spans="1:2" x14ac:dyDescent="0.3">
      <c r="A4137" s="644"/>
      <c r="B4137" s="645"/>
    </row>
    <row r="4138" spans="1:2" x14ac:dyDescent="0.3">
      <c r="A4138" s="644"/>
      <c r="B4138" s="645"/>
    </row>
    <row r="4139" spans="1:2" x14ac:dyDescent="0.3">
      <c r="A4139" s="644"/>
      <c r="B4139" s="645"/>
    </row>
    <row r="4140" spans="1:2" x14ac:dyDescent="0.3">
      <c r="A4140" s="644"/>
      <c r="B4140" s="645"/>
    </row>
    <row r="4141" spans="1:2" x14ac:dyDescent="0.3">
      <c r="A4141" s="644"/>
      <c r="B4141" s="645"/>
    </row>
    <row r="4142" spans="1:2" x14ac:dyDescent="0.3">
      <c r="A4142" s="644"/>
      <c r="B4142" s="645"/>
    </row>
    <row r="4143" spans="1:2" x14ac:dyDescent="0.3">
      <c r="A4143" s="644"/>
      <c r="B4143" s="645"/>
    </row>
    <row r="4144" spans="1:2" x14ac:dyDescent="0.3">
      <c r="A4144" s="644"/>
      <c r="B4144" s="645"/>
    </row>
    <row r="4145" spans="1:2" x14ac:dyDescent="0.3">
      <c r="A4145" s="644"/>
      <c r="B4145" s="645"/>
    </row>
    <row r="4146" spans="1:2" x14ac:dyDescent="0.3">
      <c r="A4146" s="644"/>
      <c r="B4146" s="645"/>
    </row>
    <row r="4147" spans="1:2" x14ac:dyDescent="0.3">
      <c r="A4147" s="644"/>
      <c r="B4147" s="645"/>
    </row>
    <row r="4148" spans="1:2" x14ac:dyDescent="0.3">
      <c r="A4148" s="644"/>
      <c r="B4148" s="645"/>
    </row>
    <row r="4149" spans="1:2" x14ac:dyDescent="0.3">
      <c r="A4149" s="644"/>
      <c r="B4149" s="645"/>
    </row>
    <row r="4150" spans="1:2" x14ac:dyDescent="0.3">
      <c r="A4150" s="644"/>
      <c r="B4150" s="645"/>
    </row>
    <row r="4151" spans="1:2" x14ac:dyDescent="0.3">
      <c r="A4151" s="644"/>
      <c r="B4151" s="645"/>
    </row>
    <row r="4152" spans="1:2" x14ac:dyDescent="0.3">
      <c r="A4152" s="644"/>
      <c r="B4152" s="645"/>
    </row>
    <row r="4153" spans="1:2" x14ac:dyDescent="0.3">
      <c r="A4153" s="644"/>
      <c r="B4153" s="645"/>
    </row>
    <row r="4154" spans="1:2" x14ac:dyDescent="0.3">
      <c r="A4154" s="644"/>
      <c r="B4154" s="645"/>
    </row>
    <row r="4155" spans="1:2" x14ac:dyDescent="0.3">
      <c r="A4155" s="644"/>
      <c r="B4155" s="645"/>
    </row>
    <row r="4156" spans="1:2" x14ac:dyDescent="0.3">
      <c r="A4156" s="644"/>
      <c r="B4156" s="645"/>
    </row>
    <row r="4157" spans="1:2" x14ac:dyDescent="0.3">
      <c r="A4157" s="644"/>
      <c r="B4157" s="645"/>
    </row>
    <row r="4158" spans="1:2" x14ac:dyDescent="0.3">
      <c r="A4158" s="644"/>
      <c r="B4158" s="645"/>
    </row>
    <row r="4159" spans="1:2" x14ac:dyDescent="0.3">
      <c r="A4159" s="644"/>
      <c r="B4159" s="645"/>
    </row>
    <row r="4160" spans="1:2" x14ac:dyDescent="0.3">
      <c r="A4160" s="644"/>
      <c r="B4160" s="645"/>
    </row>
    <row r="4161" spans="1:2" x14ac:dyDescent="0.3">
      <c r="A4161" s="644"/>
      <c r="B4161" s="645"/>
    </row>
    <row r="4162" spans="1:2" x14ac:dyDescent="0.3">
      <c r="A4162" s="644"/>
      <c r="B4162" s="645"/>
    </row>
    <row r="4163" spans="1:2" x14ac:dyDescent="0.3">
      <c r="A4163" s="644"/>
      <c r="B4163" s="645"/>
    </row>
    <row r="4164" spans="1:2" x14ac:dyDescent="0.3">
      <c r="A4164" s="644"/>
      <c r="B4164" s="645"/>
    </row>
    <row r="4165" spans="1:2" x14ac:dyDescent="0.3">
      <c r="A4165" s="644"/>
      <c r="B4165" s="645"/>
    </row>
    <row r="4166" spans="1:2" x14ac:dyDescent="0.3">
      <c r="A4166" s="644"/>
      <c r="B4166" s="645"/>
    </row>
    <row r="4167" spans="1:2" x14ac:dyDescent="0.3">
      <c r="A4167" s="644"/>
      <c r="B4167" s="645"/>
    </row>
    <row r="4168" spans="1:2" x14ac:dyDescent="0.3">
      <c r="A4168" s="644"/>
      <c r="B4168" s="645"/>
    </row>
    <row r="4169" spans="1:2" x14ac:dyDescent="0.3">
      <c r="A4169" s="644"/>
      <c r="B4169" s="645"/>
    </row>
    <row r="4170" spans="1:2" x14ac:dyDescent="0.3">
      <c r="A4170" s="644"/>
      <c r="B4170" s="645"/>
    </row>
    <row r="4171" spans="1:2" x14ac:dyDescent="0.3">
      <c r="A4171" s="644"/>
      <c r="B4171" s="645"/>
    </row>
    <row r="4172" spans="1:2" x14ac:dyDescent="0.3">
      <c r="A4172" s="644"/>
      <c r="B4172" s="645"/>
    </row>
    <row r="4173" spans="1:2" x14ac:dyDescent="0.3">
      <c r="A4173" s="644"/>
      <c r="B4173" s="645"/>
    </row>
    <row r="4174" spans="1:2" x14ac:dyDescent="0.3">
      <c r="A4174" s="644"/>
      <c r="B4174" s="645"/>
    </row>
    <row r="4175" spans="1:2" x14ac:dyDescent="0.3">
      <c r="A4175" s="644"/>
      <c r="B4175" s="645"/>
    </row>
    <row r="4176" spans="1:2" x14ac:dyDescent="0.3">
      <c r="A4176" s="644"/>
      <c r="B4176" s="645"/>
    </row>
    <row r="4177" spans="1:2" x14ac:dyDescent="0.3">
      <c r="A4177" s="644"/>
      <c r="B4177" s="645"/>
    </row>
    <row r="4178" spans="1:2" x14ac:dyDescent="0.3">
      <c r="A4178" s="644"/>
      <c r="B4178" s="645"/>
    </row>
    <row r="4179" spans="1:2" x14ac:dyDescent="0.3">
      <c r="A4179" s="644"/>
      <c r="B4179" s="645"/>
    </row>
    <row r="4180" spans="1:2" x14ac:dyDescent="0.3">
      <c r="A4180" s="644"/>
      <c r="B4180" s="645"/>
    </row>
    <row r="4181" spans="1:2" x14ac:dyDescent="0.3">
      <c r="A4181" s="644"/>
      <c r="B4181" s="645"/>
    </row>
    <row r="4182" spans="1:2" x14ac:dyDescent="0.3">
      <c r="A4182" s="644"/>
      <c r="B4182" s="645"/>
    </row>
    <row r="4183" spans="1:2" x14ac:dyDescent="0.3">
      <c r="A4183" s="644"/>
      <c r="B4183" s="645"/>
    </row>
    <row r="4184" spans="1:2" x14ac:dyDescent="0.3">
      <c r="A4184" s="644"/>
      <c r="B4184" s="645"/>
    </row>
    <row r="4185" spans="1:2" x14ac:dyDescent="0.3">
      <c r="A4185" s="644"/>
      <c r="B4185" s="645"/>
    </row>
    <row r="4186" spans="1:2" x14ac:dyDescent="0.3">
      <c r="A4186" s="644"/>
      <c r="B4186" s="645"/>
    </row>
    <row r="4187" spans="1:2" x14ac:dyDescent="0.3">
      <c r="A4187" s="644"/>
      <c r="B4187" s="645"/>
    </row>
    <row r="4188" spans="1:2" x14ac:dyDescent="0.3">
      <c r="A4188" s="644"/>
      <c r="B4188" s="645"/>
    </row>
    <row r="4189" spans="1:2" x14ac:dyDescent="0.3">
      <c r="A4189" s="644"/>
      <c r="B4189" s="645"/>
    </row>
    <row r="4190" spans="1:2" x14ac:dyDescent="0.3">
      <c r="A4190" s="644"/>
      <c r="B4190" s="645"/>
    </row>
    <row r="4191" spans="1:2" x14ac:dyDescent="0.3">
      <c r="A4191" s="644"/>
      <c r="B4191" s="645"/>
    </row>
    <row r="4192" spans="1:2" x14ac:dyDescent="0.3">
      <c r="A4192" s="644"/>
      <c r="B4192" s="645"/>
    </row>
    <row r="4193" spans="1:2" x14ac:dyDescent="0.3">
      <c r="A4193" s="644"/>
      <c r="B4193" s="645"/>
    </row>
    <row r="4194" spans="1:2" x14ac:dyDescent="0.3">
      <c r="A4194" s="644"/>
      <c r="B4194" s="645"/>
    </row>
    <row r="4195" spans="1:2" x14ac:dyDescent="0.3">
      <c r="A4195" s="644"/>
      <c r="B4195" s="645"/>
    </row>
    <row r="4196" spans="1:2" x14ac:dyDescent="0.3">
      <c r="A4196" s="644"/>
      <c r="B4196" s="645"/>
    </row>
    <row r="4197" spans="1:2" x14ac:dyDescent="0.3">
      <c r="A4197" s="644"/>
      <c r="B4197" s="645"/>
    </row>
    <row r="4198" spans="1:2" x14ac:dyDescent="0.3">
      <c r="A4198" s="644"/>
      <c r="B4198" s="645"/>
    </row>
    <row r="4199" spans="1:2" x14ac:dyDescent="0.3">
      <c r="A4199" s="644"/>
      <c r="B4199" s="645"/>
    </row>
    <row r="4200" spans="1:2" x14ac:dyDescent="0.3">
      <c r="A4200" s="644"/>
      <c r="B4200" s="645"/>
    </row>
    <row r="4201" spans="1:2" x14ac:dyDescent="0.3">
      <c r="A4201" s="644"/>
      <c r="B4201" s="645"/>
    </row>
    <row r="4202" spans="1:2" x14ac:dyDescent="0.3">
      <c r="A4202" s="644"/>
      <c r="B4202" s="645"/>
    </row>
    <row r="4203" spans="1:2" x14ac:dyDescent="0.3">
      <c r="A4203" s="644"/>
      <c r="B4203" s="645"/>
    </row>
    <row r="4204" spans="1:2" x14ac:dyDescent="0.3">
      <c r="A4204" s="644"/>
      <c r="B4204" s="645"/>
    </row>
    <row r="4205" spans="1:2" x14ac:dyDescent="0.3">
      <c r="A4205" s="644"/>
      <c r="B4205" s="645"/>
    </row>
    <row r="4206" spans="1:2" x14ac:dyDescent="0.3">
      <c r="A4206" s="644"/>
      <c r="B4206" s="645"/>
    </row>
    <row r="4207" spans="1:2" x14ac:dyDescent="0.3">
      <c r="A4207" s="644"/>
      <c r="B4207" s="645"/>
    </row>
    <row r="4208" spans="1:2" x14ac:dyDescent="0.3">
      <c r="A4208" s="644"/>
      <c r="B4208" s="645"/>
    </row>
    <row r="4209" spans="1:2" x14ac:dyDescent="0.3">
      <c r="A4209" s="644"/>
      <c r="B4209" s="645"/>
    </row>
    <row r="4210" spans="1:2" x14ac:dyDescent="0.3">
      <c r="A4210" s="644"/>
      <c r="B4210" s="645"/>
    </row>
    <row r="4211" spans="1:2" x14ac:dyDescent="0.3">
      <c r="A4211" s="644"/>
      <c r="B4211" s="645"/>
    </row>
    <row r="4212" spans="1:2" x14ac:dyDescent="0.3">
      <c r="A4212" s="644"/>
      <c r="B4212" s="645"/>
    </row>
    <row r="4213" spans="1:2" x14ac:dyDescent="0.3">
      <c r="A4213" s="644"/>
      <c r="B4213" s="645"/>
    </row>
    <row r="4214" spans="1:2" x14ac:dyDescent="0.3">
      <c r="A4214" s="644"/>
      <c r="B4214" s="645"/>
    </row>
    <row r="4215" spans="1:2" x14ac:dyDescent="0.3">
      <c r="A4215" s="644"/>
      <c r="B4215" s="645"/>
    </row>
    <row r="4216" spans="1:2" x14ac:dyDescent="0.3">
      <c r="A4216" s="644"/>
      <c r="B4216" s="645"/>
    </row>
    <row r="4217" spans="1:2" x14ac:dyDescent="0.3">
      <c r="A4217" s="644"/>
      <c r="B4217" s="645"/>
    </row>
    <row r="4218" spans="1:2" x14ac:dyDescent="0.3">
      <c r="A4218" s="644"/>
      <c r="B4218" s="645"/>
    </row>
    <row r="4219" spans="1:2" x14ac:dyDescent="0.3">
      <c r="A4219" s="644"/>
      <c r="B4219" s="645"/>
    </row>
    <row r="4220" spans="1:2" x14ac:dyDescent="0.3">
      <c r="A4220" s="644"/>
      <c r="B4220" s="645"/>
    </row>
    <row r="4221" spans="1:2" x14ac:dyDescent="0.3">
      <c r="A4221" s="644"/>
      <c r="B4221" s="645"/>
    </row>
    <row r="4222" spans="1:2" x14ac:dyDescent="0.3">
      <c r="A4222" s="644"/>
      <c r="B4222" s="645"/>
    </row>
    <row r="4223" spans="1:2" x14ac:dyDescent="0.3">
      <c r="A4223" s="644"/>
      <c r="B4223" s="645"/>
    </row>
    <row r="4224" spans="1:2" x14ac:dyDescent="0.3">
      <c r="A4224" s="644"/>
      <c r="B4224" s="645"/>
    </row>
    <row r="4225" spans="1:2" x14ac:dyDescent="0.3">
      <c r="A4225" s="644"/>
      <c r="B4225" s="645"/>
    </row>
    <row r="4226" spans="1:2" x14ac:dyDescent="0.3">
      <c r="A4226" s="644"/>
      <c r="B4226" s="645"/>
    </row>
    <row r="4227" spans="1:2" x14ac:dyDescent="0.3">
      <c r="A4227" s="644"/>
      <c r="B4227" s="645"/>
    </row>
    <row r="4228" spans="1:2" x14ac:dyDescent="0.3">
      <c r="A4228" s="644"/>
      <c r="B4228" s="645"/>
    </row>
    <row r="4229" spans="1:2" x14ac:dyDescent="0.3">
      <c r="A4229" s="644"/>
      <c r="B4229" s="645"/>
    </row>
    <row r="4230" spans="1:2" x14ac:dyDescent="0.3">
      <c r="A4230" s="644"/>
      <c r="B4230" s="645"/>
    </row>
    <row r="4231" spans="1:2" x14ac:dyDescent="0.3">
      <c r="A4231" s="644"/>
      <c r="B4231" s="645"/>
    </row>
    <row r="4232" spans="1:2" x14ac:dyDescent="0.3">
      <c r="A4232" s="644"/>
      <c r="B4232" s="645"/>
    </row>
    <row r="4233" spans="1:2" x14ac:dyDescent="0.3">
      <c r="A4233" s="644"/>
      <c r="B4233" s="645"/>
    </row>
    <row r="4234" spans="1:2" x14ac:dyDescent="0.3">
      <c r="A4234" s="644"/>
      <c r="B4234" s="645"/>
    </row>
    <row r="4235" spans="1:2" x14ac:dyDescent="0.3">
      <c r="A4235" s="644"/>
      <c r="B4235" s="645"/>
    </row>
    <row r="4236" spans="1:2" x14ac:dyDescent="0.3">
      <c r="A4236" s="644"/>
      <c r="B4236" s="645"/>
    </row>
    <row r="4237" spans="1:2" x14ac:dyDescent="0.3">
      <c r="A4237" s="644"/>
      <c r="B4237" s="645"/>
    </row>
    <row r="4238" spans="1:2" x14ac:dyDescent="0.3">
      <c r="A4238" s="644"/>
      <c r="B4238" s="645"/>
    </row>
    <row r="4239" spans="1:2" x14ac:dyDescent="0.3">
      <c r="A4239" s="644"/>
      <c r="B4239" s="645"/>
    </row>
    <row r="4240" spans="1:2" x14ac:dyDescent="0.3">
      <c r="A4240" s="644"/>
      <c r="B4240" s="645"/>
    </row>
    <row r="4241" spans="1:2" x14ac:dyDescent="0.3">
      <c r="A4241" s="644"/>
      <c r="B4241" s="645"/>
    </row>
    <row r="4242" spans="1:2" x14ac:dyDescent="0.3">
      <c r="A4242" s="644"/>
      <c r="B4242" s="645"/>
    </row>
    <row r="4243" spans="1:2" x14ac:dyDescent="0.3">
      <c r="A4243" s="644"/>
      <c r="B4243" s="645"/>
    </row>
    <row r="4244" spans="1:2" x14ac:dyDescent="0.3">
      <c r="A4244" s="644"/>
      <c r="B4244" s="645"/>
    </row>
    <row r="4245" spans="1:2" x14ac:dyDescent="0.3">
      <c r="A4245" s="644"/>
      <c r="B4245" s="645"/>
    </row>
    <row r="4246" spans="1:2" x14ac:dyDescent="0.3">
      <c r="A4246" s="644"/>
      <c r="B4246" s="645"/>
    </row>
    <row r="4247" spans="1:2" x14ac:dyDescent="0.3">
      <c r="A4247" s="644"/>
      <c r="B4247" s="645"/>
    </row>
    <row r="4248" spans="1:2" x14ac:dyDescent="0.3">
      <c r="A4248" s="644"/>
      <c r="B4248" s="645"/>
    </row>
    <row r="4249" spans="1:2" x14ac:dyDescent="0.3">
      <c r="A4249" s="644"/>
      <c r="B4249" s="645"/>
    </row>
    <row r="4250" spans="1:2" x14ac:dyDescent="0.3">
      <c r="A4250" s="644"/>
      <c r="B4250" s="645"/>
    </row>
    <row r="4251" spans="1:2" x14ac:dyDescent="0.3">
      <c r="A4251" s="644"/>
      <c r="B4251" s="645"/>
    </row>
    <row r="4252" spans="1:2" x14ac:dyDescent="0.3">
      <c r="A4252" s="644"/>
      <c r="B4252" s="645"/>
    </row>
    <row r="4253" spans="1:2" x14ac:dyDescent="0.3">
      <c r="A4253" s="644"/>
      <c r="B4253" s="645"/>
    </row>
    <row r="4254" spans="1:2" x14ac:dyDescent="0.3">
      <c r="A4254" s="644"/>
      <c r="B4254" s="645"/>
    </row>
    <row r="4255" spans="1:2" x14ac:dyDescent="0.3">
      <c r="A4255" s="644"/>
      <c r="B4255" s="645"/>
    </row>
    <row r="4256" spans="1:2" x14ac:dyDescent="0.3">
      <c r="A4256" s="644"/>
      <c r="B4256" s="645"/>
    </row>
    <row r="4257" spans="1:2" x14ac:dyDescent="0.3">
      <c r="A4257" s="644"/>
      <c r="B4257" s="645"/>
    </row>
    <row r="4258" spans="1:2" x14ac:dyDescent="0.3">
      <c r="A4258" s="644"/>
      <c r="B4258" s="645"/>
    </row>
    <row r="4259" spans="1:2" x14ac:dyDescent="0.3">
      <c r="A4259" s="644"/>
      <c r="B4259" s="645"/>
    </row>
    <row r="4260" spans="1:2" x14ac:dyDescent="0.3">
      <c r="A4260" s="644"/>
      <c r="B4260" s="645"/>
    </row>
    <row r="4261" spans="1:2" x14ac:dyDescent="0.3">
      <c r="A4261" s="644"/>
      <c r="B4261" s="645"/>
    </row>
    <row r="4262" spans="1:2" x14ac:dyDescent="0.3">
      <c r="A4262" s="644"/>
      <c r="B4262" s="645"/>
    </row>
    <row r="4263" spans="1:2" x14ac:dyDescent="0.3">
      <c r="A4263" s="644"/>
      <c r="B4263" s="645"/>
    </row>
    <row r="4264" spans="1:2" x14ac:dyDescent="0.3">
      <c r="A4264" s="644"/>
      <c r="B4264" s="645"/>
    </row>
    <row r="4265" spans="1:2" x14ac:dyDescent="0.3">
      <c r="A4265" s="644"/>
      <c r="B4265" s="645"/>
    </row>
    <row r="4266" spans="1:2" x14ac:dyDescent="0.3">
      <c r="A4266" s="644"/>
      <c r="B4266" s="645"/>
    </row>
    <row r="4267" spans="1:2" x14ac:dyDescent="0.3">
      <c r="A4267" s="644"/>
      <c r="B4267" s="645"/>
    </row>
    <row r="4268" spans="1:2" x14ac:dyDescent="0.3">
      <c r="A4268" s="644"/>
      <c r="B4268" s="645"/>
    </row>
    <row r="4269" spans="1:2" x14ac:dyDescent="0.3">
      <c r="A4269" s="644"/>
      <c r="B4269" s="645"/>
    </row>
    <row r="4270" spans="1:2" x14ac:dyDescent="0.3">
      <c r="A4270" s="644"/>
      <c r="B4270" s="645"/>
    </row>
    <row r="4271" spans="1:2" x14ac:dyDescent="0.3">
      <c r="A4271" s="644"/>
      <c r="B4271" s="645"/>
    </row>
    <row r="4272" spans="1:2" x14ac:dyDescent="0.3">
      <c r="A4272" s="644"/>
      <c r="B4272" s="645"/>
    </row>
    <row r="4273" spans="1:2" x14ac:dyDescent="0.3">
      <c r="A4273" s="644"/>
      <c r="B4273" s="645"/>
    </row>
    <row r="4274" spans="1:2" x14ac:dyDescent="0.3">
      <c r="A4274" s="644"/>
      <c r="B4274" s="645"/>
    </row>
    <row r="4275" spans="1:2" x14ac:dyDescent="0.3">
      <c r="A4275" s="644"/>
      <c r="B4275" s="645"/>
    </row>
    <row r="4276" spans="1:2" x14ac:dyDescent="0.3">
      <c r="A4276" s="644"/>
      <c r="B4276" s="645"/>
    </row>
    <row r="4277" spans="1:2" x14ac:dyDescent="0.3">
      <c r="A4277" s="644"/>
      <c r="B4277" s="645"/>
    </row>
    <row r="4278" spans="1:2" x14ac:dyDescent="0.3">
      <c r="A4278" s="644"/>
      <c r="B4278" s="645"/>
    </row>
    <row r="4279" spans="1:2" x14ac:dyDescent="0.3">
      <c r="A4279" s="644"/>
      <c r="B4279" s="645"/>
    </row>
    <row r="4280" spans="1:2" x14ac:dyDescent="0.3">
      <c r="A4280" s="644"/>
      <c r="B4280" s="645"/>
    </row>
    <row r="4281" spans="1:2" x14ac:dyDescent="0.3">
      <c r="A4281" s="644"/>
      <c r="B4281" s="645"/>
    </row>
    <row r="4282" spans="1:2" x14ac:dyDescent="0.3">
      <c r="A4282" s="644"/>
      <c r="B4282" s="645"/>
    </row>
    <row r="4283" spans="1:2" x14ac:dyDescent="0.3">
      <c r="A4283" s="644"/>
      <c r="B4283" s="645"/>
    </row>
    <row r="4284" spans="1:2" x14ac:dyDescent="0.3">
      <c r="A4284" s="644"/>
      <c r="B4284" s="645"/>
    </row>
    <row r="4285" spans="1:2" x14ac:dyDescent="0.3">
      <c r="A4285" s="644"/>
      <c r="B4285" s="645"/>
    </row>
    <row r="4286" spans="1:2" x14ac:dyDescent="0.3">
      <c r="A4286" s="644"/>
      <c r="B4286" s="645"/>
    </row>
    <row r="4287" spans="1:2" x14ac:dyDescent="0.3">
      <c r="A4287" s="644"/>
      <c r="B4287" s="645"/>
    </row>
    <row r="4288" spans="1:2" x14ac:dyDescent="0.3">
      <c r="A4288" s="644"/>
      <c r="B4288" s="645"/>
    </row>
    <row r="4289" spans="1:2" x14ac:dyDescent="0.3">
      <c r="A4289" s="644"/>
      <c r="B4289" s="645"/>
    </row>
    <row r="4290" spans="1:2" x14ac:dyDescent="0.3">
      <c r="A4290" s="644"/>
      <c r="B4290" s="645"/>
    </row>
    <row r="4291" spans="1:2" x14ac:dyDescent="0.3">
      <c r="A4291" s="644"/>
      <c r="B4291" s="645"/>
    </row>
    <row r="4292" spans="1:2" x14ac:dyDescent="0.3">
      <c r="A4292" s="644"/>
      <c r="B4292" s="645"/>
    </row>
    <row r="4293" spans="1:2" x14ac:dyDescent="0.3">
      <c r="A4293" s="644"/>
      <c r="B4293" s="645"/>
    </row>
    <row r="4294" spans="1:2" x14ac:dyDescent="0.3">
      <c r="A4294" s="644"/>
      <c r="B4294" s="645"/>
    </row>
    <row r="4295" spans="1:2" x14ac:dyDescent="0.3">
      <c r="A4295" s="644"/>
      <c r="B4295" s="645"/>
    </row>
    <row r="4296" spans="1:2" x14ac:dyDescent="0.3">
      <c r="A4296" s="644"/>
      <c r="B4296" s="645"/>
    </row>
    <row r="4297" spans="1:2" x14ac:dyDescent="0.3">
      <c r="A4297" s="644"/>
      <c r="B4297" s="645"/>
    </row>
    <row r="4298" spans="1:2" x14ac:dyDescent="0.3">
      <c r="A4298" s="644"/>
      <c r="B4298" s="645"/>
    </row>
    <row r="4299" spans="1:2" x14ac:dyDescent="0.3">
      <c r="A4299" s="644"/>
      <c r="B4299" s="645"/>
    </row>
    <row r="4300" spans="1:2" x14ac:dyDescent="0.3">
      <c r="A4300" s="644"/>
      <c r="B4300" s="645"/>
    </row>
    <row r="4301" spans="1:2" x14ac:dyDescent="0.3">
      <c r="A4301" s="644"/>
      <c r="B4301" s="645"/>
    </row>
    <row r="4302" spans="1:2" x14ac:dyDescent="0.3">
      <c r="A4302" s="644"/>
      <c r="B4302" s="645"/>
    </row>
    <row r="4303" spans="1:2" x14ac:dyDescent="0.3">
      <c r="A4303" s="644"/>
      <c r="B4303" s="645"/>
    </row>
    <row r="4304" spans="1:2" x14ac:dyDescent="0.3">
      <c r="A4304" s="644"/>
      <c r="B4304" s="645"/>
    </row>
    <row r="4305" spans="1:2" x14ac:dyDescent="0.3">
      <c r="A4305" s="644"/>
      <c r="B4305" s="645"/>
    </row>
    <row r="4306" spans="1:2" x14ac:dyDescent="0.3">
      <c r="A4306" s="644"/>
      <c r="B4306" s="645"/>
    </row>
    <row r="4307" spans="1:2" x14ac:dyDescent="0.3">
      <c r="A4307" s="644"/>
      <c r="B4307" s="645"/>
    </row>
    <row r="4308" spans="1:2" x14ac:dyDescent="0.3">
      <c r="A4308" s="644"/>
      <c r="B4308" s="645"/>
    </row>
    <row r="4309" spans="1:2" x14ac:dyDescent="0.3">
      <c r="A4309" s="644"/>
      <c r="B4309" s="645"/>
    </row>
    <row r="4310" spans="1:2" x14ac:dyDescent="0.3">
      <c r="A4310" s="644"/>
      <c r="B4310" s="645"/>
    </row>
    <row r="4311" spans="1:2" x14ac:dyDescent="0.3">
      <c r="A4311" s="644"/>
      <c r="B4311" s="645"/>
    </row>
    <row r="4312" spans="1:2" x14ac:dyDescent="0.3">
      <c r="A4312" s="644"/>
      <c r="B4312" s="645"/>
    </row>
    <row r="4313" spans="1:2" x14ac:dyDescent="0.3">
      <c r="A4313" s="644"/>
      <c r="B4313" s="645"/>
    </row>
    <row r="4314" spans="1:2" x14ac:dyDescent="0.3">
      <c r="A4314" s="644"/>
      <c r="B4314" s="645"/>
    </row>
    <row r="4315" spans="1:2" x14ac:dyDescent="0.3">
      <c r="A4315" s="644"/>
      <c r="B4315" s="645"/>
    </row>
    <row r="4316" spans="1:2" x14ac:dyDescent="0.3">
      <c r="A4316" s="644"/>
      <c r="B4316" s="645"/>
    </row>
    <row r="4317" spans="1:2" x14ac:dyDescent="0.3">
      <c r="A4317" s="644"/>
      <c r="B4317" s="645"/>
    </row>
    <row r="4318" spans="1:2" x14ac:dyDescent="0.3">
      <c r="A4318" s="644"/>
      <c r="B4318" s="645"/>
    </row>
    <row r="4319" spans="1:2" x14ac:dyDescent="0.3">
      <c r="A4319" s="644"/>
      <c r="B4319" s="645"/>
    </row>
    <row r="4320" spans="1:2" x14ac:dyDescent="0.3">
      <c r="A4320" s="644"/>
      <c r="B4320" s="645"/>
    </row>
    <row r="4321" spans="1:2" x14ac:dyDescent="0.3">
      <c r="A4321" s="644"/>
      <c r="B4321" s="645"/>
    </row>
    <row r="4322" spans="1:2" x14ac:dyDescent="0.3">
      <c r="A4322" s="644"/>
      <c r="B4322" s="645"/>
    </row>
    <row r="4323" spans="1:2" x14ac:dyDescent="0.3">
      <c r="A4323" s="644"/>
      <c r="B4323" s="645"/>
    </row>
    <row r="4324" spans="1:2" x14ac:dyDescent="0.3">
      <c r="A4324" s="644"/>
      <c r="B4324" s="645"/>
    </row>
    <row r="4325" spans="1:2" x14ac:dyDescent="0.3">
      <c r="A4325" s="644"/>
      <c r="B4325" s="645"/>
    </row>
    <row r="4326" spans="1:2" x14ac:dyDescent="0.3">
      <c r="A4326" s="644"/>
      <c r="B4326" s="645"/>
    </row>
    <row r="4327" spans="1:2" x14ac:dyDescent="0.3">
      <c r="A4327" s="644"/>
      <c r="B4327" s="645"/>
    </row>
    <row r="4328" spans="1:2" x14ac:dyDescent="0.3">
      <c r="A4328" s="644"/>
      <c r="B4328" s="645"/>
    </row>
    <row r="4329" spans="1:2" x14ac:dyDescent="0.3">
      <c r="A4329" s="644"/>
      <c r="B4329" s="645"/>
    </row>
    <row r="4330" spans="1:2" x14ac:dyDescent="0.3">
      <c r="A4330" s="644"/>
      <c r="B4330" s="645"/>
    </row>
    <row r="4331" spans="1:2" x14ac:dyDescent="0.3">
      <c r="A4331" s="644"/>
      <c r="B4331" s="645"/>
    </row>
    <row r="4332" spans="1:2" x14ac:dyDescent="0.3">
      <c r="A4332" s="644"/>
      <c r="B4332" s="645"/>
    </row>
    <row r="4333" spans="1:2" x14ac:dyDescent="0.3">
      <c r="A4333" s="644"/>
      <c r="B4333" s="645"/>
    </row>
    <row r="4334" spans="1:2" x14ac:dyDescent="0.3">
      <c r="A4334" s="644"/>
      <c r="B4334" s="645"/>
    </row>
    <row r="4335" spans="1:2" x14ac:dyDescent="0.3">
      <c r="A4335" s="644"/>
      <c r="B4335" s="645"/>
    </row>
    <row r="4336" spans="1:2" x14ac:dyDescent="0.3">
      <c r="A4336" s="644"/>
      <c r="B4336" s="645"/>
    </row>
    <row r="4337" spans="1:2" x14ac:dyDescent="0.3">
      <c r="A4337" s="644"/>
      <c r="B4337" s="645"/>
    </row>
    <row r="4338" spans="1:2" x14ac:dyDescent="0.3">
      <c r="A4338" s="644"/>
      <c r="B4338" s="645"/>
    </row>
    <row r="4339" spans="1:2" x14ac:dyDescent="0.3">
      <c r="A4339" s="644"/>
      <c r="B4339" s="645"/>
    </row>
    <row r="4340" spans="1:2" x14ac:dyDescent="0.3">
      <c r="A4340" s="644"/>
      <c r="B4340" s="645"/>
    </row>
    <row r="4341" spans="1:2" x14ac:dyDescent="0.3">
      <c r="A4341" s="644"/>
      <c r="B4341" s="645"/>
    </row>
    <row r="4342" spans="1:2" x14ac:dyDescent="0.3">
      <c r="A4342" s="644"/>
      <c r="B4342" s="645"/>
    </row>
    <row r="4343" spans="1:2" x14ac:dyDescent="0.3">
      <c r="A4343" s="644"/>
      <c r="B4343" s="645"/>
    </row>
    <row r="4344" spans="1:2" x14ac:dyDescent="0.3">
      <c r="A4344" s="644"/>
      <c r="B4344" s="645"/>
    </row>
    <row r="4345" spans="1:2" x14ac:dyDescent="0.3">
      <c r="A4345" s="644"/>
      <c r="B4345" s="645"/>
    </row>
    <row r="4346" spans="1:2" x14ac:dyDescent="0.3">
      <c r="A4346" s="644"/>
      <c r="B4346" s="645"/>
    </row>
    <row r="4347" spans="1:2" x14ac:dyDescent="0.3">
      <c r="A4347" s="644"/>
      <c r="B4347" s="645"/>
    </row>
    <row r="4348" spans="1:2" x14ac:dyDescent="0.3">
      <c r="A4348" s="644"/>
      <c r="B4348" s="645"/>
    </row>
    <row r="4349" spans="1:2" x14ac:dyDescent="0.3">
      <c r="A4349" s="644"/>
      <c r="B4349" s="645"/>
    </row>
    <row r="4350" spans="1:2" x14ac:dyDescent="0.3">
      <c r="A4350" s="644"/>
      <c r="B4350" s="645"/>
    </row>
    <row r="4351" spans="1:2" x14ac:dyDescent="0.3">
      <c r="A4351" s="644"/>
      <c r="B4351" s="645"/>
    </row>
    <row r="4352" spans="1:2" x14ac:dyDescent="0.3">
      <c r="A4352" s="644"/>
      <c r="B4352" s="645"/>
    </row>
    <row r="4353" spans="1:2" x14ac:dyDescent="0.3">
      <c r="A4353" s="644"/>
      <c r="B4353" s="645"/>
    </row>
    <row r="4354" spans="1:2" x14ac:dyDescent="0.3">
      <c r="A4354" s="644"/>
      <c r="B4354" s="645"/>
    </row>
    <row r="4355" spans="1:2" x14ac:dyDescent="0.3">
      <c r="A4355" s="644"/>
      <c r="B4355" s="645"/>
    </row>
    <row r="4356" spans="1:2" x14ac:dyDescent="0.3">
      <c r="A4356" s="644"/>
      <c r="B4356" s="645"/>
    </row>
    <row r="4357" spans="1:2" x14ac:dyDescent="0.3">
      <c r="A4357" s="644"/>
      <c r="B4357" s="645"/>
    </row>
    <row r="4358" spans="1:2" x14ac:dyDescent="0.3">
      <c r="A4358" s="644"/>
      <c r="B4358" s="645"/>
    </row>
    <row r="4359" spans="1:2" x14ac:dyDescent="0.3">
      <c r="A4359" s="644"/>
      <c r="B4359" s="645"/>
    </row>
    <row r="4360" spans="1:2" x14ac:dyDescent="0.3">
      <c r="A4360" s="644"/>
      <c r="B4360" s="645"/>
    </row>
    <row r="4361" spans="1:2" x14ac:dyDescent="0.3">
      <c r="A4361" s="644"/>
      <c r="B4361" s="645"/>
    </row>
    <row r="4362" spans="1:2" x14ac:dyDescent="0.3">
      <c r="A4362" s="644"/>
      <c r="B4362" s="645"/>
    </row>
    <row r="4363" spans="1:2" x14ac:dyDescent="0.3">
      <c r="A4363" s="644"/>
      <c r="B4363" s="645"/>
    </row>
    <row r="4364" spans="1:2" x14ac:dyDescent="0.3">
      <c r="A4364" s="644"/>
      <c r="B4364" s="645"/>
    </row>
    <row r="4365" spans="1:2" x14ac:dyDescent="0.3">
      <c r="A4365" s="644"/>
      <c r="B4365" s="645"/>
    </row>
    <row r="4366" spans="1:2" x14ac:dyDescent="0.3">
      <c r="A4366" s="644"/>
      <c r="B4366" s="645"/>
    </row>
    <row r="4367" spans="1:2" x14ac:dyDescent="0.3">
      <c r="A4367" s="644"/>
      <c r="B4367" s="645"/>
    </row>
    <row r="4368" spans="1:2" x14ac:dyDescent="0.3">
      <c r="A4368" s="644"/>
      <c r="B4368" s="645"/>
    </row>
    <row r="4369" spans="1:2" x14ac:dyDescent="0.3">
      <c r="A4369" s="644"/>
      <c r="B4369" s="645"/>
    </row>
    <row r="4370" spans="1:2" x14ac:dyDescent="0.3">
      <c r="A4370" s="644"/>
      <c r="B4370" s="645"/>
    </row>
    <row r="4371" spans="1:2" x14ac:dyDescent="0.3">
      <c r="A4371" s="644"/>
      <c r="B4371" s="645"/>
    </row>
    <row r="4372" spans="1:2" x14ac:dyDescent="0.3">
      <c r="A4372" s="644"/>
      <c r="B4372" s="645"/>
    </row>
    <row r="4373" spans="1:2" x14ac:dyDescent="0.3">
      <c r="A4373" s="644"/>
      <c r="B4373" s="645"/>
    </row>
    <row r="4374" spans="1:2" x14ac:dyDescent="0.3">
      <c r="A4374" s="644"/>
      <c r="B4374" s="645"/>
    </row>
    <row r="4375" spans="1:2" x14ac:dyDescent="0.3">
      <c r="A4375" s="644"/>
      <c r="B4375" s="645"/>
    </row>
    <row r="4376" spans="1:2" x14ac:dyDescent="0.3">
      <c r="A4376" s="644"/>
      <c r="B4376" s="645"/>
    </row>
    <row r="4377" spans="1:2" x14ac:dyDescent="0.3">
      <c r="A4377" s="644"/>
      <c r="B4377" s="645"/>
    </row>
    <row r="4378" spans="1:2" x14ac:dyDescent="0.3">
      <c r="A4378" s="644"/>
      <c r="B4378" s="645"/>
    </row>
    <row r="4379" spans="1:2" x14ac:dyDescent="0.3">
      <c r="A4379" s="644"/>
      <c r="B4379" s="645"/>
    </row>
    <row r="4380" spans="1:2" x14ac:dyDescent="0.3">
      <c r="A4380" s="644"/>
      <c r="B4380" s="645"/>
    </row>
    <row r="4381" spans="1:2" x14ac:dyDescent="0.3">
      <c r="A4381" s="644"/>
      <c r="B4381" s="645"/>
    </row>
    <row r="4382" spans="1:2" x14ac:dyDescent="0.3">
      <c r="A4382" s="644"/>
      <c r="B4382" s="645"/>
    </row>
    <row r="4383" spans="1:2" x14ac:dyDescent="0.3">
      <c r="A4383" s="644"/>
      <c r="B4383" s="645"/>
    </row>
    <row r="4384" spans="1:2" x14ac:dyDescent="0.3">
      <c r="A4384" s="644"/>
      <c r="B4384" s="645"/>
    </row>
    <row r="4385" spans="1:2" x14ac:dyDescent="0.3">
      <c r="A4385" s="644"/>
      <c r="B4385" s="645"/>
    </row>
    <row r="4386" spans="1:2" x14ac:dyDescent="0.3">
      <c r="A4386" s="644"/>
      <c r="B4386" s="645"/>
    </row>
    <row r="4387" spans="1:2" x14ac:dyDescent="0.3">
      <c r="A4387" s="644"/>
      <c r="B4387" s="645"/>
    </row>
    <row r="4388" spans="1:2" x14ac:dyDescent="0.3">
      <c r="A4388" s="644"/>
      <c r="B4388" s="645"/>
    </row>
    <row r="4389" spans="1:2" x14ac:dyDescent="0.3">
      <c r="A4389" s="644"/>
      <c r="B4389" s="645"/>
    </row>
    <row r="4390" spans="1:2" x14ac:dyDescent="0.3">
      <c r="A4390" s="644"/>
      <c r="B4390" s="645"/>
    </row>
    <row r="4391" spans="1:2" x14ac:dyDescent="0.3">
      <c r="A4391" s="644"/>
      <c r="B4391" s="645"/>
    </row>
    <row r="4392" spans="1:2" x14ac:dyDescent="0.3">
      <c r="A4392" s="644"/>
      <c r="B4392" s="645"/>
    </row>
    <row r="4393" spans="1:2" x14ac:dyDescent="0.3">
      <c r="A4393" s="644"/>
      <c r="B4393" s="645"/>
    </row>
    <row r="4394" spans="1:2" x14ac:dyDescent="0.3">
      <c r="A4394" s="644"/>
      <c r="B4394" s="645"/>
    </row>
    <row r="4395" spans="1:2" x14ac:dyDescent="0.3">
      <c r="A4395" s="644"/>
      <c r="B4395" s="645"/>
    </row>
    <row r="4396" spans="1:2" x14ac:dyDescent="0.3">
      <c r="A4396" s="644"/>
      <c r="B4396" s="645"/>
    </row>
    <row r="4397" spans="1:2" x14ac:dyDescent="0.3">
      <c r="A4397" s="644"/>
      <c r="B4397" s="645"/>
    </row>
    <row r="4398" spans="1:2" x14ac:dyDescent="0.3">
      <c r="A4398" s="644"/>
      <c r="B4398" s="645"/>
    </row>
    <row r="4399" spans="1:2" x14ac:dyDescent="0.3">
      <c r="A4399" s="644"/>
      <c r="B4399" s="645"/>
    </row>
    <row r="4400" spans="1:2" x14ac:dyDescent="0.3">
      <c r="A4400" s="644"/>
      <c r="B4400" s="645"/>
    </row>
    <row r="4401" spans="1:2" x14ac:dyDescent="0.3">
      <c r="A4401" s="644"/>
      <c r="B4401" s="645"/>
    </row>
    <row r="4402" spans="1:2" x14ac:dyDescent="0.3">
      <c r="A4402" s="644"/>
      <c r="B4402" s="645"/>
    </row>
    <row r="4403" spans="1:2" x14ac:dyDescent="0.3">
      <c r="A4403" s="644"/>
      <c r="B4403" s="645"/>
    </row>
    <row r="4404" spans="1:2" x14ac:dyDescent="0.3">
      <c r="A4404" s="644"/>
      <c r="B4404" s="645"/>
    </row>
    <row r="4405" spans="1:2" x14ac:dyDescent="0.3">
      <c r="A4405" s="644"/>
      <c r="B4405" s="645"/>
    </row>
    <row r="4406" spans="1:2" x14ac:dyDescent="0.3">
      <c r="A4406" s="644"/>
      <c r="B4406" s="645"/>
    </row>
    <row r="4407" spans="1:2" x14ac:dyDescent="0.3">
      <c r="A4407" s="644"/>
      <c r="B4407" s="645"/>
    </row>
    <row r="4408" spans="1:2" x14ac:dyDescent="0.3">
      <c r="A4408" s="644"/>
      <c r="B4408" s="645"/>
    </row>
    <row r="4409" spans="1:2" x14ac:dyDescent="0.3">
      <c r="A4409" s="644"/>
      <c r="B4409" s="645"/>
    </row>
    <row r="4410" spans="1:2" x14ac:dyDescent="0.3">
      <c r="A4410" s="644"/>
      <c r="B4410" s="645"/>
    </row>
    <row r="4411" spans="1:2" x14ac:dyDescent="0.3">
      <c r="A4411" s="644"/>
      <c r="B4411" s="645"/>
    </row>
    <row r="4412" spans="1:2" x14ac:dyDescent="0.3">
      <c r="A4412" s="644"/>
      <c r="B4412" s="645"/>
    </row>
    <row r="4413" spans="1:2" x14ac:dyDescent="0.3">
      <c r="A4413" s="644"/>
      <c r="B4413" s="645"/>
    </row>
    <row r="4414" spans="1:2" x14ac:dyDescent="0.3">
      <c r="A4414" s="644"/>
      <c r="B4414" s="645"/>
    </row>
    <row r="4415" spans="1:2" x14ac:dyDescent="0.3">
      <c r="A4415" s="644"/>
      <c r="B4415" s="645"/>
    </row>
    <row r="4416" spans="1:2" x14ac:dyDescent="0.3">
      <c r="A4416" s="644"/>
      <c r="B4416" s="645"/>
    </row>
    <row r="4417" spans="1:2" x14ac:dyDescent="0.3">
      <c r="A4417" s="644"/>
      <c r="B4417" s="645"/>
    </row>
    <row r="4418" spans="1:2" x14ac:dyDescent="0.3">
      <c r="A4418" s="644"/>
      <c r="B4418" s="645"/>
    </row>
    <row r="4419" spans="1:2" x14ac:dyDescent="0.3">
      <c r="A4419" s="644"/>
      <c r="B4419" s="645"/>
    </row>
    <row r="4420" spans="1:2" x14ac:dyDescent="0.3">
      <c r="A4420" s="644"/>
      <c r="B4420" s="645"/>
    </row>
    <row r="4421" spans="1:2" x14ac:dyDescent="0.3">
      <c r="A4421" s="644"/>
      <c r="B4421" s="645"/>
    </row>
    <row r="4422" spans="1:2" x14ac:dyDescent="0.3">
      <c r="A4422" s="644"/>
      <c r="B4422" s="645"/>
    </row>
    <row r="4423" spans="1:2" x14ac:dyDescent="0.3">
      <c r="A4423" s="644"/>
      <c r="B4423" s="645"/>
    </row>
    <row r="4424" spans="1:2" x14ac:dyDescent="0.3">
      <c r="A4424" s="644"/>
      <c r="B4424" s="645"/>
    </row>
    <row r="4425" spans="1:2" x14ac:dyDescent="0.3">
      <c r="A4425" s="644"/>
      <c r="B4425" s="645"/>
    </row>
    <row r="4426" spans="1:2" x14ac:dyDescent="0.3">
      <c r="A4426" s="644"/>
      <c r="B4426" s="645"/>
    </row>
    <row r="4427" spans="1:2" x14ac:dyDescent="0.3">
      <c r="A4427" s="644"/>
      <c r="B4427" s="645"/>
    </row>
    <row r="4428" spans="1:2" x14ac:dyDescent="0.3">
      <c r="A4428" s="644"/>
      <c r="B4428" s="645"/>
    </row>
    <row r="4429" spans="1:2" x14ac:dyDescent="0.3">
      <c r="A4429" s="644"/>
      <c r="B4429" s="645"/>
    </row>
    <row r="4430" spans="1:2" x14ac:dyDescent="0.3">
      <c r="A4430" s="644"/>
      <c r="B4430" s="645"/>
    </row>
    <row r="4431" spans="1:2" x14ac:dyDescent="0.3">
      <c r="A4431" s="644"/>
      <c r="B4431" s="645"/>
    </row>
    <row r="4432" spans="1:2" x14ac:dyDescent="0.3">
      <c r="A4432" s="644"/>
      <c r="B4432" s="645"/>
    </row>
    <row r="4433" spans="1:2" x14ac:dyDescent="0.3">
      <c r="A4433" s="644"/>
      <c r="B4433" s="645"/>
    </row>
    <row r="4434" spans="1:2" x14ac:dyDescent="0.3">
      <c r="A4434" s="644"/>
      <c r="B4434" s="645"/>
    </row>
    <row r="4435" spans="1:2" x14ac:dyDescent="0.3">
      <c r="A4435" s="644"/>
      <c r="B4435" s="645"/>
    </row>
    <row r="4436" spans="1:2" x14ac:dyDescent="0.3">
      <c r="A4436" s="644"/>
      <c r="B4436" s="645"/>
    </row>
    <row r="4437" spans="1:2" x14ac:dyDescent="0.3">
      <c r="A4437" s="644"/>
      <c r="B4437" s="645"/>
    </row>
    <row r="4438" spans="1:2" x14ac:dyDescent="0.3">
      <c r="A4438" s="644"/>
      <c r="B4438" s="645"/>
    </row>
    <row r="4439" spans="1:2" x14ac:dyDescent="0.3">
      <c r="A4439" s="644"/>
      <c r="B4439" s="645"/>
    </row>
    <row r="4440" spans="1:2" x14ac:dyDescent="0.3">
      <c r="A4440" s="644"/>
      <c r="B4440" s="645"/>
    </row>
    <row r="4441" spans="1:2" x14ac:dyDescent="0.3">
      <c r="A4441" s="644"/>
      <c r="B4441" s="645"/>
    </row>
    <row r="4442" spans="1:2" x14ac:dyDescent="0.3">
      <c r="A4442" s="644"/>
      <c r="B4442" s="645"/>
    </row>
    <row r="4443" spans="1:2" x14ac:dyDescent="0.3">
      <c r="A4443" s="644"/>
      <c r="B4443" s="645"/>
    </row>
    <row r="4444" spans="1:2" x14ac:dyDescent="0.3">
      <c r="A4444" s="644"/>
      <c r="B4444" s="645"/>
    </row>
    <row r="4445" spans="1:2" x14ac:dyDescent="0.3">
      <c r="A4445" s="644"/>
      <c r="B4445" s="645"/>
    </row>
    <row r="4446" spans="1:2" x14ac:dyDescent="0.3">
      <c r="A4446" s="644"/>
      <c r="B4446" s="645"/>
    </row>
    <row r="4447" spans="1:2" x14ac:dyDescent="0.3">
      <c r="A4447" s="644"/>
      <c r="B4447" s="645"/>
    </row>
    <row r="4448" spans="1:2" x14ac:dyDescent="0.3">
      <c r="A4448" s="644"/>
      <c r="B4448" s="645"/>
    </row>
    <row r="4449" spans="1:2" x14ac:dyDescent="0.3">
      <c r="A4449" s="644"/>
      <c r="B4449" s="645"/>
    </row>
    <row r="4450" spans="1:2" x14ac:dyDescent="0.3">
      <c r="A4450" s="644"/>
      <c r="B4450" s="645"/>
    </row>
    <row r="4451" spans="1:2" x14ac:dyDescent="0.3">
      <c r="A4451" s="644"/>
      <c r="B4451" s="645"/>
    </row>
    <row r="4452" spans="1:2" x14ac:dyDescent="0.3">
      <c r="A4452" s="644"/>
      <c r="B4452" s="645"/>
    </row>
    <row r="4453" spans="1:2" x14ac:dyDescent="0.3">
      <c r="A4453" s="644"/>
      <c r="B4453" s="645"/>
    </row>
    <row r="4454" spans="1:2" x14ac:dyDescent="0.3">
      <c r="A4454" s="644"/>
      <c r="B4454" s="645"/>
    </row>
    <row r="4455" spans="1:2" x14ac:dyDescent="0.3">
      <c r="A4455" s="644"/>
      <c r="B4455" s="645"/>
    </row>
    <row r="4456" spans="1:2" x14ac:dyDescent="0.3">
      <c r="A4456" s="644"/>
      <c r="B4456" s="645"/>
    </row>
    <row r="4457" spans="1:2" x14ac:dyDescent="0.3">
      <c r="A4457" s="644"/>
      <c r="B4457" s="645"/>
    </row>
    <row r="4458" spans="1:2" x14ac:dyDescent="0.3">
      <c r="A4458" s="644"/>
      <c r="B4458" s="645"/>
    </row>
    <row r="4459" spans="1:2" x14ac:dyDescent="0.3">
      <c r="A4459" s="644"/>
      <c r="B4459" s="645"/>
    </row>
    <row r="4460" spans="1:2" x14ac:dyDescent="0.3">
      <c r="A4460" s="644"/>
      <c r="B4460" s="645"/>
    </row>
    <row r="4461" spans="1:2" x14ac:dyDescent="0.3">
      <c r="A4461" s="644"/>
      <c r="B4461" s="645"/>
    </row>
    <row r="4462" spans="1:2" x14ac:dyDescent="0.3">
      <c r="A4462" s="644"/>
      <c r="B4462" s="645"/>
    </row>
    <row r="4463" spans="1:2" x14ac:dyDescent="0.3">
      <c r="A4463" s="644"/>
      <c r="B4463" s="645"/>
    </row>
    <row r="4464" spans="1:2" x14ac:dyDescent="0.3">
      <c r="A4464" s="644"/>
      <c r="B4464" s="645"/>
    </row>
    <row r="4465" spans="1:2" x14ac:dyDescent="0.3">
      <c r="A4465" s="644"/>
      <c r="B4465" s="645"/>
    </row>
    <row r="4466" spans="1:2" x14ac:dyDescent="0.3">
      <c r="A4466" s="644"/>
      <c r="B4466" s="645"/>
    </row>
    <row r="4467" spans="1:2" x14ac:dyDescent="0.3">
      <c r="A4467" s="644"/>
      <c r="B4467" s="645"/>
    </row>
    <row r="4468" spans="1:2" x14ac:dyDescent="0.3">
      <c r="A4468" s="644"/>
      <c r="B4468" s="645"/>
    </row>
    <row r="4469" spans="1:2" x14ac:dyDescent="0.3">
      <c r="A4469" s="644"/>
      <c r="B4469" s="645"/>
    </row>
    <row r="4470" spans="1:2" x14ac:dyDescent="0.3">
      <c r="A4470" s="644"/>
      <c r="B4470" s="645"/>
    </row>
    <row r="4471" spans="1:2" x14ac:dyDescent="0.3">
      <c r="A4471" s="644"/>
      <c r="B4471" s="645"/>
    </row>
    <row r="4472" spans="1:2" x14ac:dyDescent="0.3">
      <c r="A4472" s="644"/>
      <c r="B4472" s="645"/>
    </row>
    <row r="4473" spans="1:2" x14ac:dyDescent="0.3">
      <c r="A4473" s="644"/>
      <c r="B4473" s="645"/>
    </row>
    <row r="4474" spans="1:2" x14ac:dyDescent="0.3">
      <c r="A4474" s="644"/>
      <c r="B4474" s="645"/>
    </row>
    <row r="4475" spans="1:2" x14ac:dyDescent="0.3">
      <c r="A4475" s="644"/>
      <c r="B4475" s="645"/>
    </row>
    <row r="4476" spans="1:2" x14ac:dyDescent="0.3">
      <c r="A4476" s="644"/>
      <c r="B4476" s="645"/>
    </row>
    <row r="4477" spans="1:2" x14ac:dyDescent="0.3">
      <c r="A4477" s="644"/>
      <c r="B4477" s="645"/>
    </row>
    <row r="4478" spans="1:2" x14ac:dyDescent="0.3">
      <c r="A4478" s="644"/>
      <c r="B4478" s="645"/>
    </row>
    <row r="4479" spans="1:2" x14ac:dyDescent="0.3">
      <c r="A4479" s="644"/>
      <c r="B4479" s="645"/>
    </row>
    <row r="4480" spans="1:2" x14ac:dyDescent="0.3">
      <c r="A4480" s="644"/>
      <c r="B4480" s="645"/>
    </row>
    <row r="4481" spans="1:2" x14ac:dyDescent="0.3">
      <c r="A4481" s="644"/>
      <c r="B4481" s="645"/>
    </row>
    <row r="4482" spans="1:2" x14ac:dyDescent="0.3">
      <c r="A4482" s="644"/>
      <c r="B4482" s="645"/>
    </row>
    <row r="4483" spans="1:2" x14ac:dyDescent="0.3">
      <c r="A4483" s="644"/>
      <c r="B4483" s="645"/>
    </row>
    <row r="4484" spans="1:2" x14ac:dyDescent="0.3">
      <c r="A4484" s="644"/>
      <c r="B4484" s="645"/>
    </row>
    <row r="4485" spans="1:2" x14ac:dyDescent="0.3">
      <c r="A4485" s="644"/>
      <c r="B4485" s="645"/>
    </row>
    <row r="4486" spans="1:2" x14ac:dyDescent="0.3">
      <c r="A4486" s="644"/>
      <c r="B4486" s="645"/>
    </row>
    <row r="4487" spans="1:2" x14ac:dyDescent="0.3">
      <c r="A4487" s="644"/>
      <c r="B4487" s="645"/>
    </row>
    <row r="4488" spans="1:2" x14ac:dyDescent="0.3">
      <c r="A4488" s="644"/>
      <c r="B4488" s="645"/>
    </row>
    <row r="4489" spans="1:2" x14ac:dyDescent="0.3">
      <c r="A4489" s="644"/>
      <c r="B4489" s="645"/>
    </row>
    <row r="4490" spans="1:2" x14ac:dyDescent="0.3">
      <c r="A4490" s="644"/>
      <c r="B4490" s="645"/>
    </row>
    <row r="4491" spans="1:2" x14ac:dyDescent="0.3">
      <c r="A4491" s="644"/>
      <c r="B4491" s="645"/>
    </row>
    <row r="4492" spans="1:2" x14ac:dyDescent="0.3">
      <c r="A4492" s="644"/>
      <c r="B4492" s="645"/>
    </row>
    <row r="4493" spans="1:2" x14ac:dyDescent="0.3">
      <c r="A4493" s="644"/>
      <c r="B4493" s="645"/>
    </row>
    <row r="4494" spans="1:2" x14ac:dyDescent="0.3">
      <c r="A4494" s="644"/>
      <c r="B4494" s="645"/>
    </row>
    <row r="4495" spans="1:2" x14ac:dyDescent="0.3">
      <c r="A4495" s="644"/>
      <c r="B4495" s="645"/>
    </row>
    <row r="4496" spans="1:2" x14ac:dyDescent="0.3">
      <c r="A4496" s="644"/>
      <c r="B4496" s="645"/>
    </row>
    <row r="4497" spans="1:2" x14ac:dyDescent="0.3">
      <c r="A4497" s="644"/>
      <c r="B4497" s="645"/>
    </row>
    <row r="4498" spans="1:2" x14ac:dyDescent="0.3">
      <c r="A4498" s="644"/>
      <c r="B4498" s="645"/>
    </row>
    <row r="4499" spans="1:2" x14ac:dyDescent="0.3">
      <c r="A4499" s="644"/>
      <c r="B4499" s="645"/>
    </row>
    <row r="4500" spans="1:2" x14ac:dyDescent="0.3">
      <c r="A4500" s="644"/>
      <c r="B4500" s="645"/>
    </row>
    <row r="4501" spans="1:2" x14ac:dyDescent="0.3">
      <c r="A4501" s="644"/>
      <c r="B4501" s="645"/>
    </row>
    <row r="4502" spans="1:2" x14ac:dyDescent="0.3">
      <c r="A4502" s="644"/>
      <c r="B4502" s="645"/>
    </row>
    <row r="4503" spans="1:2" x14ac:dyDescent="0.3">
      <c r="A4503" s="644"/>
      <c r="B4503" s="645"/>
    </row>
    <row r="4504" spans="1:2" x14ac:dyDescent="0.3">
      <c r="A4504" s="644"/>
      <c r="B4504" s="645"/>
    </row>
    <row r="4505" spans="1:2" x14ac:dyDescent="0.3">
      <c r="A4505" s="644"/>
      <c r="B4505" s="645"/>
    </row>
    <row r="4506" spans="1:2" x14ac:dyDescent="0.3">
      <c r="A4506" s="644"/>
      <c r="B4506" s="645"/>
    </row>
    <row r="4507" spans="1:2" x14ac:dyDescent="0.3">
      <c r="A4507" s="644"/>
      <c r="B4507" s="645"/>
    </row>
    <row r="4508" spans="1:2" x14ac:dyDescent="0.3">
      <c r="A4508" s="644"/>
      <c r="B4508" s="645"/>
    </row>
    <row r="4509" spans="1:2" x14ac:dyDescent="0.3">
      <c r="A4509" s="644"/>
      <c r="B4509" s="645"/>
    </row>
    <row r="4510" spans="1:2" x14ac:dyDescent="0.3">
      <c r="A4510" s="644"/>
      <c r="B4510" s="645"/>
    </row>
    <row r="4511" spans="1:2" x14ac:dyDescent="0.3">
      <c r="A4511" s="644"/>
      <c r="B4511" s="645"/>
    </row>
    <row r="4512" spans="1:2" x14ac:dyDescent="0.3">
      <c r="A4512" s="644"/>
      <c r="B4512" s="645"/>
    </row>
    <row r="4513" spans="1:2" x14ac:dyDescent="0.3">
      <c r="A4513" s="644"/>
      <c r="B4513" s="645"/>
    </row>
    <row r="4514" spans="1:2" x14ac:dyDescent="0.3">
      <c r="A4514" s="644"/>
      <c r="B4514" s="645"/>
    </row>
    <row r="4515" spans="1:2" x14ac:dyDescent="0.3">
      <c r="A4515" s="644"/>
      <c r="B4515" s="645"/>
    </row>
    <row r="4516" spans="1:2" x14ac:dyDescent="0.3">
      <c r="A4516" s="644"/>
      <c r="B4516" s="645"/>
    </row>
    <row r="4517" spans="1:2" x14ac:dyDescent="0.3">
      <c r="A4517" s="644"/>
      <c r="B4517" s="645"/>
    </row>
    <row r="4518" spans="1:2" x14ac:dyDescent="0.3">
      <c r="A4518" s="644"/>
      <c r="B4518" s="645"/>
    </row>
    <row r="4519" spans="1:2" x14ac:dyDescent="0.3">
      <c r="A4519" s="644"/>
      <c r="B4519" s="645"/>
    </row>
    <row r="4520" spans="1:2" x14ac:dyDescent="0.3">
      <c r="A4520" s="644"/>
      <c r="B4520" s="645"/>
    </row>
    <row r="4521" spans="1:2" x14ac:dyDescent="0.3">
      <c r="A4521" s="644"/>
      <c r="B4521" s="645"/>
    </row>
    <row r="4522" spans="1:2" x14ac:dyDescent="0.3">
      <c r="A4522" s="644"/>
      <c r="B4522" s="645"/>
    </row>
    <row r="4523" spans="1:2" x14ac:dyDescent="0.3">
      <c r="A4523" s="644"/>
      <c r="B4523" s="645"/>
    </row>
    <row r="4524" spans="1:2" x14ac:dyDescent="0.3">
      <c r="A4524" s="644"/>
      <c r="B4524" s="645"/>
    </row>
    <row r="4525" spans="1:2" x14ac:dyDescent="0.3">
      <c r="A4525" s="644"/>
      <c r="B4525" s="645"/>
    </row>
    <row r="4526" spans="1:2" x14ac:dyDescent="0.3">
      <c r="A4526" s="644"/>
      <c r="B4526" s="645"/>
    </row>
    <row r="4527" spans="1:2" x14ac:dyDescent="0.3">
      <c r="A4527" s="644"/>
      <c r="B4527" s="645"/>
    </row>
    <row r="4528" spans="1:2" x14ac:dyDescent="0.3">
      <c r="A4528" s="644"/>
      <c r="B4528" s="645"/>
    </row>
    <row r="4529" spans="1:2" x14ac:dyDescent="0.3">
      <c r="A4529" s="644"/>
      <c r="B4529" s="645"/>
    </row>
    <row r="4530" spans="1:2" x14ac:dyDescent="0.3">
      <c r="A4530" s="644"/>
      <c r="B4530" s="645"/>
    </row>
    <row r="4531" spans="1:2" x14ac:dyDescent="0.3">
      <c r="A4531" s="644"/>
      <c r="B4531" s="645"/>
    </row>
    <row r="4532" spans="1:2" x14ac:dyDescent="0.3">
      <c r="A4532" s="644"/>
      <c r="B4532" s="645"/>
    </row>
    <row r="4533" spans="1:2" x14ac:dyDescent="0.3">
      <c r="A4533" s="644"/>
      <c r="B4533" s="645"/>
    </row>
    <row r="4534" spans="1:2" x14ac:dyDescent="0.3">
      <c r="A4534" s="644"/>
      <c r="B4534" s="645"/>
    </row>
    <row r="4535" spans="1:2" x14ac:dyDescent="0.3">
      <c r="A4535" s="644"/>
      <c r="B4535" s="645"/>
    </row>
    <row r="4536" spans="1:2" x14ac:dyDescent="0.3">
      <c r="A4536" s="644"/>
      <c r="B4536" s="645"/>
    </row>
    <row r="4537" spans="1:2" x14ac:dyDescent="0.3">
      <c r="A4537" s="644"/>
      <c r="B4537" s="645"/>
    </row>
    <row r="4538" spans="1:2" x14ac:dyDescent="0.3">
      <c r="A4538" s="644"/>
      <c r="B4538" s="645"/>
    </row>
    <row r="4539" spans="1:2" x14ac:dyDescent="0.3">
      <c r="A4539" s="644"/>
      <c r="B4539" s="645"/>
    </row>
    <row r="4540" spans="1:2" x14ac:dyDescent="0.3">
      <c r="A4540" s="644"/>
      <c r="B4540" s="645"/>
    </row>
    <row r="4541" spans="1:2" x14ac:dyDescent="0.3">
      <c r="A4541" s="644"/>
      <c r="B4541" s="645"/>
    </row>
    <row r="4542" spans="1:2" x14ac:dyDescent="0.3">
      <c r="A4542" s="644"/>
      <c r="B4542" s="645"/>
    </row>
    <row r="4543" spans="1:2" x14ac:dyDescent="0.3">
      <c r="A4543" s="644"/>
      <c r="B4543" s="645"/>
    </row>
    <row r="4544" spans="1:2" x14ac:dyDescent="0.3">
      <c r="A4544" s="644"/>
      <c r="B4544" s="645"/>
    </row>
    <row r="4545" spans="1:2" x14ac:dyDescent="0.3">
      <c r="A4545" s="644"/>
      <c r="B4545" s="645"/>
    </row>
    <row r="4546" spans="1:2" x14ac:dyDescent="0.3">
      <c r="A4546" s="644"/>
      <c r="B4546" s="645"/>
    </row>
    <row r="4547" spans="1:2" x14ac:dyDescent="0.3">
      <c r="A4547" s="644"/>
      <c r="B4547" s="645"/>
    </row>
    <row r="4548" spans="1:2" x14ac:dyDescent="0.3">
      <c r="A4548" s="644"/>
      <c r="B4548" s="645"/>
    </row>
    <row r="4549" spans="1:2" x14ac:dyDescent="0.3">
      <c r="A4549" s="644"/>
      <c r="B4549" s="645"/>
    </row>
    <row r="4550" spans="1:2" x14ac:dyDescent="0.3">
      <c r="A4550" s="644"/>
      <c r="B4550" s="645"/>
    </row>
    <row r="4551" spans="1:2" x14ac:dyDescent="0.3">
      <c r="A4551" s="644"/>
      <c r="B4551" s="645"/>
    </row>
    <row r="4552" spans="1:2" x14ac:dyDescent="0.3">
      <c r="A4552" s="644"/>
      <c r="B4552" s="645"/>
    </row>
    <row r="4553" spans="1:2" x14ac:dyDescent="0.3">
      <c r="A4553" s="644"/>
      <c r="B4553" s="645"/>
    </row>
    <row r="4554" spans="1:2" x14ac:dyDescent="0.3">
      <c r="A4554" s="644"/>
      <c r="B4554" s="645"/>
    </row>
    <row r="4555" spans="1:2" x14ac:dyDescent="0.3">
      <c r="A4555" s="644"/>
      <c r="B4555" s="645"/>
    </row>
    <row r="4556" spans="1:2" x14ac:dyDescent="0.3">
      <c r="A4556" s="644"/>
      <c r="B4556" s="645"/>
    </row>
    <row r="4557" spans="1:2" x14ac:dyDescent="0.3">
      <c r="A4557" s="644"/>
      <c r="B4557" s="645"/>
    </row>
    <row r="4558" spans="1:2" x14ac:dyDescent="0.3">
      <c r="A4558" s="644"/>
      <c r="B4558" s="645"/>
    </row>
    <row r="4559" spans="1:2" x14ac:dyDescent="0.3">
      <c r="A4559" s="644"/>
      <c r="B4559" s="645"/>
    </row>
    <row r="4560" spans="1:2" x14ac:dyDescent="0.3">
      <c r="A4560" s="644"/>
      <c r="B4560" s="645"/>
    </row>
    <row r="4561" spans="1:2" x14ac:dyDescent="0.3">
      <c r="A4561" s="644"/>
      <c r="B4561" s="645"/>
    </row>
    <row r="4562" spans="1:2" x14ac:dyDescent="0.3">
      <c r="A4562" s="644"/>
      <c r="B4562" s="645"/>
    </row>
    <row r="4563" spans="1:2" x14ac:dyDescent="0.3">
      <c r="A4563" s="644"/>
      <c r="B4563" s="645"/>
    </row>
    <row r="4564" spans="1:2" x14ac:dyDescent="0.3">
      <c r="A4564" s="644"/>
      <c r="B4564" s="645"/>
    </row>
    <row r="4565" spans="1:2" x14ac:dyDescent="0.3">
      <c r="A4565" s="644"/>
      <c r="B4565" s="645"/>
    </row>
    <row r="4566" spans="1:2" x14ac:dyDescent="0.3">
      <c r="A4566" s="644"/>
      <c r="B4566" s="645"/>
    </row>
    <row r="4567" spans="1:2" x14ac:dyDescent="0.3">
      <c r="A4567" s="644"/>
      <c r="B4567" s="645"/>
    </row>
    <row r="4568" spans="1:2" x14ac:dyDescent="0.3">
      <c r="A4568" s="644"/>
      <c r="B4568" s="645"/>
    </row>
    <row r="4569" spans="1:2" x14ac:dyDescent="0.3">
      <c r="A4569" s="644"/>
      <c r="B4569" s="645"/>
    </row>
    <row r="4570" spans="1:2" x14ac:dyDescent="0.3">
      <c r="A4570" s="644"/>
      <c r="B4570" s="645"/>
    </row>
    <row r="4571" spans="1:2" x14ac:dyDescent="0.3">
      <c r="A4571" s="644"/>
      <c r="B4571" s="645"/>
    </row>
    <row r="4572" spans="1:2" x14ac:dyDescent="0.3">
      <c r="A4572" s="644"/>
      <c r="B4572" s="645"/>
    </row>
    <row r="4573" spans="1:2" x14ac:dyDescent="0.3">
      <c r="A4573" s="644"/>
      <c r="B4573" s="645"/>
    </row>
    <row r="4574" spans="1:2" x14ac:dyDescent="0.3">
      <c r="A4574" s="644"/>
      <c r="B4574" s="645"/>
    </row>
    <row r="4575" spans="1:2" x14ac:dyDescent="0.3">
      <c r="A4575" s="644"/>
      <c r="B4575" s="645"/>
    </row>
    <row r="4576" spans="1:2" x14ac:dyDescent="0.3">
      <c r="A4576" s="644"/>
      <c r="B4576" s="645"/>
    </row>
    <row r="4577" spans="1:2" x14ac:dyDescent="0.3">
      <c r="A4577" s="644"/>
      <c r="B4577" s="645"/>
    </row>
    <row r="4578" spans="1:2" x14ac:dyDescent="0.3">
      <c r="A4578" s="644"/>
      <c r="B4578" s="645"/>
    </row>
    <row r="4579" spans="1:2" x14ac:dyDescent="0.3">
      <c r="A4579" s="644"/>
      <c r="B4579" s="645"/>
    </row>
    <row r="4580" spans="1:2" x14ac:dyDescent="0.3">
      <c r="A4580" s="644"/>
      <c r="B4580" s="645"/>
    </row>
    <row r="4581" spans="1:2" x14ac:dyDescent="0.3">
      <c r="A4581" s="644"/>
      <c r="B4581" s="645"/>
    </row>
    <row r="4582" spans="1:2" x14ac:dyDescent="0.3">
      <c r="A4582" s="644"/>
      <c r="B4582" s="645"/>
    </row>
    <row r="4583" spans="1:2" x14ac:dyDescent="0.3">
      <c r="A4583" s="644"/>
      <c r="B4583" s="645"/>
    </row>
    <row r="4584" spans="1:2" x14ac:dyDescent="0.3">
      <c r="A4584" s="644"/>
      <c r="B4584" s="645"/>
    </row>
    <row r="4585" spans="1:2" x14ac:dyDescent="0.3">
      <c r="A4585" s="644"/>
      <c r="B4585" s="645"/>
    </row>
    <row r="4586" spans="1:2" x14ac:dyDescent="0.3">
      <c r="A4586" s="644"/>
      <c r="B4586" s="645"/>
    </row>
    <row r="4587" spans="1:2" x14ac:dyDescent="0.3">
      <c r="A4587" s="644"/>
      <c r="B4587" s="645"/>
    </row>
    <row r="4588" spans="1:2" x14ac:dyDescent="0.3">
      <c r="A4588" s="644"/>
      <c r="B4588" s="645"/>
    </row>
    <row r="4589" spans="1:2" x14ac:dyDescent="0.3">
      <c r="A4589" s="644"/>
      <c r="B4589" s="645"/>
    </row>
    <row r="4590" spans="1:2" x14ac:dyDescent="0.3">
      <c r="A4590" s="644"/>
      <c r="B4590" s="645"/>
    </row>
    <row r="4591" spans="1:2" x14ac:dyDescent="0.3">
      <c r="A4591" s="644"/>
      <c r="B4591" s="645"/>
    </row>
    <row r="4592" spans="1:2" x14ac:dyDescent="0.3">
      <c r="A4592" s="644"/>
      <c r="B4592" s="645"/>
    </row>
    <row r="4593" spans="1:2" x14ac:dyDescent="0.3">
      <c r="A4593" s="644"/>
      <c r="B4593" s="645"/>
    </row>
    <row r="4594" spans="1:2" x14ac:dyDescent="0.3">
      <c r="A4594" s="644"/>
      <c r="B4594" s="645"/>
    </row>
    <row r="4595" spans="1:2" x14ac:dyDescent="0.3">
      <c r="A4595" s="644"/>
      <c r="B4595" s="645"/>
    </row>
    <row r="4596" spans="1:2" x14ac:dyDescent="0.3">
      <c r="A4596" s="644"/>
      <c r="B4596" s="645"/>
    </row>
    <row r="4597" spans="1:2" x14ac:dyDescent="0.3">
      <c r="A4597" s="644"/>
      <c r="B4597" s="645"/>
    </row>
    <row r="4598" spans="1:2" x14ac:dyDescent="0.3">
      <c r="A4598" s="644"/>
      <c r="B4598" s="645"/>
    </row>
    <row r="4599" spans="1:2" x14ac:dyDescent="0.3">
      <c r="A4599" s="644"/>
      <c r="B4599" s="645"/>
    </row>
    <row r="4600" spans="1:2" x14ac:dyDescent="0.3">
      <c r="A4600" s="644"/>
      <c r="B4600" s="645"/>
    </row>
    <row r="4601" spans="1:2" x14ac:dyDescent="0.3">
      <c r="A4601" s="644"/>
      <c r="B4601" s="645"/>
    </row>
    <row r="4602" spans="1:2" x14ac:dyDescent="0.3">
      <c r="A4602" s="644"/>
      <c r="B4602" s="645"/>
    </row>
    <row r="4603" spans="1:2" x14ac:dyDescent="0.3">
      <c r="A4603" s="644"/>
      <c r="B4603" s="645"/>
    </row>
    <row r="4604" spans="1:2" x14ac:dyDescent="0.3">
      <c r="A4604" s="644"/>
      <c r="B4604" s="645"/>
    </row>
    <row r="4605" spans="1:2" x14ac:dyDescent="0.3">
      <c r="A4605" s="644"/>
      <c r="B4605" s="645"/>
    </row>
    <row r="4606" spans="1:2" x14ac:dyDescent="0.3">
      <c r="A4606" s="644"/>
      <c r="B4606" s="645"/>
    </row>
    <row r="4607" spans="1:2" x14ac:dyDescent="0.3">
      <c r="A4607" s="644"/>
      <c r="B4607" s="645"/>
    </row>
    <row r="4608" spans="1:2" x14ac:dyDescent="0.3">
      <c r="A4608" s="644"/>
      <c r="B4608" s="645"/>
    </row>
    <row r="4609" spans="1:2" x14ac:dyDescent="0.3">
      <c r="A4609" s="644"/>
      <c r="B4609" s="645"/>
    </row>
    <row r="4610" spans="1:2" x14ac:dyDescent="0.3">
      <c r="A4610" s="644"/>
      <c r="B4610" s="645"/>
    </row>
    <row r="4611" spans="1:2" x14ac:dyDescent="0.3">
      <c r="A4611" s="644"/>
      <c r="B4611" s="645"/>
    </row>
    <row r="4612" spans="1:2" x14ac:dyDescent="0.3">
      <c r="A4612" s="644"/>
      <c r="B4612" s="645"/>
    </row>
    <row r="4613" spans="1:2" x14ac:dyDescent="0.3">
      <c r="A4613" s="644"/>
      <c r="B4613" s="645"/>
    </row>
    <row r="4614" spans="1:2" x14ac:dyDescent="0.3">
      <c r="A4614" s="644"/>
      <c r="B4614" s="645"/>
    </row>
    <row r="4615" spans="1:2" x14ac:dyDescent="0.3">
      <c r="A4615" s="644"/>
      <c r="B4615" s="645"/>
    </row>
    <row r="4616" spans="1:2" x14ac:dyDescent="0.3">
      <c r="A4616" s="644"/>
      <c r="B4616" s="645"/>
    </row>
    <row r="4617" spans="1:2" x14ac:dyDescent="0.3">
      <c r="A4617" s="644"/>
      <c r="B4617" s="645"/>
    </row>
    <row r="4618" spans="1:2" x14ac:dyDescent="0.3">
      <c r="A4618" s="644"/>
      <c r="B4618" s="645"/>
    </row>
    <row r="4619" spans="1:2" x14ac:dyDescent="0.3">
      <c r="A4619" s="644"/>
      <c r="B4619" s="645"/>
    </row>
    <row r="4620" spans="1:2" x14ac:dyDescent="0.3">
      <c r="A4620" s="644"/>
      <c r="B4620" s="645"/>
    </row>
    <row r="4621" spans="1:2" x14ac:dyDescent="0.3">
      <c r="A4621" s="644"/>
      <c r="B4621" s="645"/>
    </row>
    <row r="4622" spans="1:2" x14ac:dyDescent="0.3">
      <c r="A4622" s="644"/>
      <c r="B4622" s="645"/>
    </row>
    <row r="4623" spans="1:2" x14ac:dyDescent="0.3">
      <c r="A4623" s="644"/>
      <c r="B4623" s="645"/>
    </row>
    <row r="4624" spans="1:2" x14ac:dyDescent="0.3">
      <c r="A4624" s="644"/>
      <c r="B4624" s="645"/>
    </row>
    <row r="4625" spans="1:2" x14ac:dyDescent="0.3">
      <c r="A4625" s="644"/>
      <c r="B4625" s="645"/>
    </row>
    <row r="4626" spans="1:2" x14ac:dyDescent="0.3">
      <c r="A4626" s="644"/>
      <c r="B4626" s="645"/>
    </row>
    <row r="4627" spans="1:2" x14ac:dyDescent="0.3">
      <c r="A4627" s="644"/>
      <c r="B4627" s="645"/>
    </row>
    <row r="4628" spans="1:2" x14ac:dyDescent="0.3">
      <c r="A4628" s="644"/>
      <c r="B4628" s="645"/>
    </row>
    <row r="4629" spans="1:2" x14ac:dyDescent="0.3">
      <c r="A4629" s="644"/>
      <c r="B4629" s="645"/>
    </row>
    <row r="4630" spans="1:2" x14ac:dyDescent="0.3">
      <c r="A4630" s="644"/>
      <c r="B4630" s="645"/>
    </row>
    <row r="4631" spans="1:2" x14ac:dyDescent="0.3">
      <c r="A4631" s="644"/>
      <c r="B4631" s="645"/>
    </row>
    <row r="4632" spans="1:2" x14ac:dyDescent="0.3">
      <c r="A4632" s="644"/>
      <c r="B4632" s="645"/>
    </row>
    <row r="4633" spans="1:2" x14ac:dyDescent="0.3">
      <c r="A4633" s="644"/>
      <c r="B4633" s="645"/>
    </row>
    <row r="4634" spans="1:2" x14ac:dyDescent="0.3">
      <c r="A4634" s="644"/>
      <c r="B4634" s="645"/>
    </row>
    <row r="4635" spans="1:2" x14ac:dyDescent="0.3">
      <c r="A4635" s="644"/>
      <c r="B4635" s="645"/>
    </row>
    <row r="4636" spans="1:2" x14ac:dyDescent="0.3">
      <c r="A4636" s="644"/>
      <c r="B4636" s="645"/>
    </row>
    <row r="4637" spans="1:2" x14ac:dyDescent="0.3">
      <c r="A4637" s="644"/>
      <c r="B4637" s="645"/>
    </row>
    <row r="4638" spans="1:2" x14ac:dyDescent="0.3">
      <c r="A4638" s="644"/>
      <c r="B4638" s="645"/>
    </row>
    <row r="4639" spans="1:2" x14ac:dyDescent="0.3">
      <c r="A4639" s="644"/>
      <c r="B4639" s="645"/>
    </row>
    <row r="4640" spans="1:2" x14ac:dyDescent="0.3">
      <c r="A4640" s="644"/>
      <c r="B4640" s="645"/>
    </row>
    <row r="4641" spans="1:2" x14ac:dyDescent="0.3">
      <c r="A4641" s="644"/>
      <c r="B4641" s="645"/>
    </row>
    <row r="4642" spans="1:2" x14ac:dyDescent="0.3">
      <c r="A4642" s="644"/>
      <c r="B4642" s="645"/>
    </row>
    <row r="4643" spans="1:2" x14ac:dyDescent="0.3">
      <c r="A4643" s="644"/>
      <c r="B4643" s="645"/>
    </row>
    <row r="4644" spans="1:2" x14ac:dyDescent="0.3">
      <c r="A4644" s="644"/>
      <c r="B4644" s="645"/>
    </row>
    <row r="4645" spans="1:2" x14ac:dyDescent="0.3">
      <c r="A4645" s="644"/>
      <c r="B4645" s="645"/>
    </row>
    <row r="4646" spans="1:2" x14ac:dyDescent="0.3">
      <c r="A4646" s="644"/>
      <c r="B4646" s="645"/>
    </row>
    <row r="4647" spans="1:2" x14ac:dyDescent="0.3">
      <c r="A4647" s="644"/>
      <c r="B4647" s="645"/>
    </row>
    <row r="4648" spans="1:2" x14ac:dyDescent="0.3">
      <c r="A4648" s="644"/>
      <c r="B4648" s="645"/>
    </row>
    <row r="4649" spans="1:2" x14ac:dyDescent="0.3">
      <c r="A4649" s="644"/>
      <c r="B4649" s="645"/>
    </row>
    <row r="4650" spans="1:2" x14ac:dyDescent="0.3">
      <c r="A4650" s="644"/>
      <c r="B4650" s="645"/>
    </row>
    <row r="4651" spans="1:2" x14ac:dyDescent="0.3">
      <c r="A4651" s="644"/>
      <c r="B4651" s="645"/>
    </row>
    <row r="4652" spans="1:2" x14ac:dyDescent="0.3">
      <c r="A4652" s="644"/>
      <c r="B4652" s="645"/>
    </row>
    <row r="4653" spans="1:2" x14ac:dyDescent="0.3">
      <c r="A4653" s="644"/>
      <c r="B4653" s="645"/>
    </row>
    <row r="4654" spans="1:2" x14ac:dyDescent="0.3">
      <c r="A4654" s="644"/>
      <c r="B4654" s="645"/>
    </row>
    <row r="4655" spans="1:2" x14ac:dyDescent="0.3">
      <c r="A4655" s="644"/>
      <c r="B4655" s="645"/>
    </row>
    <row r="4656" spans="1:2" x14ac:dyDescent="0.3">
      <c r="A4656" s="644"/>
      <c r="B4656" s="645"/>
    </row>
    <row r="4657" spans="1:2" x14ac:dyDescent="0.3">
      <c r="A4657" s="644"/>
      <c r="B4657" s="645"/>
    </row>
    <row r="4658" spans="1:2" x14ac:dyDescent="0.3">
      <c r="A4658" s="644"/>
      <c r="B4658" s="645"/>
    </row>
    <row r="4659" spans="1:2" x14ac:dyDescent="0.3">
      <c r="A4659" s="644"/>
      <c r="B4659" s="645"/>
    </row>
    <row r="4660" spans="1:2" x14ac:dyDescent="0.3">
      <c r="A4660" s="644"/>
      <c r="B4660" s="645"/>
    </row>
    <row r="4661" spans="1:2" x14ac:dyDescent="0.3">
      <c r="A4661" s="644"/>
      <c r="B4661" s="645"/>
    </row>
    <row r="4662" spans="1:2" x14ac:dyDescent="0.3">
      <c r="A4662" s="644"/>
      <c r="B4662" s="645"/>
    </row>
    <row r="4663" spans="1:2" x14ac:dyDescent="0.3">
      <c r="A4663" s="644"/>
      <c r="B4663" s="645"/>
    </row>
    <row r="4664" spans="1:2" x14ac:dyDescent="0.3">
      <c r="A4664" s="644"/>
      <c r="B4664" s="645"/>
    </row>
    <row r="4665" spans="1:2" x14ac:dyDescent="0.3">
      <c r="A4665" s="644"/>
      <c r="B4665" s="645"/>
    </row>
    <row r="4666" spans="1:2" x14ac:dyDescent="0.3">
      <c r="A4666" s="644"/>
      <c r="B4666" s="645"/>
    </row>
    <row r="4667" spans="1:2" x14ac:dyDescent="0.3">
      <c r="A4667" s="644"/>
      <c r="B4667" s="645"/>
    </row>
    <row r="4668" spans="1:2" x14ac:dyDescent="0.3">
      <c r="A4668" s="644"/>
      <c r="B4668" s="645"/>
    </row>
    <row r="4669" spans="1:2" x14ac:dyDescent="0.3">
      <c r="A4669" s="644"/>
      <c r="B4669" s="645"/>
    </row>
    <row r="4670" spans="1:2" x14ac:dyDescent="0.3">
      <c r="A4670" s="644"/>
      <c r="B4670" s="645"/>
    </row>
    <row r="4671" spans="1:2" x14ac:dyDescent="0.3">
      <c r="A4671" s="644"/>
      <c r="B4671" s="645"/>
    </row>
    <row r="4672" spans="1:2" x14ac:dyDescent="0.3">
      <c r="A4672" s="644"/>
      <c r="B4672" s="645"/>
    </row>
    <row r="4673" spans="1:2" x14ac:dyDescent="0.3">
      <c r="A4673" s="644"/>
      <c r="B4673" s="645"/>
    </row>
    <row r="4674" spans="1:2" x14ac:dyDescent="0.3">
      <c r="A4674" s="644"/>
      <c r="B4674" s="645"/>
    </row>
    <row r="4675" spans="1:2" x14ac:dyDescent="0.3">
      <c r="A4675" s="644"/>
      <c r="B4675" s="645"/>
    </row>
    <row r="4676" spans="1:2" x14ac:dyDescent="0.3">
      <c r="A4676" s="644"/>
      <c r="B4676" s="645"/>
    </row>
    <row r="4677" spans="1:2" x14ac:dyDescent="0.3">
      <c r="A4677" s="644"/>
      <c r="B4677" s="645"/>
    </row>
    <row r="4678" spans="1:2" x14ac:dyDescent="0.3">
      <c r="A4678" s="644"/>
      <c r="B4678" s="645"/>
    </row>
    <row r="4679" spans="1:2" x14ac:dyDescent="0.3">
      <c r="A4679" s="644"/>
      <c r="B4679" s="645"/>
    </row>
    <row r="4680" spans="1:2" x14ac:dyDescent="0.3">
      <c r="A4680" s="644"/>
      <c r="B4680" s="645"/>
    </row>
    <row r="4681" spans="1:2" x14ac:dyDescent="0.3">
      <c r="A4681" s="644"/>
      <c r="B4681" s="645"/>
    </row>
    <row r="4682" spans="1:2" x14ac:dyDescent="0.3">
      <c r="A4682" s="644"/>
      <c r="B4682" s="645"/>
    </row>
    <row r="4683" spans="1:2" x14ac:dyDescent="0.3">
      <c r="A4683" s="644"/>
      <c r="B4683" s="645"/>
    </row>
    <row r="4684" spans="1:2" x14ac:dyDescent="0.3">
      <c r="A4684" s="644"/>
      <c r="B4684" s="645"/>
    </row>
    <row r="4685" spans="1:2" x14ac:dyDescent="0.3">
      <c r="A4685" s="644"/>
      <c r="B4685" s="645"/>
    </row>
    <row r="4686" spans="1:2" x14ac:dyDescent="0.3">
      <c r="A4686" s="644"/>
      <c r="B4686" s="645"/>
    </row>
    <row r="4687" spans="1:2" x14ac:dyDescent="0.3">
      <c r="A4687" s="644"/>
      <c r="B4687" s="645"/>
    </row>
    <row r="4688" spans="1:2" x14ac:dyDescent="0.3">
      <c r="A4688" s="644"/>
      <c r="B4688" s="645"/>
    </row>
    <row r="4689" spans="1:2" x14ac:dyDescent="0.3">
      <c r="A4689" s="644"/>
      <c r="B4689" s="645"/>
    </row>
    <row r="4690" spans="1:2" x14ac:dyDescent="0.3">
      <c r="A4690" s="644"/>
      <c r="B4690" s="645"/>
    </row>
    <row r="4691" spans="1:2" x14ac:dyDescent="0.3">
      <c r="A4691" s="644"/>
      <c r="B4691" s="645"/>
    </row>
    <row r="4692" spans="1:2" x14ac:dyDescent="0.3">
      <c r="A4692" s="644"/>
      <c r="B4692" s="645"/>
    </row>
    <row r="4693" spans="1:2" x14ac:dyDescent="0.3">
      <c r="A4693" s="644"/>
      <c r="B4693" s="645"/>
    </row>
    <row r="4694" spans="1:2" x14ac:dyDescent="0.3">
      <c r="A4694" s="644"/>
      <c r="B4694" s="645"/>
    </row>
    <row r="4695" spans="1:2" x14ac:dyDescent="0.3">
      <c r="A4695" s="644"/>
      <c r="B4695" s="645"/>
    </row>
    <row r="4696" spans="1:2" x14ac:dyDescent="0.3">
      <c r="A4696" s="644"/>
      <c r="B4696" s="645"/>
    </row>
    <row r="4697" spans="1:2" x14ac:dyDescent="0.3">
      <c r="A4697" s="644"/>
      <c r="B4697" s="645"/>
    </row>
    <row r="4698" spans="1:2" x14ac:dyDescent="0.3">
      <c r="A4698" s="644"/>
      <c r="B4698" s="645"/>
    </row>
    <row r="4699" spans="1:2" x14ac:dyDescent="0.3">
      <c r="A4699" s="644"/>
      <c r="B4699" s="645"/>
    </row>
    <row r="4700" spans="1:2" x14ac:dyDescent="0.3">
      <c r="A4700" s="644"/>
      <c r="B4700" s="645"/>
    </row>
    <row r="4701" spans="1:2" x14ac:dyDescent="0.3">
      <c r="A4701" s="644"/>
      <c r="B4701" s="645"/>
    </row>
    <row r="4702" spans="1:2" x14ac:dyDescent="0.3">
      <c r="A4702" s="644"/>
      <c r="B4702" s="645"/>
    </row>
    <row r="4703" spans="1:2" x14ac:dyDescent="0.3">
      <c r="A4703" s="644"/>
      <c r="B4703" s="645"/>
    </row>
    <row r="4704" spans="1:2" x14ac:dyDescent="0.3">
      <c r="A4704" s="644"/>
      <c r="B4704" s="645"/>
    </row>
    <row r="4705" spans="1:2" x14ac:dyDescent="0.3">
      <c r="A4705" s="644"/>
      <c r="B4705" s="645"/>
    </row>
    <row r="4706" spans="1:2" x14ac:dyDescent="0.3">
      <c r="A4706" s="644"/>
      <c r="B4706" s="645"/>
    </row>
    <row r="4707" spans="1:2" x14ac:dyDescent="0.3">
      <c r="A4707" s="644"/>
      <c r="B4707" s="645"/>
    </row>
    <row r="4708" spans="1:2" x14ac:dyDescent="0.3">
      <c r="A4708" s="644"/>
      <c r="B4708" s="645"/>
    </row>
    <row r="4709" spans="1:2" x14ac:dyDescent="0.3">
      <c r="A4709" s="644"/>
      <c r="B4709" s="645"/>
    </row>
    <row r="4710" spans="1:2" x14ac:dyDescent="0.3">
      <c r="A4710" s="644"/>
      <c r="B4710" s="645"/>
    </row>
    <row r="4711" spans="1:2" x14ac:dyDescent="0.3">
      <c r="A4711" s="644"/>
      <c r="B4711" s="645"/>
    </row>
    <row r="4712" spans="1:2" x14ac:dyDescent="0.3">
      <c r="A4712" s="644"/>
      <c r="B4712" s="645"/>
    </row>
    <row r="4713" spans="1:2" x14ac:dyDescent="0.3">
      <c r="A4713" s="644"/>
      <c r="B4713" s="645"/>
    </row>
    <row r="4714" spans="1:2" x14ac:dyDescent="0.3">
      <c r="A4714" s="644"/>
      <c r="B4714" s="645"/>
    </row>
    <row r="4715" spans="1:2" x14ac:dyDescent="0.3">
      <c r="A4715" s="644"/>
      <c r="B4715" s="645"/>
    </row>
    <row r="4716" spans="1:2" x14ac:dyDescent="0.3">
      <c r="A4716" s="644"/>
      <c r="B4716" s="645"/>
    </row>
    <row r="4717" spans="1:2" x14ac:dyDescent="0.3">
      <c r="A4717" s="644"/>
      <c r="B4717" s="645"/>
    </row>
    <row r="4718" spans="1:2" x14ac:dyDescent="0.3">
      <c r="A4718" s="644"/>
      <c r="B4718" s="645"/>
    </row>
    <row r="4719" spans="1:2" x14ac:dyDescent="0.3">
      <c r="A4719" s="644"/>
      <c r="B4719" s="645"/>
    </row>
    <row r="4720" spans="1:2" x14ac:dyDescent="0.3">
      <c r="A4720" s="644"/>
      <c r="B4720" s="645"/>
    </row>
    <row r="4721" spans="1:2" x14ac:dyDescent="0.3">
      <c r="A4721" s="644"/>
      <c r="B4721" s="645"/>
    </row>
    <row r="4722" spans="1:2" x14ac:dyDescent="0.3">
      <c r="A4722" s="644"/>
      <c r="B4722" s="645"/>
    </row>
    <row r="4723" spans="1:2" x14ac:dyDescent="0.3">
      <c r="A4723" s="644"/>
      <c r="B4723" s="645"/>
    </row>
    <row r="4724" spans="1:2" x14ac:dyDescent="0.3">
      <c r="A4724" s="644"/>
      <c r="B4724" s="645"/>
    </row>
    <row r="4725" spans="1:2" x14ac:dyDescent="0.3">
      <c r="A4725" s="644"/>
      <c r="B4725" s="645"/>
    </row>
    <row r="4726" spans="1:2" x14ac:dyDescent="0.3">
      <c r="A4726" s="644"/>
      <c r="B4726" s="645"/>
    </row>
    <row r="4727" spans="1:2" x14ac:dyDescent="0.3">
      <c r="A4727" s="644"/>
      <c r="B4727" s="645"/>
    </row>
    <row r="4728" spans="1:2" x14ac:dyDescent="0.3">
      <c r="A4728" s="644"/>
      <c r="B4728" s="645"/>
    </row>
    <row r="4729" spans="1:2" x14ac:dyDescent="0.3">
      <c r="A4729" s="644"/>
      <c r="B4729" s="645"/>
    </row>
    <row r="4730" spans="1:2" x14ac:dyDescent="0.3">
      <c r="A4730" s="644"/>
      <c r="B4730" s="645"/>
    </row>
    <row r="4731" spans="1:2" x14ac:dyDescent="0.3">
      <c r="A4731" s="644"/>
      <c r="B4731" s="645"/>
    </row>
    <row r="4732" spans="1:2" x14ac:dyDescent="0.3">
      <c r="A4732" s="644"/>
      <c r="B4732" s="645"/>
    </row>
    <row r="4733" spans="1:2" x14ac:dyDescent="0.3">
      <c r="A4733" s="644"/>
      <c r="B4733" s="645"/>
    </row>
    <row r="4734" spans="1:2" x14ac:dyDescent="0.3">
      <c r="A4734" s="644"/>
      <c r="B4734" s="645"/>
    </row>
    <row r="4735" spans="1:2" x14ac:dyDescent="0.3">
      <c r="A4735" s="644"/>
      <c r="B4735" s="645"/>
    </row>
    <row r="4736" spans="1:2" x14ac:dyDescent="0.3">
      <c r="A4736" s="644"/>
      <c r="B4736" s="645"/>
    </row>
    <row r="4737" spans="1:2" x14ac:dyDescent="0.3">
      <c r="A4737" s="644"/>
      <c r="B4737" s="645"/>
    </row>
    <row r="4738" spans="1:2" x14ac:dyDescent="0.3">
      <c r="A4738" s="644"/>
      <c r="B4738" s="645"/>
    </row>
    <row r="4739" spans="1:2" x14ac:dyDescent="0.3">
      <c r="A4739" s="644"/>
      <c r="B4739" s="645"/>
    </row>
    <row r="4740" spans="1:2" x14ac:dyDescent="0.3">
      <c r="A4740" s="644"/>
      <c r="B4740" s="645"/>
    </row>
    <row r="4741" spans="1:2" x14ac:dyDescent="0.3">
      <c r="A4741" s="644"/>
      <c r="B4741" s="645"/>
    </row>
    <row r="4742" spans="1:2" x14ac:dyDescent="0.3">
      <c r="A4742" s="644"/>
      <c r="B4742" s="645"/>
    </row>
    <row r="4743" spans="1:2" x14ac:dyDescent="0.3">
      <c r="A4743" s="644"/>
      <c r="B4743" s="645"/>
    </row>
    <row r="4744" spans="1:2" x14ac:dyDescent="0.3">
      <c r="A4744" s="644"/>
      <c r="B4744" s="645"/>
    </row>
    <row r="4745" spans="1:2" x14ac:dyDescent="0.3">
      <c r="A4745" s="644"/>
      <c r="B4745" s="645"/>
    </row>
    <row r="4746" spans="1:2" x14ac:dyDescent="0.3">
      <c r="A4746" s="644"/>
      <c r="B4746" s="645"/>
    </row>
    <row r="4747" spans="1:2" x14ac:dyDescent="0.3">
      <c r="A4747" s="644"/>
      <c r="B4747" s="645"/>
    </row>
    <row r="4748" spans="1:2" x14ac:dyDescent="0.3">
      <c r="A4748" s="644"/>
      <c r="B4748" s="645"/>
    </row>
    <row r="4749" spans="1:2" x14ac:dyDescent="0.3">
      <c r="A4749" s="644"/>
      <c r="B4749" s="645"/>
    </row>
    <row r="4750" spans="1:2" x14ac:dyDescent="0.3">
      <c r="A4750" s="644"/>
      <c r="B4750" s="645"/>
    </row>
    <row r="4751" spans="1:2" x14ac:dyDescent="0.3">
      <c r="A4751" s="644"/>
      <c r="B4751" s="645"/>
    </row>
    <row r="4752" spans="1:2" x14ac:dyDescent="0.3">
      <c r="A4752" s="644"/>
      <c r="B4752" s="645"/>
    </row>
    <row r="4753" spans="1:2" x14ac:dyDescent="0.3">
      <c r="A4753" s="644"/>
      <c r="B4753" s="645"/>
    </row>
    <row r="4754" spans="1:2" x14ac:dyDescent="0.3">
      <c r="A4754" s="644"/>
      <c r="B4754" s="645"/>
    </row>
    <row r="4755" spans="1:2" x14ac:dyDescent="0.3">
      <c r="A4755" s="644"/>
      <c r="B4755" s="645"/>
    </row>
    <row r="4756" spans="1:2" x14ac:dyDescent="0.3">
      <c r="A4756" s="644"/>
      <c r="B4756" s="645"/>
    </row>
    <row r="4757" spans="1:2" x14ac:dyDescent="0.3">
      <c r="A4757" s="644"/>
      <c r="B4757" s="645"/>
    </row>
    <row r="4758" spans="1:2" x14ac:dyDescent="0.3">
      <c r="A4758" s="644"/>
      <c r="B4758" s="645"/>
    </row>
    <row r="4759" spans="1:2" x14ac:dyDescent="0.3">
      <c r="A4759" s="644"/>
      <c r="B4759" s="645"/>
    </row>
    <row r="4760" spans="1:2" x14ac:dyDescent="0.3">
      <c r="A4760" s="644"/>
      <c r="B4760" s="645"/>
    </row>
    <row r="4761" spans="1:2" x14ac:dyDescent="0.3">
      <c r="A4761" s="644"/>
      <c r="B4761" s="645"/>
    </row>
    <row r="4762" spans="1:2" x14ac:dyDescent="0.3">
      <c r="A4762" s="644"/>
      <c r="B4762" s="645"/>
    </row>
    <row r="4763" spans="1:2" x14ac:dyDescent="0.3">
      <c r="A4763" s="644"/>
      <c r="B4763" s="645"/>
    </row>
    <row r="4764" spans="1:2" x14ac:dyDescent="0.3">
      <c r="A4764" s="644"/>
      <c r="B4764" s="645"/>
    </row>
    <row r="4765" spans="1:2" x14ac:dyDescent="0.3">
      <c r="A4765" s="644"/>
      <c r="B4765" s="645"/>
    </row>
    <row r="4766" spans="1:2" x14ac:dyDescent="0.3">
      <c r="A4766" s="644"/>
      <c r="B4766" s="645"/>
    </row>
    <row r="4767" spans="1:2" x14ac:dyDescent="0.3">
      <c r="A4767" s="644"/>
      <c r="B4767" s="645"/>
    </row>
    <row r="4768" spans="1:2" x14ac:dyDescent="0.3">
      <c r="A4768" s="644"/>
      <c r="B4768" s="645"/>
    </row>
    <row r="4769" spans="1:2" x14ac:dyDescent="0.3">
      <c r="A4769" s="644"/>
      <c r="B4769" s="645"/>
    </row>
    <row r="4770" spans="1:2" x14ac:dyDescent="0.3">
      <c r="A4770" s="644"/>
      <c r="B4770" s="645"/>
    </row>
    <row r="4771" spans="1:2" x14ac:dyDescent="0.3">
      <c r="A4771" s="644"/>
      <c r="B4771" s="645"/>
    </row>
    <row r="4772" spans="1:2" x14ac:dyDescent="0.3">
      <c r="A4772" s="644"/>
      <c r="B4772" s="645"/>
    </row>
    <row r="4773" spans="1:2" x14ac:dyDescent="0.3">
      <c r="A4773" s="644"/>
      <c r="B4773" s="645"/>
    </row>
    <row r="4774" spans="1:2" x14ac:dyDescent="0.3">
      <c r="A4774" s="644"/>
      <c r="B4774" s="645"/>
    </row>
    <row r="4775" spans="1:2" x14ac:dyDescent="0.3">
      <c r="A4775" s="644"/>
      <c r="B4775" s="645"/>
    </row>
    <row r="4776" spans="1:2" x14ac:dyDescent="0.3">
      <c r="A4776" s="644"/>
      <c r="B4776" s="645"/>
    </row>
    <row r="4777" spans="1:2" x14ac:dyDescent="0.3">
      <c r="A4777" s="644"/>
      <c r="B4777" s="645"/>
    </row>
    <row r="4778" spans="1:2" x14ac:dyDescent="0.3">
      <c r="A4778" s="644"/>
      <c r="B4778" s="645"/>
    </row>
    <row r="4779" spans="1:2" x14ac:dyDescent="0.3">
      <c r="A4779" s="644"/>
      <c r="B4779" s="645"/>
    </row>
    <row r="4780" spans="1:2" x14ac:dyDescent="0.3">
      <c r="A4780" s="644"/>
      <c r="B4780" s="645"/>
    </row>
    <row r="4781" spans="1:2" x14ac:dyDescent="0.3">
      <c r="A4781" s="644"/>
      <c r="B4781" s="645"/>
    </row>
    <row r="4782" spans="1:2" x14ac:dyDescent="0.3">
      <c r="A4782" s="644"/>
      <c r="B4782" s="645"/>
    </row>
    <row r="4783" spans="1:2" x14ac:dyDescent="0.3">
      <c r="A4783" s="644"/>
      <c r="B4783" s="645"/>
    </row>
    <row r="4784" spans="1:2" x14ac:dyDescent="0.3">
      <c r="A4784" s="644"/>
      <c r="B4784" s="645"/>
    </row>
    <row r="4785" spans="1:2" x14ac:dyDescent="0.3">
      <c r="A4785" s="644"/>
      <c r="B4785" s="645"/>
    </row>
    <row r="4786" spans="1:2" x14ac:dyDescent="0.3">
      <c r="A4786" s="644"/>
      <c r="B4786" s="645"/>
    </row>
    <row r="4787" spans="1:2" x14ac:dyDescent="0.3">
      <c r="A4787" s="644"/>
      <c r="B4787" s="645"/>
    </row>
    <row r="4788" spans="1:2" x14ac:dyDescent="0.3">
      <c r="A4788" s="644"/>
      <c r="B4788" s="645"/>
    </row>
    <row r="4789" spans="1:2" x14ac:dyDescent="0.3">
      <c r="A4789" s="644"/>
      <c r="B4789" s="645"/>
    </row>
    <row r="4790" spans="1:2" x14ac:dyDescent="0.3">
      <c r="A4790" s="644"/>
      <c r="B4790" s="645"/>
    </row>
    <row r="4791" spans="1:2" x14ac:dyDescent="0.3">
      <c r="A4791" s="644"/>
      <c r="B4791" s="645"/>
    </row>
    <row r="4792" spans="1:2" x14ac:dyDescent="0.3">
      <c r="A4792" s="644"/>
      <c r="B4792" s="645"/>
    </row>
    <row r="4793" spans="1:2" x14ac:dyDescent="0.3">
      <c r="A4793" s="644"/>
      <c r="B4793" s="645"/>
    </row>
    <row r="4794" spans="1:2" x14ac:dyDescent="0.3">
      <c r="A4794" s="644"/>
      <c r="B4794" s="645"/>
    </row>
    <row r="4795" spans="1:2" x14ac:dyDescent="0.3">
      <c r="A4795" s="644"/>
      <c r="B4795" s="645"/>
    </row>
    <row r="4796" spans="1:2" x14ac:dyDescent="0.3">
      <c r="A4796" s="644"/>
      <c r="B4796" s="645"/>
    </row>
    <row r="4797" spans="1:2" x14ac:dyDescent="0.3">
      <c r="A4797" s="644"/>
      <c r="B4797" s="645"/>
    </row>
    <row r="4798" spans="1:2" x14ac:dyDescent="0.3">
      <c r="A4798" s="644"/>
      <c r="B4798" s="645"/>
    </row>
    <row r="4799" spans="1:2" x14ac:dyDescent="0.3">
      <c r="A4799" s="644"/>
      <c r="B4799" s="645"/>
    </row>
    <row r="4800" spans="1:2" x14ac:dyDescent="0.3">
      <c r="A4800" s="644"/>
      <c r="B4800" s="645"/>
    </row>
    <row r="4801" spans="1:2" x14ac:dyDescent="0.3">
      <c r="A4801" s="644"/>
      <c r="B4801" s="645"/>
    </row>
    <row r="4802" spans="1:2" x14ac:dyDescent="0.3">
      <c r="A4802" s="644"/>
      <c r="B4802" s="645"/>
    </row>
    <row r="4803" spans="1:2" x14ac:dyDescent="0.3">
      <c r="A4803" s="644"/>
      <c r="B4803" s="645"/>
    </row>
    <row r="4804" spans="1:2" x14ac:dyDescent="0.3">
      <c r="A4804" s="644"/>
      <c r="B4804" s="645"/>
    </row>
    <row r="4805" spans="1:2" x14ac:dyDescent="0.3">
      <c r="A4805" s="644"/>
      <c r="B4805" s="645"/>
    </row>
    <row r="4806" spans="1:2" x14ac:dyDescent="0.3">
      <c r="A4806" s="644"/>
      <c r="B4806" s="645"/>
    </row>
    <row r="4807" spans="1:2" x14ac:dyDescent="0.3">
      <c r="A4807" s="644"/>
      <c r="B4807" s="645"/>
    </row>
    <row r="4808" spans="1:2" x14ac:dyDescent="0.3">
      <c r="A4808" s="644"/>
      <c r="B4808" s="645"/>
    </row>
    <row r="4809" spans="1:2" x14ac:dyDescent="0.3">
      <c r="A4809" s="644"/>
      <c r="B4809" s="645"/>
    </row>
    <row r="4810" spans="1:2" x14ac:dyDescent="0.3">
      <c r="A4810" s="644"/>
      <c r="B4810" s="645"/>
    </row>
    <row r="4811" spans="1:2" x14ac:dyDescent="0.3">
      <c r="A4811" s="644"/>
      <c r="B4811" s="645"/>
    </row>
    <row r="4812" spans="1:2" x14ac:dyDescent="0.3">
      <c r="A4812" s="644"/>
      <c r="B4812" s="645"/>
    </row>
    <row r="4813" spans="1:2" x14ac:dyDescent="0.3">
      <c r="A4813" s="644"/>
      <c r="B4813" s="645"/>
    </row>
    <row r="4814" spans="1:2" x14ac:dyDescent="0.3">
      <c r="A4814" s="644"/>
      <c r="B4814" s="645"/>
    </row>
    <row r="4815" spans="1:2" x14ac:dyDescent="0.3">
      <c r="A4815" s="644"/>
      <c r="B4815" s="645"/>
    </row>
    <row r="4816" spans="1:2" x14ac:dyDescent="0.3">
      <c r="A4816" s="644"/>
      <c r="B4816" s="645"/>
    </row>
    <row r="4817" spans="1:2" x14ac:dyDescent="0.3">
      <c r="A4817" s="644"/>
      <c r="B4817" s="645"/>
    </row>
    <row r="4818" spans="1:2" x14ac:dyDescent="0.3">
      <c r="A4818" s="644"/>
      <c r="B4818" s="645"/>
    </row>
    <row r="4819" spans="1:2" x14ac:dyDescent="0.3">
      <c r="A4819" s="644"/>
      <c r="B4819" s="645"/>
    </row>
    <row r="4820" spans="1:2" x14ac:dyDescent="0.3">
      <c r="A4820" s="644"/>
      <c r="B4820" s="645"/>
    </row>
    <row r="4821" spans="1:2" x14ac:dyDescent="0.3">
      <c r="A4821" s="644"/>
      <c r="B4821" s="645"/>
    </row>
    <row r="4822" spans="1:2" x14ac:dyDescent="0.3">
      <c r="A4822" s="644"/>
      <c r="B4822" s="645"/>
    </row>
    <row r="4823" spans="1:2" x14ac:dyDescent="0.3">
      <c r="A4823" s="644"/>
      <c r="B4823" s="645"/>
    </row>
    <row r="4824" spans="1:2" x14ac:dyDescent="0.3">
      <c r="A4824" s="644"/>
      <c r="B4824" s="645"/>
    </row>
    <row r="4825" spans="1:2" x14ac:dyDescent="0.3">
      <c r="A4825" s="644"/>
      <c r="B4825" s="645"/>
    </row>
    <row r="4826" spans="1:2" x14ac:dyDescent="0.3">
      <c r="A4826" s="644"/>
      <c r="B4826" s="645"/>
    </row>
    <row r="4827" spans="1:2" x14ac:dyDescent="0.3">
      <c r="A4827" s="644"/>
      <c r="B4827" s="645"/>
    </row>
    <row r="4828" spans="1:2" x14ac:dyDescent="0.3">
      <c r="A4828" s="644"/>
      <c r="B4828" s="645"/>
    </row>
    <row r="4829" spans="1:2" x14ac:dyDescent="0.3">
      <c r="A4829" s="644"/>
      <c r="B4829" s="645"/>
    </row>
    <row r="4830" spans="1:2" x14ac:dyDescent="0.3">
      <c r="A4830" s="644"/>
      <c r="B4830" s="645"/>
    </row>
    <row r="4831" spans="1:2" x14ac:dyDescent="0.3">
      <c r="A4831" s="644"/>
      <c r="B4831" s="645"/>
    </row>
    <row r="4832" spans="1:2" x14ac:dyDescent="0.3">
      <c r="A4832" s="644"/>
      <c r="B4832" s="645"/>
    </row>
    <row r="4833" spans="1:2" x14ac:dyDescent="0.3">
      <c r="A4833" s="644"/>
      <c r="B4833" s="645"/>
    </row>
    <row r="4834" spans="1:2" x14ac:dyDescent="0.3">
      <c r="A4834" s="644"/>
      <c r="B4834" s="645"/>
    </row>
    <row r="4835" spans="1:2" x14ac:dyDescent="0.3">
      <c r="A4835" s="644"/>
      <c r="B4835" s="645"/>
    </row>
    <row r="4836" spans="1:2" x14ac:dyDescent="0.3">
      <c r="A4836" s="644"/>
      <c r="B4836" s="645"/>
    </row>
    <row r="4837" spans="1:2" x14ac:dyDescent="0.3">
      <c r="A4837" s="644"/>
      <c r="B4837" s="645"/>
    </row>
    <row r="4838" spans="1:2" x14ac:dyDescent="0.3">
      <c r="A4838" s="644"/>
      <c r="B4838" s="645"/>
    </row>
    <row r="4839" spans="1:2" x14ac:dyDescent="0.3">
      <c r="A4839" s="644"/>
      <c r="B4839" s="645"/>
    </row>
    <row r="4840" spans="1:2" x14ac:dyDescent="0.3">
      <c r="A4840" s="644"/>
      <c r="B4840" s="645"/>
    </row>
    <row r="4841" spans="1:2" x14ac:dyDescent="0.3">
      <c r="A4841" s="644"/>
      <c r="B4841" s="645"/>
    </row>
    <row r="4842" spans="1:2" x14ac:dyDescent="0.3">
      <c r="A4842" s="644"/>
      <c r="B4842" s="645"/>
    </row>
    <row r="4843" spans="1:2" x14ac:dyDescent="0.3">
      <c r="A4843" s="644"/>
      <c r="B4843" s="645"/>
    </row>
    <row r="4844" spans="1:2" x14ac:dyDescent="0.3">
      <c r="A4844" s="644"/>
      <c r="B4844" s="645"/>
    </row>
    <row r="4845" spans="1:2" x14ac:dyDescent="0.3">
      <c r="A4845" s="644"/>
      <c r="B4845" s="645"/>
    </row>
    <row r="4846" spans="1:2" x14ac:dyDescent="0.3">
      <c r="A4846" s="644"/>
      <c r="B4846" s="645"/>
    </row>
    <row r="4847" spans="1:2" x14ac:dyDescent="0.3">
      <c r="A4847" s="644"/>
      <c r="B4847" s="645"/>
    </row>
    <row r="4848" spans="1:2" x14ac:dyDescent="0.3">
      <c r="A4848" s="644"/>
      <c r="B4848" s="645"/>
    </row>
    <row r="4849" spans="1:2" x14ac:dyDescent="0.3">
      <c r="A4849" s="644"/>
      <c r="B4849" s="645"/>
    </row>
    <row r="4850" spans="1:2" x14ac:dyDescent="0.3">
      <c r="A4850" s="644"/>
      <c r="B4850" s="645"/>
    </row>
    <row r="4851" spans="1:2" x14ac:dyDescent="0.3">
      <c r="A4851" s="644"/>
      <c r="B4851" s="645"/>
    </row>
    <row r="4852" spans="1:2" x14ac:dyDescent="0.3">
      <c r="A4852" s="644"/>
      <c r="B4852" s="645"/>
    </row>
    <row r="4853" spans="1:2" x14ac:dyDescent="0.3">
      <c r="A4853" s="644"/>
      <c r="B4853" s="645"/>
    </row>
    <row r="4854" spans="1:2" x14ac:dyDescent="0.3">
      <c r="A4854" s="644"/>
      <c r="B4854" s="645"/>
    </row>
    <row r="4855" spans="1:2" x14ac:dyDescent="0.3">
      <c r="A4855" s="644"/>
      <c r="B4855" s="645"/>
    </row>
    <row r="4856" spans="1:2" x14ac:dyDescent="0.3">
      <c r="A4856" s="644"/>
      <c r="B4856" s="645"/>
    </row>
    <row r="4857" spans="1:2" x14ac:dyDescent="0.3">
      <c r="A4857" s="644"/>
      <c r="B4857" s="645"/>
    </row>
    <row r="4858" spans="1:2" x14ac:dyDescent="0.3">
      <c r="A4858" s="644"/>
      <c r="B4858" s="645"/>
    </row>
    <row r="4859" spans="1:2" x14ac:dyDescent="0.3">
      <c r="A4859" s="644"/>
      <c r="B4859" s="645"/>
    </row>
    <row r="4860" spans="1:2" x14ac:dyDescent="0.3">
      <c r="A4860" s="644"/>
      <c r="B4860" s="645"/>
    </row>
    <row r="4861" spans="1:2" x14ac:dyDescent="0.3">
      <c r="A4861" s="644"/>
      <c r="B4861" s="645"/>
    </row>
    <row r="4862" spans="1:2" x14ac:dyDescent="0.3">
      <c r="A4862" s="644"/>
      <c r="B4862" s="645"/>
    </row>
    <row r="4863" spans="1:2" x14ac:dyDescent="0.3">
      <c r="A4863" s="644"/>
      <c r="B4863" s="645"/>
    </row>
    <row r="4864" spans="1:2" x14ac:dyDescent="0.3">
      <c r="A4864" s="644"/>
      <c r="B4864" s="645"/>
    </row>
    <row r="4865" spans="1:2" x14ac:dyDescent="0.3">
      <c r="A4865" s="644"/>
      <c r="B4865" s="645"/>
    </row>
    <row r="4866" spans="1:2" x14ac:dyDescent="0.3">
      <c r="A4866" s="644"/>
      <c r="B4866" s="645"/>
    </row>
    <row r="4867" spans="1:2" x14ac:dyDescent="0.3">
      <c r="A4867" s="644"/>
      <c r="B4867" s="645"/>
    </row>
    <row r="4868" spans="1:2" x14ac:dyDescent="0.3">
      <c r="A4868" s="644"/>
      <c r="B4868" s="645"/>
    </row>
    <row r="4869" spans="1:2" x14ac:dyDescent="0.3">
      <c r="A4869" s="644"/>
      <c r="B4869" s="645"/>
    </row>
    <row r="4870" spans="1:2" x14ac:dyDescent="0.3">
      <c r="A4870" s="644"/>
      <c r="B4870" s="645"/>
    </row>
    <row r="4871" spans="1:2" x14ac:dyDescent="0.3">
      <c r="A4871" s="644"/>
      <c r="B4871" s="645"/>
    </row>
    <row r="4872" spans="1:2" x14ac:dyDescent="0.3">
      <c r="A4872" s="644"/>
      <c r="B4872" s="645"/>
    </row>
    <row r="4873" spans="1:2" x14ac:dyDescent="0.3">
      <c r="A4873" s="644"/>
      <c r="B4873" s="645"/>
    </row>
    <row r="4874" spans="1:2" x14ac:dyDescent="0.3">
      <c r="A4874" s="644"/>
      <c r="B4874" s="645"/>
    </row>
    <row r="4875" spans="1:2" x14ac:dyDescent="0.3">
      <c r="A4875" s="644"/>
      <c r="B4875" s="645"/>
    </row>
    <row r="4876" spans="1:2" x14ac:dyDescent="0.3">
      <c r="A4876" s="644"/>
      <c r="B4876" s="645"/>
    </row>
    <row r="4877" spans="1:2" x14ac:dyDescent="0.3">
      <c r="A4877" s="644"/>
      <c r="B4877" s="645"/>
    </row>
    <row r="4878" spans="1:2" x14ac:dyDescent="0.3">
      <c r="A4878" s="644"/>
      <c r="B4878" s="645"/>
    </row>
    <row r="4879" spans="1:2" x14ac:dyDescent="0.3">
      <c r="A4879" s="644"/>
      <c r="B4879" s="645"/>
    </row>
    <row r="4880" spans="1:2" x14ac:dyDescent="0.3">
      <c r="A4880" s="644"/>
      <c r="B4880" s="645"/>
    </row>
    <row r="4881" spans="1:2" x14ac:dyDescent="0.3">
      <c r="A4881" s="644"/>
      <c r="B4881" s="645"/>
    </row>
    <row r="4882" spans="1:2" x14ac:dyDescent="0.3">
      <c r="A4882" s="644"/>
      <c r="B4882" s="645"/>
    </row>
    <row r="4883" spans="1:2" x14ac:dyDescent="0.3">
      <c r="A4883" s="644"/>
      <c r="B4883" s="645"/>
    </row>
    <row r="4884" spans="1:2" x14ac:dyDescent="0.3">
      <c r="A4884" s="644"/>
      <c r="B4884" s="645"/>
    </row>
    <row r="4885" spans="1:2" x14ac:dyDescent="0.3">
      <c r="A4885" s="644"/>
      <c r="B4885" s="645"/>
    </row>
    <row r="4886" spans="1:2" x14ac:dyDescent="0.3">
      <c r="A4886" s="644"/>
      <c r="B4886" s="645"/>
    </row>
    <row r="4887" spans="1:2" x14ac:dyDescent="0.3">
      <c r="A4887" s="644"/>
      <c r="B4887" s="645"/>
    </row>
    <row r="4888" spans="1:2" x14ac:dyDescent="0.3">
      <c r="A4888" s="644"/>
      <c r="B4888" s="645"/>
    </row>
    <row r="4889" spans="1:2" x14ac:dyDescent="0.3">
      <c r="A4889" s="644"/>
      <c r="B4889" s="645"/>
    </row>
    <row r="4890" spans="1:2" x14ac:dyDescent="0.3">
      <c r="A4890" s="644"/>
      <c r="B4890" s="645"/>
    </row>
    <row r="4891" spans="1:2" x14ac:dyDescent="0.3">
      <c r="A4891" s="644"/>
      <c r="B4891" s="645"/>
    </row>
    <row r="4892" spans="1:2" x14ac:dyDescent="0.3">
      <c r="A4892" s="644"/>
      <c r="B4892" s="645"/>
    </row>
    <row r="4893" spans="1:2" x14ac:dyDescent="0.3">
      <c r="A4893" s="644"/>
      <c r="B4893" s="645"/>
    </row>
    <row r="4894" spans="1:2" x14ac:dyDescent="0.3">
      <c r="A4894" s="644"/>
      <c r="B4894" s="645"/>
    </row>
    <row r="4895" spans="1:2" x14ac:dyDescent="0.3">
      <c r="A4895" s="644"/>
      <c r="B4895" s="645"/>
    </row>
    <row r="4896" spans="1:2" x14ac:dyDescent="0.3">
      <c r="A4896" s="644"/>
      <c r="B4896" s="645"/>
    </row>
    <row r="4897" spans="1:2" x14ac:dyDescent="0.3">
      <c r="A4897" s="644"/>
      <c r="B4897" s="645"/>
    </row>
    <row r="4898" spans="1:2" x14ac:dyDescent="0.3">
      <c r="A4898" s="644"/>
      <c r="B4898" s="645"/>
    </row>
    <row r="4899" spans="1:2" x14ac:dyDescent="0.3">
      <c r="A4899" s="644"/>
      <c r="B4899" s="645"/>
    </row>
    <row r="4900" spans="1:2" x14ac:dyDescent="0.3">
      <c r="A4900" s="644"/>
      <c r="B4900" s="645"/>
    </row>
    <row r="4901" spans="1:2" x14ac:dyDescent="0.3">
      <c r="A4901" s="644"/>
      <c r="B4901" s="645"/>
    </row>
    <row r="4902" spans="1:2" x14ac:dyDescent="0.3">
      <c r="A4902" s="644"/>
      <c r="B4902" s="645"/>
    </row>
    <row r="4903" spans="1:2" x14ac:dyDescent="0.3">
      <c r="A4903" s="644"/>
      <c r="B4903" s="645"/>
    </row>
    <row r="4904" spans="1:2" x14ac:dyDescent="0.3">
      <c r="A4904" s="644"/>
      <c r="B4904" s="645"/>
    </row>
    <row r="4905" spans="1:2" x14ac:dyDescent="0.3">
      <c r="A4905" s="644"/>
      <c r="B4905" s="645"/>
    </row>
    <row r="4906" spans="1:2" x14ac:dyDescent="0.3">
      <c r="A4906" s="644"/>
      <c r="B4906" s="645"/>
    </row>
    <row r="4907" spans="1:2" x14ac:dyDescent="0.3">
      <c r="A4907" s="644"/>
      <c r="B4907" s="645"/>
    </row>
    <row r="4908" spans="1:2" x14ac:dyDescent="0.3">
      <c r="A4908" s="644"/>
      <c r="B4908" s="645"/>
    </row>
    <row r="4909" spans="1:2" x14ac:dyDescent="0.3">
      <c r="A4909" s="644"/>
      <c r="B4909" s="645"/>
    </row>
    <row r="4910" spans="1:2" x14ac:dyDescent="0.3">
      <c r="A4910" s="644"/>
      <c r="B4910" s="645"/>
    </row>
    <row r="4911" spans="1:2" x14ac:dyDescent="0.3">
      <c r="A4911" s="644"/>
      <c r="B4911" s="645"/>
    </row>
    <row r="4912" spans="1:2" x14ac:dyDescent="0.3">
      <c r="A4912" s="644"/>
      <c r="B4912" s="645"/>
    </row>
    <row r="4913" spans="1:2" x14ac:dyDescent="0.3">
      <c r="A4913" s="644"/>
      <c r="B4913" s="645"/>
    </row>
    <row r="4914" spans="1:2" x14ac:dyDescent="0.3">
      <c r="A4914" s="644"/>
      <c r="B4914" s="645"/>
    </row>
    <row r="4915" spans="1:2" x14ac:dyDescent="0.3">
      <c r="A4915" s="644"/>
      <c r="B4915" s="645"/>
    </row>
    <row r="4916" spans="1:2" x14ac:dyDescent="0.3">
      <c r="A4916" s="644"/>
      <c r="B4916" s="645"/>
    </row>
    <row r="4917" spans="1:2" x14ac:dyDescent="0.3">
      <c r="A4917" s="644"/>
      <c r="B4917" s="645"/>
    </row>
    <row r="4918" spans="1:2" x14ac:dyDescent="0.3">
      <c r="A4918" s="644"/>
      <c r="B4918" s="645"/>
    </row>
    <row r="4919" spans="1:2" x14ac:dyDescent="0.3">
      <c r="A4919" s="644"/>
      <c r="B4919" s="645"/>
    </row>
    <row r="4920" spans="1:2" x14ac:dyDescent="0.3">
      <c r="A4920" s="644"/>
      <c r="B4920" s="645"/>
    </row>
    <row r="4921" spans="1:2" x14ac:dyDescent="0.3">
      <c r="A4921" s="644"/>
      <c r="B4921" s="645"/>
    </row>
    <row r="4922" spans="1:2" x14ac:dyDescent="0.3">
      <c r="A4922" s="644"/>
      <c r="B4922" s="645"/>
    </row>
    <row r="4923" spans="1:2" x14ac:dyDescent="0.3">
      <c r="A4923" s="644"/>
      <c r="B4923" s="645"/>
    </row>
    <row r="4924" spans="1:2" x14ac:dyDescent="0.3">
      <c r="A4924" s="644"/>
      <c r="B4924" s="645"/>
    </row>
    <row r="4925" spans="1:2" x14ac:dyDescent="0.3">
      <c r="A4925" s="644"/>
      <c r="B4925" s="645"/>
    </row>
    <row r="4926" spans="1:2" x14ac:dyDescent="0.3">
      <c r="A4926" s="644"/>
      <c r="B4926" s="645"/>
    </row>
    <row r="4927" spans="1:2" x14ac:dyDescent="0.3">
      <c r="A4927" s="644"/>
      <c r="B4927" s="645"/>
    </row>
    <row r="4928" spans="1:2" x14ac:dyDescent="0.3">
      <c r="A4928" s="644"/>
      <c r="B4928" s="645"/>
    </row>
    <row r="4929" spans="1:2" x14ac:dyDescent="0.3">
      <c r="A4929" s="644"/>
      <c r="B4929" s="645"/>
    </row>
    <row r="4930" spans="1:2" x14ac:dyDescent="0.3">
      <c r="A4930" s="644"/>
      <c r="B4930" s="645"/>
    </row>
    <row r="4931" spans="1:2" x14ac:dyDescent="0.3">
      <c r="A4931" s="644"/>
      <c r="B4931" s="645"/>
    </row>
    <row r="4932" spans="1:2" x14ac:dyDescent="0.3">
      <c r="A4932" s="644"/>
      <c r="B4932" s="645"/>
    </row>
    <row r="4933" spans="1:2" x14ac:dyDescent="0.3">
      <c r="A4933" s="644"/>
      <c r="B4933" s="645"/>
    </row>
    <row r="4934" spans="1:2" x14ac:dyDescent="0.3">
      <c r="A4934" s="644"/>
      <c r="B4934" s="645"/>
    </row>
    <row r="4935" spans="1:2" x14ac:dyDescent="0.3">
      <c r="A4935" s="644"/>
      <c r="B4935" s="645"/>
    </row>
    <row r="4936" spans="1:2" x14ac:dyDescent="0.3">
      <c r="A4936" s="644"/>
      <c r="B4936" s="645"/>
    </row>
    <row r="4937" spans="1:2" x14ac:dyDescent="0.3">
      <c r="A4937" s="644"/>
      <c r="B4937" s="645"/>
    </row>
    <row r="4938" spans="1:2" x14ac:dyDescent="0.3">
      <c r="A4938" s="644"/>
      <c r="B4938" s="645"/>
    </row>
    <row r="4939" spans="1:2" x14ac:dyDescent="0.3">
      <c r="A4939" s="644"/>
      <c r="B4939" s="645"/>
    </row>
    <row r="4940" spans="1:2" x14ac:dyDescent="0.3">
      <c r="A4940" s="644"/>
      <c r="B4940" s="645"/>
    </row>
    <row r="4941" spans="1:2" x14ac:dyDescent="0.3">
      <c r="A4941" s="644"/>
      <c r="B4941" s="645"/>
    </row>
    <row r="4942" spans="1:2" x14ac:dyDescent="0.3">
      <c r="A4942" s="644"/>
      <c r="B4942" s="645"/>
    </row>
    <row r="4943" spans="1:2" x14ac:dyDescent="0.3">
      <c r="A4943" s="644"/>
      <c r="B4943" s="645"/>
    </row>
    <row r="4944" spans="1:2" x14ac:dyDescent="0.3">
      <c r="A4944" s="644"/>
      <c r="B4944" s="645"/>
    </row>
    <row r="4945" spans="1:2" x14ac:dyDescent="0.3">
      <c r="A4945" s="644"/>
      <c r="B4945" s="645"/>
    </row>
    <row r="4946" spans="1:2" x14ac:dyDescent="0.3">
      <c r="A4946" s="644"/>
      <c r="B4946" s="645"/>
    </row>
    <row r="4947" spans="1:2" x14ac:dyDescent="0.3">
      <c r="A4947" s="644"/>
      <c r="B4947" s="645"/>
    </row>
    <row r="4948" spans="1:2" x14ac:dyDescent="0.3">
      <c r="A4948" s="644"/>
      <c r="B4948" s="645"/>
    </row>
    <row r="4949" spans="1:2" x14ac:dyDescent="0.3">
      <c r="A4949" s="644"/>
      <c r="B4949" s="645"/>
    </row>
    <row r="4950" spans="1:2" x14ac:dyDescent="0.3">
      <c r="A4950" s="644"/>
      <c r="B4950" s="645"/>
    </row>
    <row r="4951" spans="1:2" x14ac:dyDescent="0.3">
      <c r="A4951" s="644"/>
      <c r="B4951" s="645"/>
    </row>
    <row r="4952" spans="1:2" x14ac:dyDescent="0.3">
      <c r="A4952" s="644"/>
      <c r="B4952" s="645"/>
    </row>
    <row r="4953" spans="1:2" x14ac:dyDescent="0.3">
      <c r="A4953" s="644"/>
      <c r="B4953" s="645"/>
    </row>
    <row r="4954" spans="1:2" x14ac:dyDescent="0.3">
      <c r="A4954" s="644"/>
      <c r="B4954" s="645"/>
    </row>
    <row r="4955" spans="1:2" x14ac:dyDescent="0.3">
      <c r="A4955" s="644"/>
      <c r="B4955" s="645"/>
    </row>
    <row r="4956" spans="1:2" x14ac:dyDescent="0.3">
      <c r="A4956" s="644"/>
      <c r="B4956" s="645"/>
    </row>
    <row r="4957" spans="1:2" x14ac:dyDescent="0.3">
      <c r="A4957" s="644"/>
      <c r="B4957" s="645"/>
    </row>
    <row r="4958" spans="1:2" x14ac:dyDescent="0.3">
      <c r="A4958" s="644"/>
      <c r="B4958" s="645"/>
    </row>
    <row r="4959" spans="1:2" x14ac:dyDescent="0.3">
      <c r="A4959" s="644"/>
      <c r="B4959" s="645"/>
    </row>
    <row r="4960" spans="1:2" x14ac:dyDescent="0.3">
      <c r="A4960" s="644"/>
      <c r="B4960" s="645"/>
    </row>
    <row r="4961" spans="1:2" x14ac:dyDescent="0.3">
      <c r="A4961" s="644"/>
      <c r="B4961" s="645"/>
    </row>
    <row r="4962" spans="1:2" x14ac:dyDescent="0.3">
      <c r="A4962" s="644"/>
      <c r="B4962" s="645"/>
    </row>
    <row r="4963" spans="1:2" x14ac:dyDescent="0.3">
      <c r="A4963" s="644"/>
      <c r="B4963" s="645"/>
    </row>
    <row r="4964" spans="1:2" x14ac:dyDescent="0.3">
      <c r="A4964" s="644"/>
      <c r="B4964" s="645"/>
    </row>
    <row r="4965" spans="1:2" x14ac:dyDescent="0.3">
      <c r="A4965" s="644"/>
      <c r="B4965" s="645"/>
    </row>
    <row r="4966" spans="1:2" x14ac:dyDescent="0.3">
      <c r="A4966" s="644"/>
      <c r="B4966" s="645"/>
    </row>
    <row r="4967" spans="1:2" x14ac:dyDescent="0.3">
      <c r="A4967" s="644"/>
      <c r="B4967" s="645"/>
    </row>
    <row r="4968" spans="1:2" x14ac:dyDescent="0.3">
      <c r="A4968" s="644"/>
      <c r="B4968" s="645"/>
    </row>
    <row r="4969" spans="1:2" x14ac:dyDescent="0.3">
      <c r="A4969" s="644"/>
      <c r="B4969" s="645"/>
    </row>
    <row r="4970" spans="1:2" x14ac:dyDescent="0.3">
      <c r="A4970" s="644"/>
      <c r="B4970" s="645"/>
    </row>
    <row r="4971" spans="1:2" x14ac:dyDescent="0.3">
      <c r="A4971" s="644"/>
      <c r="B4971" s="645"/>
    </row>
    <row r="4972" spans="1:2" x14ac:dyDescent="0.3">
      <c r="A4972" s="644"/>
      <c r="B4972" s="645"/>
    </row>
    <row r="4973" spans="1:2" x14ac:dyDescent="0.3">
      <c r="A4973" s="644"/>
      <c r="B4973" s="645"/>
    </row>
    <row r="4974" spans="1:2" x14ac:dyDescent="0.3">
      <c r="A4974" s="644"/>
      <c r="B4974" s="645"/>
    </row>
    <row r="4975" spans="1:2" x14ac:dyDescent="0.3">
      <c r="A4975" s="644"/>
      <c r="B4975" s="645"/>
    </row>
    <row r="4976" spans="1:2" x14ac:dyDescent="0.3">
      <c r="A4976" s="644"/>
      <c r="B4976" s="645"/>
    </row>
    <row r="4977" spans="1:2" x14ac:dyDescent="0.3">
      <c r="A4977" s="644"/>
      <c r="B4977" s="645"/>
    </row>
    <row r="4978" spans="1:2" x14ac:dyDescent="0.3">
      <c r="A4978" s="644"/>
      <c r="B4978" s="645"/>
    </row>
    <row r="4979" spans="1:2" x14ac:dyDescent="0.3">
      <c r="A4979" s="644"/>
      <c r="B4979" s="645"/>
    </row>
    <row r="4980" spans="1:2" x14ac:dyDescent="0.3">
      <c r="A4980" s="644"/>
      <c r="B4980" s="645"/>
    </row>
    <row r="4981" spans="1:2" x14ac:dyDescent="0.3">
      <c r="A4981" s="644"/>
      <c r="B4981" s="645"/>
    </row>
    <row r="4982" spans="1:2" x14ac:dyDescent="0.3">
      <c r="A4982" s="644"/>
      <c r="B4982" s="645"/>
    </row>
    <row r="4983" spans="1:2" x14ac:dyDescent="0.3">
      <c r="A4983" s="644"/>
      <c r="B4983" s="645"/>
    </row>
    <row r="4984" spans="1:2" x14ac:dyDescent="0.3">
      <c r="A4984" s="644"/>
      <c r="B4984" s="645"/>
    </row>
    <row r="4985" spans="1:2" x14ac:dyDescent="0.3">
      <c r="A4985" s="644"/>
      <c r="B4985" s="645"/>
    </row>
    <row r="4986" spans="1:2" x14ac:dyDescent="0.3">
      <c r="A4986" s="644"/>
      <c r="B4986" s="645"/>
    </row>
    <row r="4987" spans="1:2" x14ac:dyDescent="0.3">
      <c r="A4987" s="644"/>
      <c r="B4987" s="645"/>
    </row>
    <row r="4988" spans="1:2" x14ac:dyDescent="0.3">
      <c r="A4988" s="644"/>
      <c r="B4988" s="645"/>
    </row>
    <row r="4989" spans="1:2" x14ac:dyDescent="0.3">
      <c r="A4989" s="644"/>
      <c r="B4989" s="645"/>
    </row>
    <row r="4990" spans="1:2" x14ac:dyDescent="0.3">
      <c r="A4990" s="644"/>
      <c r="B4990" s="645"/>
    </row>
    <row r="4991" spans="1:2" x14ac:dyDescent="0.3">
      <c r="A4991" s="644"/>
      <c r="B4991" s="645"/>
    </row>
    <row r="4992" spans="1:2" x14ac:dyDescent="0.3">
      <c r="A4992" s="644"/>
      <c r="B4992" s="645"/>
    </row>
    <row r="4993" spans="1:2" x14ac:dyDescent="0.3">
      <c r="A4993" s="644"/>
      <c r="B4993" s="645"/>
    </row>
    <row r="4994" spans="1:2" x14ac:dyDescent="0.3">
      <c r="A4994" s="644"/>
      <c r="B4994" s="645"/>
    </row>
    <row r="4995" spans="1:2" x14ac:dyDescent="0.3">
      <c r="A4995" s="644"/>
      <c r="B4995" s="645"/>
    </row>
    <row r="4996" spans="1:2" x14ac:dyDescent="0.3">
      <c r="A4996" s="644"/>
      <c r="B4996" s="645"/>
    </row>
    <row r="4997" spans="1:2" x14ac:dyDescent="0.3">
      <c r="A4997" s="644"/>
      <c r="B4997" s="645"/>
    </row>
    <row r="4998" spans="1:2" x14ac:dyDescent="0.3">
      <c r="A4998" s="644"/>
      <c r="B4998" s="645"/>
    </row>
    <row r="4999" spans="1:2" x14ac:dyDescent="0.3">
      <c r="A4999" s="644"/>
      <c r="B4999" s="645"/>
    </row>
    <row r="5000" spans="1:2" x14ac:dyDescent="0.3">
      <c r="A5000" s="644"/>
      <c r="B5000" s="645"/>
    </row>
    <row r="5001" spans="1:2" x14ac:dyDescent="0.3">
      <c r="A5001" s="644"/>
      <c r="B5001" s="645"/>
    </row>
    <row r="5002" spans="1:2" x14ac:dyDescent="0.3">
      <c r="A5002" s="644"/>
      <c r="B5002" s="645"/>
    </row>
    <row r="5003" spans="1:2" x14ac:dyDescent="0.3">
      <c r="A5003" s="644"/>
      <c r="B5003" s="645"/>
    </row>
    <row r="5004" spans="1:2" x14ac:dyDescent="0.3">
      <c r="A5004" s="644"/>
      <c r="B5004" s="645"/>
    </row>
    <row r="5005" spans="1:2" x14ac:dyDescent="0.3">
      <c r="A5005" s="644"/>
      <c r="B5005" s="645"/>
    </row>
    <row r="5006" spans="1:2" x14ac:dyDescent="0.3">
      <c r="A5006" s="644"/>
      <c r="B5006" s="645"/>
    </row>
    <row r="5007" spans="1:2" x14ac:dyDescent="0.3">
      <c r="A5007" s="644"/>
      <c r="B5007" s="645"/>
    </row>
    <row r="5008" spans="1:2" x14ac:dyDescent="0.3">
      <c r="A5008" s="644"/>
      <c r="B5008" s="645"/>
    </row>
    <row r="5009" spans="1:2" x14ac:dyDescent="0.3">
      <c r="A5009" s="644"/>
      <c r="B5009" s="645"/>
    </row>
    <row r="5010" spans="1:2" x14ac:dyDescent="0.3">
      <c r="A5010" s="644"/>
      <c r="B5010" s="645"/>
    </row>
    <row r="5011" spans="1:2" x14ac:dyDescent="0.3">
      <c r="A5011" s="644"/>
      <c r="B5011" s="645"/>
    </row>
    <row r="5012" spans="1:2" x14ac:dyDescent="0.3">
      <c r="A5012" s="644"/>
      <c r="B5012" s="645"/>
    </row>
    <row r="5013" spans="1:2" x14ac:dyDescent="0.3">
      <c r="A5013" s="644"/>
      <c r="B5013" s="645"/>
    </row>
    <row r="5014" spans="1:2" x14ac:dyDescent="0.3">
      <c r="A5014" s="644"/>
      <c r="B5014" s="645"/>
    </row>
    <row r="5015" spans="1:2" x14ac:dyDescent="0.3">
      <c r="A5015" s="644"/>
      <c r="B5015" s="645"/>
    </row>
    <row r="5016" spans="1:2" x14ac:dyDescent="0.3">
      <c r="A5016" s="644"/>
      <c r="B5016" s="645"/>
    </row>
    <row r="5017" spans="1:2" x14ac:dyDescent="0.3">
      <c r="A5017" s="644"/>
      <c r="B5017" s="645"/>
    </row>
    <row r="5018" spans="1:2" x14ac:dyDescent="0.3">
      <c r="A5018" s="644"/>
      <c r="B5018" s="645"/>
    </row>
    <row r="5019" spans="1:2" x14ac:dyDescent="0.3">
      <c r="A5019" s="644"/>
      <c r="B5019" s="645"/>
    </row>
    <row r="5020" spans="1:2" x14ac:dyDescent="0.3">
      <c r="A5020" s="644"/>
      <c r="B5020" s="645"/>
    </row>
    <row r="5021" spans="1:2" x14ac:dyDescent="0.3">
      <c r="A5021" s="644"/>
      <c r="B5021" s="645"/>
    </row>
    <row r="5022" spans="1:2" x14ac:dyDescent="0.3">
      <c r="A5022" s="644"/>
      <c r="B5022" s="645"/>
    </row>
    <row r="5023" spans="1:2" x14ac:dyDescent="0.3">
      <c r="A5023" s="644"/>
      <c r="B5023" s="645"/>
    </row>
    <row r="5024" spans="1:2" x14ac:dyDescent="0.3">
      <c r="A5024" s="644"/>
      <c r="B5024" s="645"/>
    </row>
    <row r="5025" spans="1:2" x14ac:dyDescent="0.3">
      <c r="A5025" s="644"/>
      <c r="B5025" s="645"/>
    </row>
    <row r="5026" spans="1:2" x14ac:dyDescent="0.3">
      <c r="A5026" s="644"/>
      <c r="B5026" s="645"/>
    </row>
    <row r="5027" spans="1:2" x14ac:dyDescent="0.3">
      <c r="A5027" s="644"/>
      <c r="B5027" s="645"/>
    </row>
    <row r="5028" spans="1:2" x14ac:dyDescent="0.3">
      <c r="A5028" s="644"/>
      <c r="B5028" s="645"/>
    </row>
    <row r="5029" spans="1:2" x14ac:dyDescent="0.3">
      <c r="A5029" s="644"/>
      <c r="B5029" s="645"/>
    </row>
    <row r="5030" spans="1:2" x14ac:dyDescent="0.3">
      <c r="A5030" s="644"/>
      <c r="B5030" s="645"/>
    </row>
    <row r="5031" spans="1:2" x14ac:dyDescent="0.3">
      <c r="A5031" s="644"/>
      <c r="B5031" s="645"/>
    </row>
    <row r="5032" spans="1:2" x14ac:dyDescent="0.3">
      <c r="A5032" s="644"/>
      <c r="B5032" s="645"/>
    </row>
    <row r="5033" spans="1:2" x14ac:dyDescent="0.3">
      <c r="A5033" s="644"/>
      <c r="B5033" s="645"/>
    </row>
    <row r="5034" spans="1:2" x14ac:dyDescent="0.3">
      <c r="A5034" s="644"/>
      <c r="B5034" s="645"/>
    </row>
    <row r="5035" spans="1:2" x14ac:dyDescent="0.3">
      <c r="A5035" s="644"/>
      <c r="B5035" s="645"/>
    </row>
    <row r="5036" spans="1:2" x14ac:dyDescent="0.3">
      <c r="A5036" s="644"/>
      <c r="B5036" s="645"/>
    </row>
    <row r="5037" spans="1:2" x14ac:dyDescent="0.3">
      <c r="A5037" s="644"/>
      <c r="B5037" s="645"/>
    </row>
    <row r="5038" spans="1:2" x14ac:dyDescent="0.3">
      <c r="A5038" s="644"/>
      <c r="B5038" s="645"/>
    </row>
    <row r="5039" spans="1:2" x14ac:dyDescent="0.3">
      <c r="A5039" s="644"/>
      <c r="B5039" s="645"/>
    </row>
    <row r="5040" spans="1:2" x14ac:dyDescent="0.3">
      <c r="A5040" s="644"/>
      <c r="B5040" s="645"/>
    </row>
    <row r="5041" spans="1:2" x14ac:dyDescent="0.3">
      <c r="A5041" s="644"/>
      <c r="B5041" s="645"/>
    </row>
    <row r="5042" spans="1:2" x14ac:dyDescent="0.3">
      <c r="A5042" s="644"/>
      <c r="B5042" s="645"/>
    </row>
    <row r="5043" spans="1:2" x14ac:dyDescent="0.3">
      <c r="A5043" s="644"/>
      <c r="B5043" s="645"/>
    </row>
    <row r="5044" spans="1:2" x14ac:dyDescent="0.3">
      <c r="A5044" s="644"/>
      <c r="B5044" s="645"/>
    </row>
    <row r="5045" spans="1:2" x14ac:dyDescent="0.3">
      <c r="A5045" s="644"/>
      <c r="B5045" s="645"/>
    </row>
    <row r="5046" spans="1:2" x14ac:dyDescent="0.3">
      <c r="A5046" s="644"/>
      <c r="B5046" s="645"/>
    </row>
    <row r="5047" spans="1:2" x14ac:dyDescent="0.3">
      <c r="A5047" s="644"/>
      <c r="B5047" s="645"/>
    </row>
    <row r="5048" spans="1:2" x14ac:dyDescent="0.3">
      <c r="A5048" s="644"/>
      <c r="B5048" s="645"/>
    </row>
    <row r="5049" spans="1:2" x14ac:dyDescent="0.3">
      <c r="A5049" s="644"/>
      <c r="B5049" s="645"/>
    </row>
    <row r="5050" spans="1:2" x14ac:dyDescent="0.3">
      <c r="A5050" s="644"/>
      <c r="B5050" s="645"/>
    </row>
    <row r="5051" spans="1:2" x14ac:dyDescent="0.3">
      <c r="A5051" s="644"/>
      <c r="B5051" s="645"/>
    </row>
    <row r="5052" spans="1:2" x14ac:dyDescent="0.3">
      <c r="A5052" s="644"/>
      <c r="B5052" s="645"/>
    </row>
    <row r="5053" spans="1:2" x14ac:dyDescent="0.3">
      <c r="A5053" s="644"/>
      <c r="B5053" s="645"/>
    </row>
    <row r="5054" spans="1:2" x14ac:dyDescent="0.3">
      <c r="A5054" s="644"/>
      <c r="B5054" s="645"/>
    </row>
    <row r="5055" spans="1:2" x14ac:dyDescent="0.3">
      <c r="A5055" s="644"/>
      <c r="B5055" s="645"/>
    </row>
    <row r="5056" spans="1:2" x14ac:dyDescent="0.3">
      <c r="A5056" s="644"/>
      <c r="B5056" s="645"/>
    </row>
    <row r="5057" spans="1:2" x14ac:dyDescent="0.3">
      <c r="A5057" s="644"/>
      <c r="B5057" s="645"/>
    </row>
    <row r="5058" spans="1:2" x14ac:dyDescent="0.3">
      <c r="A5058" s="644"/>
      <c r="B5058" s="645"/>
    </row>
    <row r="5059" spans="1:2" x14ac:dyDescent="0.3">
      <c r="A5059" s="644"/>
      <c r="B5059" s="645"/>
    </row>
    <row r="5060" spans="1:2" x14ac:dyDescent="0.3">
      <c r="A5060" s="644"/>
      <c r="B5060" s="645"/>
    </row>
    <row r="5061" spans="1:2" x14ac:dyDescent="0.3">
      <c r="A5061" s="644"/>
      <c r="B5061" s="645"/>
    </row>
    <row r="5062" spans="1:2" x14ac:dyDescent="0.3">
      <c r="A5062" s="644"/>
      <c r="B5062" s="645"/>
    </row>
    <row r="5063" spans="1:2" x14ac:dyDescent="0.3">
      <c r="A5063" s="644"/>
      <c r="B5063" s="645"/>
    </row>
    <row r="5064" spans="1:2" x14ac:dyDescent="0.3">
      <c r="A5064" s="644"/>
      <c r="B5064" s="645"/>
    </row>
    <row r="5065" spans="1:2" x14ac:dyDescent="0.3">
      <c r="A5065" s="644"/>
      <c r="B5065" s="645"/>
    </row>
    <row r="5066" spans="1:2" x14ac:dyDescent="0.3">
      <c r="A5066" s="644"/>
      <c r="B5066" s="645"/>
    </row>
    <row r="5067" spans="1:2" x14ac:dyDescent="0.3">
      <c r="A5067" s="644"/>
      <c r="B5067" s="645"/>
    </row>
    <row r="5068" spans="1:2" x14ac:dyDescent="0.3">
      <c r="A5068" s="644"/>
      <c r="B5068" s="645"/>
    </row>
    <row r="5069" spans="1:2" x14ac:dyDescent="0.3">
      <c r="A5069" s="644"/>
      <c r="B5069" s="645"/>
    </row>
    <row r="5070" spans="1:2" x14ac:dyDescent="0.3">
      <c r="A5070" s="644"/>
      <c r="B5070" s="645"/>
    </row>
    <row r="5071" spans="1:2" x14ac:dyDescent="0.3">
      <c r="A5071" s="644"/>
      <c r="B5071" s="645"/>
    </row>
    <row r="5072" spans="1:2" x14ac:dyDescent="0.3">
      <c r="A5072" s="644"/>
      <c r="B5072" s="645"/>
    </row>
    <row r="5073" spans="1:2" x14ac:dyDescent="0.3">
      <c r="A5073" s="644"/>
      <c r="B5073" s="645"/>
    </row>
    <row r="5074" spans="1:2" x14ac:dyDescent="0.3">
      <c r="A5074" s="644"/>
      <c r="B5074" s="645"/>
    </row>
    <row r="5075" spans="1:2" x14ac:dyDescent="0.3">
      <c r="A5075" s="644"/>
      <c r="B5075" s="645"/>
    </row>
    <row r="5076" spans="1:2" x14ac:dyDescent="0.3">
      <c r="A5076" s="644"/>
      <c r="B5076" s="645"/>
    </row>
    <row r="5077" spans="1:2" x14ac:dyDescent="0.3">
      <c r="A5077" s="644"/>
      <c r="B5077" s="645"/>
    </row>
    <row r="5078" spans="1:2" x14ac:dyDescent="0.3">
      <c r="A5078" s="644"/>
      <c r="B5078" s="645"/>
    </row>
    <row r="5079" spans="1:2" x14ac:dyDescent="0.3">
      <c r="A5079" s="644"/>
      <c r="B5079" s="645"/>
    </row>
    <row r="5080" spans="1:2" x14ac:dyDescent="0.3">
      <c r="A5080" s="644"/>
      <c r="B5080" s="645"/>
    </row>
    <row r="5081" spans="1:2" x14ac:dyDescent="0.3">
      <c r="A5081" s="644"/>
      <c r="B5081" s="645"/>
    </row>
    <row r="5082" spans="1:2" x14ac:dyDescent="0.3">
      <c r="A5082" s="644"/>
      <c r="B5082" s="645"/>
    </row>
    <row r="5083" spans="1:2" x14ac:dyDescent="0.3">
      <c r="A5083" s="644"/>
      <c r="B5083" s="645"/>
    </row>
    <row r="5084" spans="1:2" x14ac:dyDescent="0.3">
      <c r="A5084" s="644"/>
      <c r="B5084" s="645"/>
    </row>
    <row r="5085" spans="1:2" x14ac:dyDescent="0.3">
      <c r="A5085" s="644"/>
      <c r="B5085" s="645"/>
    </row>
    <row r="5086" spans="1:2" x14ac:dyDescent="0.3">
      <c r="A5086" s="644"/>
      <c r="B5086" s="645"/>
    </row>
    <row r="5087" spans="1:2" x14ac:dyDescent="0.3">
      <c r="A5087" s="644"/>
      <c r="B5087" s="645"/>
    </row>
    <row r="5088" spans="1:2" x14ac:dyDescent="0.3">
      <c r="A5088" s="644"/>
      <c r="B5088" s="645"/>
    </row>
    <row r="5089" spans="1:2" x14ac:dyDescent="0.3">
      <c r="A5089" s="644"/>
      <c r="B5089" s="645"/>
    </row>
    <row r="5090" spans="1:2" x14ac:dyDescent="0.3">
      <c r="A5090" s="644"/>
      <c r="B5090" s="645"/>
    </row>
    <row r="5091" spans="1:2" x14ac:dyDescent="0.3">
      <c r="A5091" s="644"/>
      <c r="B5091" s="645"/>
    </row>
    <row r="5092" spans="1:2" x14ac:dyDescent="0.3">
      <c r="A5092" s="644"/>
      <c r="B5092" s="645"/>
    </row>
    <row r="5093" spans="1:2" x14ac:dyDescent="0.3">
      <c r="A5093" s="644"/>
      <c r="B5093" s="645"/>
    </row>
    <row r="5094" spans="1:2" x14ac:dyDescent="0.3">
      <c r="A5094" s="644"/>
      <c r="B5094" s="645"/>
    </row>
    <row r="5095" spans="1:2" x14ac:dyDescent="0.3">
      <c r="A5095" s="644"/>
      <c r="B5095" s="645"/>
    </row>
    <row r="5096" spans="1:2" x14ac:dyDescent="0.3">
      <c r="A5096" s="644"/>
      <c r="B5096" s="645"/>
    </row>
    <row r="5097" spans="1:2" x14ac:dyDescent="0.3">
      <c r="A5097" s="644"/>
      <c r="B5097" s="645"/>
    </row>
    <row r="5098" spans="1:2" x14ac:dyDescent="0.3">
      <c r="A5098" s="644"/>
      <c r="B5098" s="645"/>
    </row>
    <row r="5099" spans="1:2" x14ac:dyDescent="0.3">
      <c r="A5099" s="644"/>
      <c r="B5099" s="645"/>
    </row>
    <row r="5100" spans="1:2" x14ac:dyDescent="0.3">
      <c r="A5100" s="644"/>
      <c r="B5100" s="645"/>
    </row>
    <row r="5101" spans="1:2" x14ac:dyDescent="0.3">
      <c r="A5101" s="644"/>
      <c r="B5101" s="645"/>
    </row>
    <row r="5102" spans="1:2" x14ac:dyDescent="0.3">
      <c r="A5102" s="644"/>
      <c r="B5102" s="645"/>
    </row>
    <row r="5103" spans="1:2" x14ac:dyDescent="0.3">
      <c r="A5103" s="644"/>
      <c r="B5103" s="645"/>
    </row>
    <row r="5104" spans="1:2" x14ac:dyDescent="0.3">
      <c r="A5104" s="644"/>
      <c r="B5104" s="645"/>
    </row>
    <row r="5105" spans="1:2" x14ac:dyDescent="0.3">
      <c r="A5105" s="644"/>
      <c r="B5105" s="645"/>
    </row>
    <row r="5106" spans="1:2" x14ac:dyDescent="0.3">
      <c r="A5106" s="644"/>
      <c r="B5106" s="645"/>
    </row>
    <row r="5107" spans="1:2" x14ac:dyDescent="0.3">
      <c r="A5107" s="644"/>
      <c r="B5107" s="645"/>
    </row>
    <row r="5108" spans="1:2" x14ac:dyDescent="0.3">
      <c r="A5108" s="644"/>
      <c r="B5108" s="645"/>
    </row>
    <row r="5109" spans="1:2" x14ac:dyDescent="0.3">
      <c r="A5109" s="644"/>
      <c r="B5109" s="645"/>
    </row>
    <row r="5110" spans="1:2" x14ac:dyDescent="0.3">
      <c r="A5110" s="644"/>
      <c r="B5110" s="645"/>
    </row>
    <row r="5111" spans="1:2" x14ac:dyDescent="0.3">
      <c r="A5111" s="644"/>
      <c r="B5111" s="645"/>
    </row>
    <row r="5112" spans="1:2" x14ac:dyDescent="0.3">
      <c r="A5112" s="644"/>
      <c r="B5112" s="645"/>
    </row>
    <row r="5113" spans="1:2" x14ac:dyDescent="0.3">
      <c r="A5113" s="644"/>
      <c r="B5113" s="645"/>
    </row>
    <row r="5114" spans="1:2" x14ac:dyDescent="0.3">
      <c r="A5114" s="644"/>
      <c r="B5114" s="645"/>
    </row>
    <row r="5115" spans="1:2" x14ac:dyDescent="0.3">
      <c r="A5115" s="644"/>
      <c r="B5115" s="645"/>
    </row>
    <row r="5116" spans="1:2" x14ac:dyDescent="0.3">
      <c r="A5116" s="644"/>
      <c r="B5116" s="645"/>
    </row>
    <row r="5117" spans="1:2" x14ac:dyDescent="0.3">
      <c r="A5117" s="644"/>
      <c r="B5117" s="645"/>
    </row>
    <row r="5118" spans="1:2" x14ac:dyDescent="0.3">
      <c r="A5118" s="644"/>
      <c r="B5118" s="645"/>
    </row>
    <row r="5119" spans="1:2" x14ac:dyDescent="0.3">
      <c r="A5119" s="644"/>
      <c r="B5119" s="645"/>
    </row>
    <row r="5120" spans="1:2" x14ac:dyDescent="0.3">
      <c r="A5120" s="644"/>
      <c r="B5120" s="645"/>
    </row>
    <row r="5121" spans="1:2" x14ac:dyDescent="0.3">
      <c r="A5121" s="644"/>
      <c r="B5121" s="645"/>
    </row>
    <row r="5122" spans="1:2" x14ac:dyDescent="0.3">
      <c r="A5122" s="644"/>
      <c r="B5122" s="645"/>
    </row>
    <row r="5123" spans="1:2" x14ac:dyDescent="0.3">
      <c r="A5123" s="644"/>
      <c r="B5123" s="645"/>
    </row>
    <row r="5124" spans="1:2" x14ac:dyDescent="0.3">
      <c r="A5124" s="644"/>
      <c r="B5124" s="645"/>
    </row>
    <row r="5125" spans="1:2" x14ac:dyDescent="0.3">
      <c r="A5125" s="644"/>
      <c r="B5125" s="645"/>
    </row>
    <row r="5126" spans="1:2" x14ac:dyDescent="0.3">
      <c r="A5126" s="644"/>
      <c r="B5126" s="645"/>
    </row>
    <row r="5127" spans="1:2" x14ac:dyDescent="0.3">
      <c r="A5127" s="644"/>
      <c r="B5127" s="645"/>
    </row>
    <row r="5128" spans="1:2" x14ac:dyDescent="0.3">
      <c r="A5128" s="644"/>
      <c r="B5128" s="645"/>
    </row>
    <row r="5129" spans="1:2" x14ac:dyDescent="0.3">
      <c r="A5129" s="644"/>
      <c r="B5129" s="645"/>
    </row>
    <row r="5130" spans="1:2" x14ac:dyDescent="0.3">
      <c r="A5130" s="644"/>
      <c r="B5130" s="645"/>
    </row>
    <row r="5131" spans="1:2" x14ac:dyDescent="0.3">
      <c r="A5131" s="644"/>
      <c r="B5131" s="645"/>
    </row>
    <row r="5132" spans="1:2" x14ac:dyDescent="0.3">
      <c r="A5132" s="644"/>
      <c r="B5132" s="645"/>
    </row>
    <row r="5133" spans="1:2" x14ac:dyDescent="0.3">
      <c r="A5133" s="644"/>
      <c r="B5133" s="645"/>
    </row>
    <row r="5134" spans="1:2" x14ac:dyDescent="0.3">
      <c r="A5134" s="644"/>
      <c r="B5134" s="645"/>
    </row>
    <row r="5135" spans="1:2" x14ac:dyDescent="0.3">
      <c r="A5135" s="644"/>
      <c r="B5135" s="645"/>
    </row>
    <row r="5136" spans="1:2" x14ac:dyDescent="0.3">
      <c r="A5136" s="644"/>
      <c r="B5136" s="645"/>
    </row>
    <row r="5137" spans="1:2" x14ac:dyDescent="0.3">
      <c r="A5137" s="644"/>
      <c r="B5137" s="645"/>
    </row>
    <row r="5138" spans="1:2" x14ac:dyDescent="0.3">
      <c r="A5138" s="644"/>
      <c r="B5138" s="645"/>
    </row>
    <row r="5139" spans="1:2" x14ac:dyDescent="0.3">
      <c r="A5139" s="644"/>
      <c r="B5139" s="645"/>
    </row>
    <row r="5140" spans="1:2" x14ac:dyDescent="0.3">
      <c r="A5140" s="644"/>
      <c r="B5140" s="645"/>
    </row>
    <row r="5141" spans="1:2" x14ac:dyDescent="0.3">
      <c r="A5141" s="644"/>
      <c r="B5141" s="645"/>
    </row>
    <row r="5142" spans="1:2" x14ac:dyDescent="0.3">
      <c r="A5142" s="644"/>
      <c r="B5142" s="645"/>
    </row>
    <row r="5143" spans="1:2" x14ac:dyDescent="0.3">
      <c r="A5143" s="644"/>
      <c r="B5143" s="645"/>
    </row>
    <row r="5144" spans="1:2" x14ac:dyDescent="0.3">
      <c r="A5144" s="644"/>
      <c r="B5144" s="645"/>
    </row>
    <row r="5145" spans="1:2" x14ac:dyDescent="0.3">
      <c r="A5145" s="644"/>
      <c r="B5145" s="645"/>
    </row>
    <row r="5146" spans="1:2" x14ac:dyDescent="0.3">
      <c r="A5146" s="644"/>
      <c r="B5146" s="645"/>
    </row>
    <row r="5147" spans="1:2" x14ac:dyDescent="0.3">
      <c r="A5147" s="644"/>
      <c r="B5147" s="645"/>
    </row>
    <row r="5148" spans="1:2" x14ac:dyDescent="0.3">
      <c r="A5148" s="644"/>
      <c r="B5148" s="645"/>
    </row>
    <row r="5149" spans="1:2" x14ac:dyDescent="0.3">
      <c r="A5149" s="644"/>
      <c r="B5149" s="645"/>
    </row>
    <row r="5150" spans="1:2" x14ac:dyDescent="0.3">
      <c r="A5150" s="644"/>
      <c r="B5150" s="645"/>
    </row>
    <row r="5151" spans="1:2" x14ac:dyDescent="0.3">
      <c r="A5151" s="644"/>
      <c r="B5151" s="645"/>
    </row>
    <row r="5152" spans="1:2" x14ac:dyDescent="0.3">
      <c r="A5152" s="644"/>
      <c r="B5152" s="645"/>
    </row>
    <row r="5153" spans="1:2" x14ac:dyDescent="0.3">
      <c r="A5153" s="644"/>
      <c r="B5153" s="645"/>
    </row>
    <row r="5154" spans="1:2" x14ac:dyDescent="0.3">
      <c r="A5154" s="644"/>
      <c r="B5154" s="645"/>
    </row>
    <row r="5155" spans="1:2" x14ac:dyDescent="0.3">
      <c r="A5155" s="644"/>
      <c r="B5155" s="645"/>
    </row>
    <row r="5156" spans="1:2" x14ac:dyDescent="0.3">
      <c r="A5156" s="644"/>
      <c r="B5156" s="645"/>
    </row>
    <row r="5157" spans="1:2" x14ac:dyDescent="0.3">
      <c r="A5157" s="644"/>
      <c r="B5157" s="645"/>
    </row>
    <row r="5158" spans="1:2" x14ac:dyDescent="0.3">
      <c r="A5158" s="644"/>
      <c r="B5158" s="645"/>
    </row>
    <row r="5159" spans="1:2" x14ac:dyDescent="0.3">
      <c r="A5159" s="644"/>
      <c r="B5159" s="645"/>
    </row>
    <row r="5160" spans="1:2" x14ac:dyDescent="0.3">
      <c r="A5160" s="644"/>
      <c r="B5160" s="645"/>
    </row>
    <row r="5161" spans="1:2" x14ac:dyDescent="0.3">
      <c r="A5161" s="644"/>
      <c r="B5161" s="645"/>
    </row>
    <row r="5162" spans="1:2" x14ac:dyDescent="0.3">
      <c r="A5162" s="644"/>
      <c r="B5162" s="645"/>
    </row>
    <row r="5163" spans="1:2" x14ac:dyDescent="0.3">
      <c r="A5163" s="644"/>
      <c r="B5163" s="645"/>
    </row>
    <row r="5164" spans="1:2" x14ac:dyDescent="0.3">
      <c r="A5164" s="644"/>
      <c r="B5164" s="645"/>
    </row>
    <row r="5165" spans="1:2" x14ac:dyDescent="0.3">
      <c r="A5165" s="644"/>
      <c r="B5165" s="645"/>
    </row>
    <row r="5166" spans="1:2" x14ac:dyDescent="0.3">
      <c r="A5166" s="644"/>
      <c r="B5166" s="645"/>
    </row>
    <row r="5167" spans="1:2" x14ac:dyDescent="0.3">
      <c r="A5167" s="644"/>
      <c r="B5167" s="645"/>
    </row>
    <row r="5168" spans="1:2" x14ac:dyDescent="0.3">
      <c r="A5168" s="644"/>
      <c r="B5168" s="645"/>
    </row>
    <row r="5169" spans="1:2" x14ac:dyDescent="0.3">
      <c r="A5169" s="644"/>
      <c r="B5169" s="645"/>
    </row>
    <row r="5170" spans="1:2" x14ac:dyDescent="0.3">
      <c r="A5170" s="644"/>
      <c r="B5170" s="645"/>
    </row>
    <row r="5171" spans="1:2" x14ac:dyDescent="0.3">
      <c r="A5171" s="644"/>
      <c r="B5171" s="645"/>
    </row>
    <row r="5172" spans="1:2" x14ac:dyDescent="0.3">
      <c r="A5172" s="644"/>
      <c r="B5172" s="645"/>
    </row>
    <row r="5173" spans="1:2" x14ac:dyDescent="0.3">
      <c r="A5173" s="644"/>
      <c r="B5173" s="645"/>
    </row>
    <row r="5174" spans="1:2" x14ac:dyDescent="0.3">
      <c r="A5174" s="644"/>
      <c r="B5174" s="645"/>
    </row>
    <row r="5175" spans="1:2" x14ac:dyDescent="0.3">
      <c r="A5175" s="644"/>
      <c r="B5175" s="645"/>
    </row>
    <row r="5176" spans="1:2" x14ac:dyDescent="0.3">
      <c r="A5176" s="644"/>
      <c r="B5176" s="645"/>
    </row>
    <row r="5177" spans="1:2" x14ac:dyDescent="0.3">
      <c r="A5177" s="644"/>
      <c r="B5177" s="645"/>
    </row>
    <row r="5178" spans="1:2" x14ac:dyDescent="0.3">
      <c r="A5178" s="644"/>
      <c r="B5178" s="645"/>
    </row>
    <row r="5179" spans="1:2" x14ac:dyDescent="0.3">
      <c r="A5179" s="644"/>
      <c r="B5179" s="645"/>
    </row>
    <row r="5180" spans="1:2" x14ac:dyDescent="0.3">
      <c r="A5180" s="644"/>
      <c r="B5180" s="645"/>
    </row>
    <row r="5181" spans="1:2" x14ac:dyDescent="0.3">
      <c r="A5181" s="644"/>
      <c r="B5181" s="645"/>
    </row>
    <row r="5182" spans="1:2" x14ac:dyDescent="0.3">
      <c r="A5182" s="644"/>
      <c r="B5182" s="645"/>
    </row>
    <row r="5183" spans="1:2" x14ac:dyDescent="0.3">
      <c r="A5183" s="644"/>
      <c r="B5183" s="645"/>
    </row>
    <row r="5184" spans="1:2" x14ac:dyDescent="0.3">
      <c r="A5184" s="644"/>
      <c r="B5184" s="645"/>
    </row>
    <row r="5185" spans="1:2" x14ac:dyDescent="0.3">
      <c r="A5185" s="644"/>
      <c r="B5185" s="645"/>
    </row>
    <row r="5186" spans="1:2" x14ac:dyDescent="0.3">
      <c r="A5186" s="644"/>
      <c r="B5186" s="645"/>
    </row>
    <row r="5187" spans="1:2" x14ac:dyDescent="0.3">
      <c r="A5187" s="644"/>
      <c r="B5187" s="645"/>
    </row>
    <row r="5188" spans="1:2" x14ac:dyDescent="0.3">
      <c r="A5188" s="644"/>
      <c r="B5188" s="645"/>
    </row>
    <row r="5189" spans="1:2" x14ac:dyDescent="0.3">
      <c r="A5189" s="644"/>
      <c r="B5189" s="645"/>
    </row>
    <row r="5190" spans="1:2" x14ac:dyDescent="0.3">
      <c r="A5190" s="644"/>
      <c r="B5190" s="645"/>
    </row>
    <row r="5191" spans="1:2" x14ac:dyDescent="0.3">
      <c r="A5191" s="644"/>
      <c r="B5191" s="645"/>
    </row>
    <row r="5192" spans="1:2" x14ac:dyDescent="0.3">
      <c r="A5192" s="644"/>
      <c r="B5192" s="645"/>
    </row>
    <row r="5193" spans="1:2" x14ac:dyDescent="0.3">
      <c r="A5193" s="644"/>
      <c r="B5193" s="645"/>
    </row>
    <row r="5194" spans="1:2" x14ac:dyDescent="0.3">
      <c r="A5194" s="644"/>
      <c r="B5194" s="645"/>
    </row>
    <row r="5195" spans="1:2" x14ac:dyDescent="0.3">
      <c r="A5195" s="644"/>
      <c r="B5195" s="645"/>
    </row>
    <row r="5196" spans="1:2" x14ac:dyDescent="0.3">
      <c r="A5196" s="644"/>
      <c r="B5196" s="645"/>
    </row>
    <row r="5197" spans="1:2" x14ac:dyDescent="0.3">
      <c r="A5197" s="644"/>
      <c r="B5197" s="645"/>
    </row>
    <row r="5198" spans="1:2" x14ac:dyDescent="0.3">
      <c r="A5198" s="644"/>
      <c r="B5198" s="645"/>
    </row>
    <row r="5199" spans="1:2" x14ac:dyDescent="0.3">
      <c r="A5199" s="644"/>
      <c r="B5199" s="645"/>
    </row>
    <row r="5200" spans="1:2" x14ac:dyDescent="0.3">
      <c r="A5200" s="644"/>
      <c r="B5200" s="645"/>
    </row>
    <row r="5201" spans="1:2" x14ac:dyDescent="0.3">
      <c r="A5201" s="644"/>
      <c r="B5201" s="645"/>
    </row>
    <row r="5202" spans="1:2" x14ac:dyDescent="0.3">
      <c r="A5202" s="644"/>
      <c r="B5202" s="645"/>
    </row>
    <row r="5203" spans="1:2" x14ac:dyDescent="0.3">
      <c r="A5203" s="644"/>
      <c r="B5203" s="645"/>
    </row>
    <row r="5204" spans="1:2" x14ac:dyDescent="0.3">
      <c r="A5204" s="644"/>
      <c r="B5204" s="645"/>
    </row>
    <row r="5205" spans="1:2" x14ac:dyDescent="0.3">
      <c r="A5205" s="644"/>
      <c r="B5205" s="645"/>
    </row>
    <row r="5206" spans="1:2" x14ac:dyDescent="0.3">
      <c r="A5206" s="644"/>
      <c r="B5206" s="645"/>
    </row>
    <row r="5207" spans="1:2" x14ac:dyDescent="0.3">
      <c r="A5207" s="644"/>
      <c r="B5207" s="645"/>
    </row>
    <row r="5208" spans="1:2" x14ac:dyDescent="0.3">
      <c r="A5208" s="644"/>
      <c r="B5208" s="645"/>
    </row>
    <row r="5209" spans="1:2" x14ac:dyDescent="0.3">
      <c r="A5209" s="644"/>
      <c r="B5209" s="645"/>
    </row>
    <row r="5210" spans="1:2" x14ac:dyDescent="0.3">
      <c r="A5210" s="644"/>
      <c r="B5210" s="645"/>
    </row>
    <row r="5211" spans="1:2" x14ac:dyDescent="0.3">
      <c r="A5211" s="644"/>
      <c r="B5211" s="645"/>
    </row>
    <row r="5212" spans="1:2" x14ac:dyDescent="0.3">
      <c r="A5212" s="644"/>
      <c r="B5212" s="645"/>
    </row>
    <row r="5213" spans="1:2" x14ac:dyDescent="0.3">
      <c r="A5213" s="644"/>
      <c r="B5213" s="645"/>
    </row>
    <row r="5214" spans="1:2" x14ac:dyDescent="0.3">
      <c r="A5214" s="644"/>
      <c r="B5214" s="645"/>
    </row>
    <row r="5215" spans="1:2" x14ac:dyDescent="0.3">
      <c r="A5215" s="644"/>
      <c r="B5215" s="645"/>
    </row>
    <row r="5216" spans="1:2" x14ac:dyDescent="0.3">
      <c r="A5216" s="644"/>
      <c r="B5216" s="645"/>
    </row>
    <row r="5217" spans="1:2" x14ac:dyDescent="0.3">
      <c r="A5217" s="644"/>
      <c r="B5217" s="645"/>
    </row>
    <row r="5218" spans="1:2" x14ac:dyDescent="0.3">
      <c r="A5218" s="644"/>
      <c r="B5218" s="645"/>
    </row>
    <row r="5219" spans="1:2" x14ac:dyDescent="0.3">
      <c r="A5219" s="644"/>
      <c r="B5219" s="645"/>
    </row>
    <row r="5220" spans="1:2" x14ac:dyDescent="0.3">
      <c r="A5220" s="644"/>
      <c r="B5220" s="645"/>
    </row>
    <row r="5221" spans="1:2" x14ac:dyDescent="0.3">
      <c r="A5221" s="644"/>
      <c r="B5221" s="645"/>
    </row>
    <row r="5222" spans="1:2" x14ac:dyDescent="0.3">
      <c r="A5222" s="644"/>
      <c r="B5222" s="645"/>
    </row>
    <row r="5223" spans="1:2" x14ac:dyDescent="0.3">
      <c r="A5223" s="644"/>
      <c r="B5223" s="645"/>
    </row>
    <row r="5224" spans="1:2" x14ac:dyDescent="0.3">
      <c r="A5224" s="644"/>
      <c r="B5224" s="645"/>
    </row>
    <row r="5225" spans="1:2" x14ac:dyDescent="0.3">
      <c r="A5225" s="644"/>
      <c r="B5225" s="645"/>
    </row>
    <row r="5226" spans="1:2" x14ac:dyDescent="0.3">
      <c r="A5226" s="644"/>
      <c r="B5226" s="645"/>
    </row>
    <row r="5227" spans="1:2" x14ac:dyDescent="0.3">
      <c r="A5227" s="644"/>
      <c r="B5227" s="645"/>
    </row>
    <row r="5228" spans="1:2" x14ac:dyDescent="0.3">
      <c r="A5228" s="644"/>
      <c r="B5228" s="645"/>
    </row>
    <row r="5229" spans="1:2" x14ac:dyDescent="0.3">
      <c r="A5229" s="644"/>
      <c r="B5229" s="645"/>
    </row>
    <row r="5230" spans="1:2" x14ac:dyDescent="0.3">
      <c r="A5230" s="644"/>
      <c r="B5230" s="645"/>
    </row>
    <row r="5231" spans="1:2" x14ac:dyDescent="0.3">
      <c r="A5231" s="644"/>
      <c r="B5231" s="645"/>
    </row>
    <row r="5232" spans="1:2" x14ac:dyDescent="0.3">
      <c r="A5232" s="644"/>
      <c r="B5232" s="645"/>
    </row>
    <row r="5233" spans="1:2" x14ac:dyDescent="0.3">
      <c r="A5233" s="644"/>
      <c r="B5233" s="645"/>
    </row>
    <row r="5234" spans="1:2" x14ac:dyDescent="0.3">
      <c r="A5234" s="644"/>
      <c r="B5234" s="645"/>
    </row>
    <row r="5235" spans="1:2" x14ac:dyDescent="0.3">
      <c r="A5235" s="644"/>
      <c r="B5235" s="645"/>
    </row>
    <row r="5236" spans="1:2" x14ac:dyDescent="0.3">
      <c r="A5236" s="644"/>
      <c r="B5236" s="645"/>
    </row>
    <row r="5237" spans="1:2" x14ac:dyDescent="0.3">
      <c r="A5237" s="644"/>
      <c r="B5237" s="645"/>
    </row>
    <row r="5238" spans="1:2" x14ac:dyDescent="0.3">
      <c r="A5238" s="644"/>
      <c r="B5238" s="645"/>
    </row>
    <row r="5239" spans="1:2" x14ac:dyDescent="0.3">
      <c r="A5239" s="644"/>
      <c r="B5239" s="645"/>
    </row>
    <row r="5240" spans="1:2" x14ac:dyDescent="0.3">
      <c r="A5240" s="644"/>
      <c r="B5240" s="645"/>
    </row>
    <row r="5241" spans="1:2" x14ac:dyDescent="0.3">
      <c r="A5241" s="644"/>
      <c r="B5241" s="645"/>
    </row>
    <row r="5242" spans="1:2" x14ac:dyDescent="0.3">
      <c r="A5242" s="644"/>
      <c r="B5242" s="645"/>
    </row>
    <row r="5243" spans="1:2" x14ac:dyDescent="0.3">
      <c r="A5243" s="644"/>
      <c r="B5243" s="645"/>
    </row>
    <row r="5244" spans="1:2" x14ac:dyDescent="0.3">
      <c r="A5244" s="644"/>
      <c r="B5244" s="645"/>
    </row>
    <row r="5245" spans="1:2" x14ac:dyDescent="0.3">
      <c r="A5245" s="644"/>
      <c r="B5245" s="645"/>
    </row>
    <row r="5246" spans="1:2" x14ac:dyDescent="0.3">
      <c r="A5246" s="644"/>
      <c r="B5246" s="645"/>
    </row>
    <row r="5247" spans="1:2" x14ac:dyDescent="0.3">
      <c r="A5247" s="644"/>
      <c r="B5247" s="645"/>
    </row>
    <row r="5248" spans="1:2" x14ac:dyDescent="0.3">
      <c r="A5248" s="644"/>
      <c r="B5248" s="645"/>
    </row>
    <row r="5249" spans="1:2" x14ac:dyDescent="0.3">
      <c r="A5249" s="644"/>
      <c r="B5249" s="645"/>
    </row>
    <row r="5250" spans="1:2" x14ac:dyDescent="0.3">
      <c r="A5250" s="644"/>
      <c r="B5250" s="645"/>
    </row>
    <row r="5251" spans="1:2" x14ac:dyDescent="0.3">
      <c r="A5251" s="644"/>
      <c r="B5251" s="645"/>
    </row>
    <row r="5252" spans="1:2" x14ac:dyDescent="0.3">
      <c r="A5252" s="644"/>
      <c r="B5252" s="645"/>
    </row>
    <row r="5253" spans="1:2" x14ac:dyDescent="0.3">
      <c r="A5253" s="644"/>
      <c r="B5253" s="645"/>
    </row>
    <row r="5254" spans="1:2" x14ac:dyDescent="0.3">
      <c r="A5254" s="644"/>
      <c r="B5254" s="645"/>
    </row>
    <row r="5255" spans="1:2" x14ac:dyDescent="0.3">
      <c r="A5255" s="644"/>
      <c r="B5255" s="645"/>
    </row>
    <row r="5256" spans="1:2" x14ac:dyDescent="0.3">
      <c r="A5256" s="644"/>
      <c r="B5256" s="645"/>
    </row>
    <row r="5257" spans="1:2" x14ac:dyDescent="0.3">
      <c r="A5257" s="644"/>
      <c r="B5257" s="645"/>
    </row>
    <row r="5258" spans="1:2" x14ac:dyDescent="0.3">
      <c r="A5258" s="644"/>
      <c r="B5258" s="645"/>
    </row>
    <row r="5259" spans="1:2" x14ac:dyDescent="0.3">
      <c r="A5259" s="644"/>
      <c r="B5259" s="645"/>
    </row>
    <row r="5260" spans="1:2" x14ac:dyDescent="0.3">
      <c r="A5260" s="644"/>
      <c r="B5260" s="645"/>
    </row>
    <row r="5261" spans="1:2" x14ac:dyDescent="0.3">
      <c r="A5261" s="644"/>
      <c r="B5261" s="645"/>
    </row>
    <row r="5262" spans="1:2" x14ac:dyDescent="0.3">
      <c r="A5262" s="644"/>
      <c r="B5262" s="645"/>
    </row>
    <row r="5263" spans="1:2" x14ac:dyDescent="0.3">
      <c r="A5263" s="644"/>
      <c r="B5263" s="645"/>
    </row>
    <row r="5264" spans="1:2" x14ac:dyDescent="0.3">
      <c r="A5264" s="644"/>
      <c r="B5264" s="645"/>
    </row>
    <row r="5265" spans="1:2" x14ac:dyDescent="0.3">
      <c r="A5265" s="644"/>
      <c r="B5265" s="645"/>
    </row>
    <row r="5266" spans="1:2" x14ac:dyDescent="0.3">
      <c r="A5266" s="644"/>
      <c r="B5266" s="645"/>
    </row>
    <row r="5267" spans="1:2" x14ac:dyDescent="0.3">
      <c r="A5267" s="644"/>
      <c r="B5267" s="645"/>
    </row>
    <row r="5268" spans="1:2" x14ac:dyDescent="0.3">
      <c r="A5268" s="644"/>
      <c r="B5268" s="645"/>
    </row>
    <row r="5269" spans="1:2" x14ac:dyDescent="0.3">
      <c r="A5269" s="644"/>
      <c r="B5269" s="645"/>
    </row>
    <row r="5270" spans="1:2" x14ac:dyDescent="0.3">
      <c r="A5270" s="644"/>
      <c r="B5270" s="645"/>
    </row>
    <row r="5271" spans="1:2" x14ac:dyDescent="0.3">
      <c r="A5271" s="644"/>
      <c r="B5271" s="645"/>
    </row>
    <row r="5272" spans="1:2" x14ac:dyDescent="0.3">
      <c r="A5272" s="644"/>
      <c r="B5272" s="645"/>
    </row>
    <row r="5273" spans="1:2" x14ac:dyDescent="0.3">
      <c r="A5273" s="644"/>
      <c r="B5273" s="645"/>
    </row>
    <row r="5274" spans="1:2" x14ac:dyDescent="0.3">
      <c r="A5274" s="644"/>
      <c r="B5274" s="645"/>
    </row>
    <row r="5275" spans="1:2" x14ac:dyDescent="0.3">
      <c r="A5275" s="644"/>
      <c r="B5275" s="645"/>
    </row>
    <row r="5276" spans="1:2" x14ac:dyDescent="0.3">
      <c r="A5276" s="644"/>
      <c r="B5276" s="645"/>
    </row>
    <row r="5277" spans="1:2" x14ac:dyDescent="0.3">
      <c r="A5277" s="644"/>
      <c r="B5277" s="645"/>
    </row>
    <row r="5278" spans="1:2" x14ac:dyDescent="0.3">
      <c r="A5278" s="644"/>
      <c r="B5278" s="645"/>
    </row>
    <row r="5279" spans="1:2" x14ac:dyDescent="0.3">
      <c r="A5279" s="644"/>
      <c r="B5279" s="645"/>
    </row>
    <row r="5280" spans="1:2" x14ac:dyDescent="0.3">
      <c r="A5280" s="644"/>
      <c r="B5280" s="645"/>
    </row>
    <row r="5281" spans="1:2" x14ac:dyDescent="0.3">
      <c r="A5281" s="644"/>
      <c r="B5281" s="645"/>
    </row>
    <row r="5282" spans="1:2" x14ac:dyDescent="0.3">
      <c r="A5282" s="644"/>
      <c r="B5282" s="645"/>
    </row>
    <row r="5283" spans="1:2" x14ac:dyDescent="0.3">
      <c r="A5283" s="644"/>
      <c r="B5283" s="645"/>
    </row>
    <row r="5284" spans="1:2" x14ac:dyDescent="0.3">
      <c r="A5284" s="644"/>
      <c r="B5284" s="645"/>
    </row>
    <row r="5285" spans="1:2" x14ac:dyDescent="0.3">
      <c r="A5285" s="644"/>
      <c r="B5285" s="645"/>
    </row>
    <row r="5286" spans="1:2" x14ac:dyDescent="0.3">
      <c r="A5286" s="644"/>
      <c r="B5286" s="645"/>
    </row>
    <row r="5287" spans="1:2" x14ac:dyDescent="0.3">
      <c r="A5287" s="644"/>
      <c r="B5287" s="645"/>
    </row>
    <row r="5288" spans="1:2" x14ac:dyDescent="0.3">
      <c r="A5288" s="644"/>
      <c r="B5288" s="645"/>
    </row>
    <row r="5289" spans="1:2" x14ac:dyDescent="0.3">
      <c r="A5289" s="644"/>
      <c r="B5289" s="645"/>
    </row>
    <row r="5290" spans="1:2" x14ac:dyDescent="0.3">
      <c r="A5290" s="644"/>
      <c r="B5290" s="645"/>
    </row>
    <row r="5291" spans="1:2" x14ac:dyDescent="0.3">
      <c r="A5291" s="644"/>
      <c r="B5291" s="645"/>
    </row>
    <row r="5292" spans="1:2" x14ac:dyDescent="0.3">
      <c r="A5292" s="644"/>
      <c r="B5292" s="645"/>
    </row>
    <row r="5293" spans="1:2" x14ac:dyDescent="0.3">
      <c r="A5293" s="644"/>
      <c r="B5293" s="645"/>
    </row>
    <row r="5294" spans="1:2" x14ac:dyDescent="0.3">
      <c r="A5294" s="644"/>
      <c r="B5294" s="645"/>
    </row>
    <row r="5295" spans="1:2" x14ac:dyDescent="0.3">
      <c r="A5295" s="644"/>
      <c r="B5295" s="645"/>
    </row>
    <row r="5296" spans="1:2" x14ac:dyDescent="0.3">
      <c r="A5296" s="644"/>
      <c r="B5296" s="645"/>
    </row>
    <row r="5297" spans="1:2" x14ac:dyDescent="0.3">
      <c r="A5297" s="644"/>
      <c r="B5297" s="645"/>
    </row>
    <row r="5298" spans="1:2" x14ac:dyDescent="0.3">
      <c r="A5298" s="644"/>
      <c r="B5298" s="645"/>
    </row>
    <row r="5299" spans="1:2" x14ac:dyDescent="0.3">
      <c r="A5299" s="644"/>
      <c r="B5299" s="645"/>
    </row>
    <row r="5300" spans="1:2" x14ac:dyDescent="0.3">
      <c r="A5300" s="644"/>
      <c r="B5300" s="645"/>
    </row>
    <row r="5301" spans="1:2" x14ac:dyDescent="0.3">
      <c r="A5301" s="644"/>
      <c r="B5301" s="645"/>
    </row>
    <row r="5302" spans="1:2" x14ac:dyDescent="0.3">
      <c r="A5302" s="644"/>
      <c r="B5302" s="645"/>
    </row>
    <row r="5303" spans="1:2" x14ac:dyDescent="0.3">
      <c r="A5303" s="644"/>
      <c r="B5303" s="645"/>
    </row>
    <row r="5304" spans="1:2" x14ac:dyDescent="0.3">
      <c r="A5304" s="644"/>
      <c r="B5304" s="645"/>
    </row>
    <row r="5305" spans="1:2" x14ac:dyDescent="0.3">
      <c r="A5305" s="644"/>
      <c r="B5305" s="645"/>
    </row>
    <row r="5306" spans="1:2" x14ac:dyDescent="0.3">
      <c r="A5306" s="644"/>
      <c r="B5306" s="645"/>
    </row>
    <row r="5307" spans="1:2" x14ac:dyDescent="0.3">
      <c r="A5307" s="644"/>
      <c r="B5307" s="645"/>
    </row>
    <row r="5308" spans="1:2" x14ac:dyDescent="0.3">
      <c r="A5308" s="644"/>
      <c r="B5308" s="645"/>
    </row>
    <row r="5309" spans="1:2" x14ac:dyDescent="0.3">
      <c r="A5309" s="644"/>
      <c r="B5309" s="645"/>
    </row>
    <row r="5310" spans="1:2" x14ac:dyDescent="0.3">
      <c r="A5310" s="644"/>
      <c r="B5310" s="645"/>
    </row>
    <row r="5311" spans="1:2" x14ac:dyDescent="0.3">
      <c r="A5311" s="644"/>
      <c r="B5311" s="645"/>
    </row>
    <row r="5312" spans="1:2" x14ac:dyDescent="0.3">
      <c r="A5312" s="644"/>
      <c r="B5312" s="645"/>
    </row>
    <row r="5313" spans="1:2" x14ac:dyDescent="0.3">
      <c r="A5313" s="644"/>
      <c r="B5313" s="645"/>
    </row>
    <row r="5314" spans="1:2" x14ac:dyDescent="0.3">
      <c r="A5314" s="644"/>
      <c r="B5314" s="645"/>
    </row>
    <row r="5315" spans="1:2" x14ac:dyDescent="0.3">
      <c r="A5315" s="644"/>
      <c r="B5315" s="645"/>
    </row>
    <row r="5316" spans="1:2" x14ac:dyDescent="0.3">
      <c r="A5316" s="644"/>
      <c r="B5316" s="645"/>
    </row>
    <row r="5317" spans="1:2" x14ac:dyDescent="0.3">
      <c r="A5317" s="644"/>
      <c r="B5317" s="645"/>
    </row>
    <row r="5318" spans="1:2" x14ac:dyDescent="0.3">
      <c r="A5318" s="644"/>
      <c r="B5318" s="645"/>
    </row>
    <row r="5319" spans="1:2" x14ac:dyDescent="0.3">
      <c r="A5319" s="644"/>
      <c r="B5319" s="645"/>
    </row>
    <row r="5320" spans="1:2" x14ac:dyDescent="0.3">
      <c r="A5320" s="644"/>
      <c r="B5320" s="645"/>
    </row>
    <row r="5321" spans="1:2" x14ac:dyDescent="0.3">
      <c r="A5321" s="644"/>
      <c r="B5321" s="645"/>
    </row>
    <row r="5322" spans="1:2" x14ac:dyDescent="0.3">
      <c r="A5322" s="644"/>
      <c r="B5322" s="645"/>
    </row>
    <row r="5323" spans="1:2" x14ac:dyDescent="0.3">
      <c r="A5323" s="644"/>
      <c r="B5323" s="645"/>
    </row>
    <row r="5324" spans="1:2" x14ac:dyDescent="0.3">
      <c r="A5324" s="644"/>
      <c r="B5324" s="645"/>
    </row>
    <row r="5325" spans="1:2" x14ac:dyDescent="0.3">
      <c r="A5325" s="644"/>
      <c r="B5325" s="645"/>
    </row>
    <row r="5326" spans="1:2" x14ac:dyDescent="0.3">
      <c r="A5326" s="644"/>
      <c r="B5326" s="645"/>
    </row>
    <row r="5327" spans="1:2" x14ac:dyDescent="0.3">
      <c r="A5327" s="644"/>
      <c r="B5327" s="645"/>
    </row>
    <row r="5328" spans="1:2" x14ac:dyDescent="0.3">
      <c r="A5328" s="644"/>
      <c r="B5328" s="645"/>
    </row>
    <row r="5329" spans="1:2" x14ac:dyDescent="0.3">
      <c r="A5329" s="644"/>
      <c r="B5329" s="645"/>
    </row>
    <row r="5330" spans="1:2" x14ac:dyDescent="0.3">
      <c r="A5330" s="644"/>
      <c r="B5330" s="645"/>
    </row>
    <row r="5331" spans="1:2" x14ac:dyDescent="0.3">
      <c r="A5331" s="644"/>
      <c r="B5331" s="645"/>
    </row>
    <row r="5332" spans="1:2" x14ac:dyDescent="0.3">
      <c r="A5332" s="644"/>
      <c r="B5332" s="645"/>
    </row>
    <row r="5333" spans="1:2" x14ac:dyDescent="0.3">
      <c r="A5333" s="644"/>
      <c r="B5333" s="645"/>
    </row>
    <row r="5334" spans="1:2" x14ac:dyDescent="0.3">
      <c r="A5334" s="644"/>
      <c r="B5334" s="645"/>
    </row>
    <row r="5335" spans="1:2" x14ac:dyDescent="0.3">
      <c r="A5335" s="644"/>
      <c r="B5335" s="645"/>
    </row>
    <row r="5336" spans="1:2" x14ac:dyDescent="0.3">
      <c r="A5336" s="644"/>
      <c r="B5336" s="645"/>
    </row>
    <row r="5337" spans="1:2" x14ac:dyDescent="0.3">
      <c r="A5337" s="644"/>
      <c r="B5337" s="645"/>
    </row>
    <row r="5338" spans="1:2" x14ac:dyDescent="0.3">
      <c r="A5338" s="644"/>
      <c r="B5338" s="645"/>
    </row>
    <row r="5339" spans="1:2" x14ac:dyDescent="0.3">
      <c r="A5339" s="644"/>
      <c r="B5339" s="645"/>
    </row>
    <row r="5340" spans="1:2" x14ac:dyDescent="0.3">
      <c r="A5340" s="644"/>
      <c r="B5340" s="645"/>
    </row>
    <row r="5341" spans="1:2" x14ac:dyDescent="0.3">
      <c r="A5341" s="644"/>
      <c r="B5341" s="645"/>
    </row>
    <row r="5342" spans="1:2" x14ac:dyDescent="0.3">
      <c r="A5342" s="644"/>
      <c r="B5342" s="645"/>
    </row>
    <row r="5343" spans="1:2" x14ac:dyDescent="0.3">
      <c r="A5343" s="644"/>
      <c r="B5343" s="645"/>
    </row>
    <row r="5344" spans="1:2" x14ac:dyDescent="0.3">
      <c r="A5344" s="644"/>
      <c r="B5344" s="645"/>
    </row>
    <row r="5345" spans="1:2" x14ac:dyDescent="0.3">
      <c r="A5345" s="644"/>
      <c r="B5345" s="645"/>
    </row>
    <row r="5346" spans="1:2" x14ac:dyDescent="0.3">
      <c r="A5346" s="644"/>
      <c r="B5346" s="645"/>
    </row>
    <row r="5347" spans="1:2" x14ac:dyDescent="0.3">
      <c r="A5347" s="644"/>
      <c r="B5347" s="645"/>
    </row>
    <row r="5348" spans="1:2" x14ac:dyDescent="0.3">
      <c r="A5348" s="644"/>
      <c r="B5348" s="645"/>
    </row>
    <row r="5349" spans="1:2" x14ac:dyDescent="0.3">
      <c r="A5349" s="644"/>
      <c r="B5349" s="645"/>
    </row>
    <row r="5350" spans="1:2" x14ac:dyDescent="0.3">
      <c r="A5350" s="644"/>
      <c r="B5350" s="645"/>
    </row>
    <row r="5351" spans="1:2" x14ac:dyDescent="0.3">
      <c r="A5351" s="644"/>
      <c r="B5351" s="645"/>
    </row>
    <row r="5352" spans="1:2" x14ac:dyDescent="0.3">
      <c r="A5352" s="644"/>
      <c r="B5352" s="645"/>
    </row>
    <row r="5353" spans="1:2" x14ac:dyDescent="0.3">
      <c r="A5353" s="644"/>
      <c r="B5353" s="645"/>
    </row>
    <row r="5354" spans="1:2" x14ac:dyDescent="0.3">
      <c r="A5354" s="644"/>
      <c r="B5354" s="645"/>
    </row>
    <row r="5355" spans="1:2" x14ac:dyDescent="0.3">
      <c r="A5355" s="644"/>
      <c r="B5355" s="645"/>
    </row>
    <row r="5356" spans="1:2" x14ac:dyDescent="0.3">
      <c r="A5356" s="644"/>
      <c r="B5356" s="645"/>
    </row>
    <row r="5357" spans="1:2" x14ac:dyDescent="0.3">
      <c r="A5357" s="644"/>
      <c r="B5357" s="645"/>
    </row>
    <row r="5358" spans="1:2" x14ac:dyDescent="0.3">
      <c r="A5358" s="644"/>
      <c r="B5358" s="645"/>
    </row>
    <row r="5359" spans="1:2" x14ac:dyDescent="0.3">
      <c r="A5359" s="644"/>
      <c r="B5359" s="645"/>
    </row>
    <row r="5360" spans="1:2" x14ac:dyDescent="0.3">
      <c r="A5360" s="644"/>
      <c r="B5360" s="645"/>
    </row>
    <row r="5361" spans="1:2" x14ac:dyDescent="0.3">
      <c r="A5361" s="644"/>
      <c r="B5361" s="645"/>
    </row>
    <row r="5362" spans="1:2" x14ac:dyDescent="0.3">
      <c r="A5362" s="644"/>
      <c r="B5362" s="645"/>
    </row>
    <row r="5363" spans="1:2" x14ac:dyDescent="0.3">
      <c r="A5363" s="644"/>
      <c r="B5363" s="645"/>
    </row>
    <row r="5364" spans="1:2" x14ac:dyDescent="0.3">
      <c r="A5364" s="644"/>
      <c r="B5364" s="645"/>
    </row>
    <row r="5365" spans="1:2" x14ac:dyDescent="0.3">
      <c r="A5365" s="644"/>
      <c r="B5365" s="645"/>
    </row>
    <row r="5366" spans="1:2" x14ac:dyDescent="0.3">
      <c r="A5366" s="644"/>
      <c r="B5366" s="645"/>
    </row>
    <row r="5367" spans="1:2" x14ac:dyDescent="0.3">
      <c r="A5367" s="644"/>
      <c r="B5367" s="645"/>
    </row>
    <row r="5368" spans="1:2" x14ac:dyDescent="0.3">
      <c r="A5368" s="644"/>
      <c r="B5368" s="645"/>
    </row>
    <row r="5369" spans="1:2" x14ac:dyDescent="0.3">
      <c r="A5369" s="644"/>
      <c r="B5369" s="645"/>
    </row>
    <row r="5370" spans="1:2" x14ac:dyDescent="0.3">
      <c r="A5370" s="644"/>
      <c r="B5370" s="645"/>
    </row>
    <row r="5371" spans="1:2" x14ac:dyDescent="0.3">
      <c r="A5371" s="644"/>
      <c r="B5371" s="645"/>
    </row>
    <row r="5372" spans="1:2" x14ac:dyDescent="0.3">
      <c r="A5372" s="644"/>
      <c r="B5372" s="645"/>
    </row>
    <row r="5373" spans="1:2" x14ac:dyDescent="0.3">
      <c r="A5373" s="644"/>
      <c r="B5373" s="645"/>
    </row>
    <row r="5374" spans="1:2" x14ac:dyDescent="0.3">
      <c r="A5374" s="644"/>
      <c r="B5374" s="645"/>
    </row>
    <row r="5375" spans="1:2" x14ac:dyDescent="0.3">
      <c r="A5375" s="644"/>
      <c r="B5375" s="645"/>
    </row>
    <row r="5376" spans="1:2" x14ac:dyDescent="0.3">
      <c r="A5376" s="644"/>
      <c r="B5376" s="645"/>
    </row>
    <row r="5377" spans="1:2" x14ac:dyDescent="0.3">
      <c r="A5377" s="644"/>
      <c r="B5377" s="645"/>
    </row>
    <row r="5378" spans="1:2" x14ac:dyDescent="0.3">
      <c r="A5378" s="644"/>
      <c r="B5378" s="645"/>
    </row>
    <row r="5379" spans="1:2" x14ac:dyDescent="0.3">
      <c r="A5379" s="644"/>
      <c r="B5379" s="645"/>
    </row>
    <row r="5380" spans="1:2" x14ac:dyDescent="0.3">
      <c r="A5380" s="644"/>
      <c r="B5380" s="645"/>
    </row>
    <row r="5381" spans="1:2" x14ac:dyDescent="0.3">
      <c r="A5381" s="644"/>
      <c r="B5381" s="645"/>
    </row>
    <row r="5382" spans="1:2" x14ac:dyDescent="0.3">
      <c r="A5382" s="644"/>
      <c r="B5382" s="645"/>
    </row>
    <row r="5383" spans="1:2" x14ac:dyDescent="0.3">
      <c r="A5383" s="644"/>
      <c r="B5383" s="645"/>
    </row>
    <row r="5384" spans="1:2" x14ac:dyDescent="0.3">
      <c r="A5384" s="644"/>
      <c r="B5384" s="645"/>
    </row>
    <row r="5385" spans="1:2" x14ac:dyDescent="0.3">
      <c r="A5385" s="644"/>
      <c r="B5385" s="645"/>
    </row>
    <row r="5386" spans="1:2" x14ac:dyDescent="0.3">
      <c r="A5386" s="644"/>
      <c r="B5386" s="645"/>
    </row>
    <row r="5387" spans="1:2" x14ac:dyDescent="0.3">
      <c r="A5387" s="644"/>
      <c r="B5387" s="645"/>
    </row>
    <row r="5388" spans="1:2" x14ac:dyDescent="0.3">
      <c r="A5388" s="644"/>
      <c r="B5388" s="645"/>
    </row>
    <row r="5389" spans="1:2" x14ac:dyDescent="0.3">
      <c r="A5389" s="644"/>
      <c r="B5389" s="645"/>
    </row>
    <row r="5390" spans="1:2" x14ac:dyDescent="0.3">
      <c r="A5390" s="644"/>
      <c r="B5390" s="645"/>
    </row>
    <row r="5391" spans="1:2" x14ac:dyDescent="0.3">
      <c r="A5391" s="644"/>
      <c r="B5391" s="645"/>
    </row>
    <row r="5392" spans="1:2" x14ac:dyDescent="0.3">
      <c r="A5392" s="644"/>
      <c r="B5392" s="645"/>
    </row>
    <row r="5393" spans="1:2" x14ac:dyDescent="0.3">
      <c r="A5393" s="644"/>
      <c r="B5393" s="645"/>
    </row>
    <row r="5394" spans="1:2" x14ac:dyDescent="0.3">
      <c r="A5394" s="644"/>
      <c r="B5394" s="645"/>
    </row>
    <row r="5395" spans="1:2" x14ac:dyDescent="0.3">
      <c r="A5395" s="644"/>
      <c r="B5395" s="645"/>
    </row>
    <row r="5396" spans="1:2" x14ac:dyDescent="0.3">
      <c r="A5396" s="644"/>
      <c r="B5396" s="645"/>
    </row>
    <row r="5397" spans="1:2" x14ac:dyDescent="0.3">
      <c r="A5397" s="644"/>
      <c r="B5397" s="645"/>
    </row>
    <row r="5398" spans="1:2" x14ac:dyDescent="0.3">
      <c r="A5398" s="644"/>
      <c r="B5398" s="645"/>
    </row>
    <row r="5399" spans="1:2" x14ac:dyDescent="0.3">
      <c r="A5399" s="644"/>
      <c r="B5399" s="645"/>
    </row>
    <row r="5400" spans="1:2" x14ac:dyDescent="0.3">
      <c r="A5400" s="644"/>
      <c r="B5400" s="645"/>
    </row>
    <row r="5401" spans="1:2" x14ac:dyDescent="0.3">
      <c r="A5401" s="644"/>
      <c r="B5401" s="645"/>
    </row>
    <row r="5402" spans="1:2" x14ac:dyDescent="0.3">
      <c r="A5402" s="644"/>
      <c r="B5402" s="645"/>
    </row>
    <row r="5403" spans="1:2" x14ac:dyDescent="0.3">
      <c r="A5403" s="644"/>
      <c r="B5403" s="645"/>
    </row>
    <row r="5404" spans="1:2" x14ac:dyDescent="0.3">
      <c r="A5404" s="644"/>
      <c r="B5404" s="645"/>
    </row>
    <row r="5405" spans="1:2" x14ac:dyDescent="0.3">
      <c r="A5405" s="644"/>
      <c r="B5405" s="645"/>
    </row>
    <row r="5406" spans="1:2" x14ac:dyDescent="0.3">
      <c r="A5406" s="644"/>
      <c r="B5406" s="645"/>
    </row>
    <row r="5407" spans="1:2" x14ac:dyDescent="0.3">
      <c r="A5407" s="644"/>
      <c r="B5407" s="645"/>
    </row>
    <row r="5408" spans="1:2" x14ac:dyDescent="0.3">
      <c r="A5408" s="644"/>
      <c r="B5408" s="645"/>
    </row>
    <row r="5409" spans="1:2" x14ac:dyDescent="0.3">
      <c r="A5409" s="644"/>
      <c r="B5409" s="645"/>
    </row>
    <row r="5410" spans="1:2" x14ac:dyDescent="0.3">
      <c r="A5410" s="644"/>
      <c r="B5410" s="645"/>
    </row>
    <row r="5411" spans="1:2" x14ac:dyDescent="0.3">
      <c r="A5411" s="644"/>
      <c r="B5411" s="645"/>
    </row>
    <row r="5412" spans="1:2" x14ac:dyDescent="0.3">
      <c r="A5412" s="644"/>
      <c r="B5412" s="645"/>
    </row>
    <row r="5413" spans="1:2" x14ac:dyDescent="0.3">
      <c r="A5413" s="644"/>
      <c r="B5413" s="645"/>
    </row>
    <row r="5414" spans="1:2" x14ac:dyDescent="0.3">
      <c r="A5414" s="644"/>
      <c r="B5414" s="645"/>
    </row>
    <row r="5415" spans="1:2" x14ac:dyDescent="0.3">
      <c r="A5415" s="644"/>
      <c r="B5415" s="645"/>
    </row>
    <row r="5416" spans="1:2" x14ac:dyDescent="0.3">
      <c r="A5416" s="644"/>
      <c r="B5416" s="645"/>
    </row>
    <row r="5417" spans="1:2" x14ac:dyDescent="0.3">
      <c r="A5417" s="644"/>
      <c r="B5417" s="645"/>
    </row>
    <row r="5418" spans="1:2" x14ac:dyDescent="0.3">
      <c r="A5418" s="644"/>
      <c r="B5418" s="645"/>
    </row>
    <row r="5419" spans="1:2" x14ac:dyDescent="0.3">
      <c r="A5419" s="644"/>
      <c r="B5419" s="645"/>
    </row>
    <row r="5420" spans="1:2" x14ac:dyDescent="0.3">
      <c r="A5420" s="644"/>
      <c r="B5420" s="645"/>
    </row>
    <row r="5421" spans="1:2" x14ac:dyDescent="0.3">
      <c r="A5421" s="644"/>
      <c r="B5421" s="645"/>
    </row>
    <row r="5422" spans="1:2" x14ac:dyDescent="0.3">
      <c r="A5422" s="644"/>
      <c r="B5422" s="645"/>
    </row>
    <row r="5423" spans="1:2" x14ac:dyDescent="0.3">
      <c r="A5423" s="644"/>
      <c r="B5423" s="645"/>
    </row>
    <row r="5424" spans="1:2" x14ac:dyDescent="0.3">
      <c r="A5424" s="644"/>
      <c r="B5424" s="645"/>
    </row>
    <row r="5425" spans="1:2" x14ac:dyDescent="0.3">
      <c r="A5425" s="644"/>
      <c r="B5425" s="645"/>
    </row>
    <row r="5426" spans="1:2" x14ac:dyDescent="0.3">
      <c r="A5426" s="644"/>
      <c r="B5426" s="645"/>
    </row>
    <row r="5427" spans="1:2" x14ac:dyDescent="0.3">
      <c r="A5427" s="644"/>
      <c r="B5427" s="645"/>
    </row>
    <row r="5428" spans="1:2" x14ac:dyDescent="0.3">
      <c r="A5428" s="644"/>
      <c r="B5428" s="645"/>
    </row>
    <row r="5429" spans="1:2" x14ac:dyDescent="0.3">
      <c r="A5429" s="644"/>
      <c r="B5429" s="645"/>
    </row>
    <row r="5430" spans="1:2" x14ac:dyDescent="0.3">
      <c r="A5430" s="644"/>
      <c r="B5430" s="645"/>
    </row>
    <row r="5431" spans="1:2" x14ac:dyDescent="0.3">
      <c r="A5431" s="644"/>
      <c r="B5431" s="645"/>
    </row>
    <row r="5432" spans="1:2" x14ac:dyDescent="0.3">
      <c r="A5432" s="644"/>
      <c r="B5432" s="645"/>
    </row>
    <row r="5433" spans="1:2" x14ac:dyDescent="0.3">
      <c r="A5433" s="644"/>
      <c r="B5433" s="645"/>
    </row>
    <row r="5434" spans="1:2" x14ac:dyDescent="0.3">
      <c r="A5434" s="644"/>
      <c r="B5434" s="645"/>
    </row>
    <row r="5435" spans="1:2" x14ac:dyDescent="0.3">
      <c r="A5435" s="644"/>
      <c r="B5435" s="645"/>
    </row>
    <row r="5436" spans="1:2" x14ac:dyDescent="0.3">
      <c r="A5436" s="644"/>
      <c r="B5436" s="645"/>
    </row>
    <row r="5437" spans="1:2" x14ac:dyDescent="0.3">
      <c r="A5437" s="644"/>
      <c r="B5437" s="645"/>
    </row>
    <row r="5438" spans="1:2" x14ac:dyDescent="0.3">
      <c r="A5438" s="644"/>
      <c r="B5438" s="645"/>
    </row>
    <row r="5439" spans="1:2" x14ac:dyDescent="0.3">
      <c r="A5439" s="644"/>
      <c r="B5439" s="645"/>
    </row>
    <row r="5440" spans="1:2" x14ac:dyDescent="0.3">
      <c r="A5440" s="644"/>
      <c r="B5440" s="645"/>
    </row>
    <row r="5441" spans="1:2" x14ac:dyDescent="0.3">
      <c r="A5441" s="644"/>
      <c r="B5441" s="645"/>
    </row>
    <row r="5442" spans="1:2" x14ac:dyDescent="0.3">
      <c r="A5442" s="644"/>
      <c r="B5442" s="645"/>
    </row>
    <row r="5443" spans="1:2" x14ac:dyDescent="0.3">
      <c r="A5443" s="644"/>
      <c r="B5443" s="645"/>
    </row>
    <row r="5444" spans="1:2" x14ac:dyDescent="0.3">
      <c r="A5444" s="644"/>
      <c r="B5444" s="645"/>
    </row>
    <row r="5445" spans="1:2" x14ac:dyDescent="0.3">
      <c r="A5445" s="644"/>
      <c r="B5445" s="645"/>
    </row>
    <row r="5446" spans="1:2" x14ac:dyDescent="0.3">
      <c r="A5446" s="644"/>
      <c r="B5446" s="645"/>
    </row>
    <row r="5447" spans="1:2" x14ac:dyDescent="0.3">
      <c r="A5447" s="644"/>
      <c r="B5447" s="645"/>
    </row>
    <row r="5448" spans="1:2" x14ac:dyDescent="0.3">
      <c r="A5448" s="644"/>
      <c r="B5448" s="645"/>
    </row>
    <row r="5449" spans="1:2" x14ac:dyDescent="0.3">
      <c r="A5449" s="644"/>
      <c r="B5449" s="645"/>
    </row>
    <row r="5450" spans="1:2" x14ac:dyDescent="0.3">
      <c r="A5450" s="644"/>
      <c r="B5450" s="645"/>
    </row>
    <row r="5451" spans="1:2" x14ac:dyDescent="0.3">
      <c r="A5451" s="644"/>
      <c r="B5451" s="645"/>
    </row>
    <row r="5452" spans="1:2" x14ac:dyDescent="0.3">
      <c r="A5452" s="644"/>
      <c r="B5452" s="645"/>
    </row>
    <row r="5453" spans="1:2" x14ac:dyDescent="0.3">
      <c r="A5453" s="644"/>
      <c r="B5453" s="645"/>
    </row>
    <row r="5454" spans="1:2" x14ac:dyDescent="0.3">
      <c r="A5454" s="644"/>
      <c r="B5454" s="645"/>
    </row>
    <row r="5455" spans="1:2" x14ac:dyDescent="0.3">
      <c r="A5455" s="644"/>
      <c r="B5455" s="645"/>
    </row>
    <row r="5456" spans="1:2" x14ac:dyDescent="0.3">
      <c r="A5456" s="644"/>
      <c r="B5456" s="645"/>
    </row>
    <row r="5457" spans="1:2" x14ac:dyDescent="0.3">
      <c r="A5457" s="644"/>
      <c r="B5457" s="645"/>
    </row>
    <row r="5458" spans="1:2" x14ac:dyDescent="0.3">
      <c r="A5458" s="644"/>
      <c r="B5458" s="645"/>
    </row>
    <row r="5459" spans="1:2" x14ac:dyDescent="0.3">
      <c r="A5459" s="644"/>
      <c r="B5459" s="645"/>
    </row>
    <row r="5460" spans="1:2" x14ac:dyDescent="0.3">
      <c r="A5460" s="644"/>
      <c r="B5460" s="645"/>
    </row>
    <row r="5461" spans="1:2" x14ac:dyDescent="0.3">
      <c r="A5461" s="644"/>
      <c r="B5461" s="645"/>
    </row>
    <row r="5462" spans="1:2" x14ac:dyDescent="0.3">
      <c r="A5462" s="644"/>
      <c r="B5462" s="645"/>
    </row>
    <row r="5463" spans="1:2" x14ac:dyDescent="0.3">
      <c r="A5463" s="644"/>
      <c r="B5463" s="645"/>
    </row>
    <row r="5464" spans="1:2" x14ac:dyDescent="0.3">
      <c r="A5464" s="644"/>
      <c r="B5464" s="645"/>
    </row>
    <row r="5465" spans="1:2" x14ac:dyDescent="0.3">
      <c r="A5465" s="644"/>
      <c r="B5465" s="645"/>
    </row>
    <row r="5466" spans="1:2" x14ac:dyDescent="0.3">
      <c r="A5466" s="644"/>
      <c r="B5466" s="645"/>
    </row>
    <row r="5467" spans="1:2" x14ac:dyDescent="0.3">
      <c r="A5467" s="644"/>
      <c r="B5467" s="645"/>
    </row>
    <row r="5468" spans="1:2" x14ac:dyDescent="0.3">
      <c r="A5468" s="644"/>
      <c r="B5468" s="645"/>
    </row>
    <row r="5469" spans="1:2" x14ac:dyDescent="0.3">
      <c r="A5469" s="644"/>
      <c r="B5469" s="645"/>
    </row>
    <row r="5470" spans="1:2" x14ac:dyDescent="0.3">
      <c r="A5470" s="644"/>
      <c r="B5470" s="645"/>
    </row>
    <row r="5471" spans="1:2" x14ac:dyDescent="0.3">
      <c r="A5471" s="644"/>
      <c r="B5471" s="645"/>
    </row>
    <row r="5472" spans="1:2" x14ac:dyDescent="0.3">
      <c r="A5472" s="644"/>
      <c r="B5472" s="645"/>
    </row>
    <row r="5473" spans="1:2" x14ac:dyDescent="0.3">
      <c r="A5473" s="644"/>
      <c r="B5473" s="645"/>
    </row>
    <row r="5474" spans="1:2" x14ac:dyDescent="0.3">
      <c r="A5474" s="644"/>
      <c r="B5474" s="645"/>
    </row>
    <row r="5475" spans="1:2" x14ac:dyDescent="0.3">
      <c r="A5475" s="644"/>
      <c r="B5475" s="645"/>
    </row>
    <row r="5476" spans="1:2" x14ac:dyDescent="0.3">
      <c r="A5476" s="644"/>
      <c r="B5476" s="645"/>
    </row>
    <row r="5477" spans="1:2" x14ac:dyDescent="0.3">
      <c r="A5477" s="644"/>
      <c r="B5477" s="645"/>
    </row>
    <row r="5478" spans="1:2" x14ac:dyDescent="0.3">
      <c r="A5478" s="644"/>
      <c r="B5478" s="645"/>
    </row>
    <row r="5479" spans="1:2" x14ac:dyDescent="0.3">
      <c r="A5479" s="644"/>
      <c r="B5479" s="645"/>
    </row>
    <row r="5480" spans="1:2" x14ac:dyDescent="0.3">
      <c r="A5480" s="644"/>
      <c r="B5480" s="645"/>
    </row>
    <row r="5481" spans="1:2" x14ac:dyDescent="0.3">
      <c r="A5481" s="644"/>
      <c r="B5481" s="645"/>
    </row>
    <row r="5482" spans="1:2" x14ac:dyDescent="0.3">
      <c r="A5482" s="644"/>
      <c r="B5482" s="645"/>
    </row>
    <row r="5483" spans="1:2" x14ac:dyDescent="0.3">
      <c r="A5483" s="644"/>
      <c r="B5483" s="645"/>
    </row>
    <row r="5484" spans="1:2" x14ac:dyDescent="0.3">
      <c r="A5484" s="644"/>
      <c r="B5484" s="645"/>
    </row>
    <row r="5485" spans="1:2" x14ac:dyDescent="0.3">
      <c r="A5485" s="644"/>
      <c r="B5485" s="645"/>
    </row>
    <row r="5486" spans="1:2" x14ac:dyDescent="0.3">
      <c r="A5486" s="644"/>
      <c r="B5486" s="645"/>
    </row>
    <row r="5487" spans="1:2" x14ac:dyDescent="0.3">
      <c r="A5487" s="644"/>
      <c r="B5487" s="645"/>
    </row>
    <row r="5488" spans="1:2" x14ac:dyDescent="0.3">
      <c r="A5488" s="644"/>
      <c r="B5488" s="645"/>
    </row>
    <row r="5489" spans="1:2" x14ac:dyDescent="0.3">
      <c r="A5489" s="644"/>
      <c r="B5489" s="645"/>
    </row>
    <row r="5490" spans="1:2" x14ac:dyDescent="0.3">
      <c r="A5490" s="644"/>
      <c r="B5490" s="645"/>
    </row>
    <row r="5491" spans="1:2" x14ac:dyDescent="0.3">
      <c r="A5491" s="644"/>
      <c r="B5491" s="645"/>
    </row>
    <row r="5492" spans="1:2" x14ac:dyDescent="0.3">
      <c r="A5492" s="644"/>
      <c r="B5492" s="645"/>
    </row>
    <row r="5493" spans="1:2" x14ac:dyDescent="0.3">
      <c r="A5493" s="644"/>
      <c r="B5493" s="645"/>
    </row>
    <row r="5494" spans="1:2" x14ac:dyDescent="0.3">
      <c r="A5494" s="644"/>
      <c r="B5494" s="645"/>
    </row>
    <row r="5495" spans="1:2" x14ac:dyDescent="0.3">
      <c r="A5495" s="644"/>
      <c r="B5495" s="645"/>
    </row>
    <row r="5496" spans="1:2" x14ac:dyDescent="0.3">
      <c r="A5496" s="644"/>
      <c r="B5496" s="645"/>
    </row>
    <row r="5497" spans="1:2" x14ac:dyDescent="0.3">
      <c r="A5497" s="644"/>
      <c r="B5497" s="645"/>
    </row>
    <row r="5498" spans="1:2" x14ac:dyDescent="0.3">
      <c r="A5498" s="644"/>
      <c r="B5498" s="645"/>
    </row>
    <row r="5499" spans="1:2" x14ac:dyDescent="0.3">
      <c r="A5499" s="644"/>
      <c r="B5499" s="645"/>
    </row>
    <row r="5500" spans="1:2" x14ac:dyDescent="0.3">
      <c r="A5500" s="644"/>
      <c r="B5500" s="645"/>
    </row>
    <row r="5501" spans="1:2" x14ac:dyDescent="0.3">
      <c r="A5501" s="644"/>
      <c r="B5501" s="645"/>
    </row>
    <row r="5502" spans="1:2" x14ac:dyDescent="0.3">
      <c r="A5502" s="644"/>
      <c r="B5502" s="645"/>
    </row>
    <row r="5503" spans="1:2" x14ac:dyDescent="0.3">
      <c r="A5503" s="644"/>
      <c r="B5503" s="645"/>
    </row>
    <row r="5504" spans="1:2" x14ac:dyDescent="0.3">
      <c r="A5504" s="644"/>
      <c r="B5504" s="645"/>
    </row>
    <row r="5505" spans="1:2" x14ac:dyDescent="0.3">
      <c r="A5505" s="644"/>
      <c r="B5505" s="645"/>
    </row>
    <row r="5506" spans="1:2" x14ac:dyDescent="0.3">
      <c r="A5506" s="644"/>
      <c r="B5506" s="645"/>
    </row>
    <row r="5507" spans="1:2" x14ac:dyDescent="0.3">
      <c r="A5507" s="644"/>
      <c r="B5507" s="645"/>
    </row>
    <row r="5508" spans="1:2" x14ac:dyDescent="0.3">
      <c r="A5508" s="644"/>
      <c r="B5508" s="645"/>
    </row>
    <row r="5509" spans="1:2" x14ac:dyDescent="0.3">
      <c r="A5509" s="644"/>
      <c r="B5509" s="645"/>
    </row>
    <row r="5510" spans="1:2" x14ac:dyDescent="0.3">
      <c r="A5510" s="644"/>
      <c r="B5510" s="645"/>
    </row>
    <row r="5511" spans="1:2" x14ac:dyDescent="0.3">
      <c r="A5511" s="644"/>
      <c r="B5511" s="645"/>
    </row>
    <row r="5512" spans="1:2" x14ac:dyDescent="0.3">
      <c r="A5512" s="644"/>
      <c r="B5512" s="645"/>
    </row>
    <row r="5513" spans="1:2" x14ac:dyDescent="0.3">
      <c r="A5513" s="644"/>
      <c r="B5513" s="645"/>
    </row>
    <row r="5514" spans="1:2" x14ac:dyDescent="0.3">
      <c r="A5514" s="644"/>
      <c r="B5514" s="645"/>
    </row>
    <row r="5515" spans="1:2" x14ac:dyDescent="0.3">
      <c r="A5515" s="644"/>
      <c r="B5515" s="645"/>
    </row>
    <row r="5516" spans="1:2" x14ac:dyDescent="0.3">
      <c r="A5516" s="644"/>
      <c r="B5516" s="645"/>
    </row>
    <row r="5517" spans="1:2" x14ac:dyDescent="0.3">
      <c r="A5517" s="644"/>
      <c r="B5517" s="645"/>
    </row>
    <row r="5518" spans="1:2" x14ac:dyDescent="0.3">
      <c r="A5518" s="644"/>
      <c r="B5518" s="645"/>
    </row>
    <row r="5519" spans="1:2" x14ac:dyDescent="0.3">
      <c r="A5519" s="644"/>
      <c r="B5519" s="645"/>
    </row>
    <row r="5520" spans="1:2" x14ac:dyDescent="0.3">
      <c r="A5520" s="644"/>
      <c r="B5520" s="645"/>
    </row>
    <row r="5521" spans="1:2" x14ac:dyDescent="0.3">
      <c r="A5521" s="644"/>
      <c r="B5521" s="645"/>
    </row>
    <row r="5522" spans="1:2" x14ac:dyDescent="0.3">
      <c r="A5522" s="644"/>
      <c r="B5522" s="645"/>
    </row>
    <row r="5523" spans="1:2" x14ac:dyDescent="0.3">
      <c r="A5523" s="644"/>
      <c r="B5523" s="645"/>
    </row>
    <row r="5524" spans="1:2" x14ac:dyDescent="0.3">
      <c r="A5524" s="644"/>
      <c r="B5524" s="645"/>
    </row>
    <row r="5525" spans="1:2" x14ac:dyDescent="0.3">
      <c r="A5525" s="644"/>
      <c r="B5525" s="645"/>
    </row>
    <row r="5526" spans="1:2" x14ac:dyDescent="0.3">
      <c r="A5526" s="644"/>
      <c r="B5526" s="645"/>
    </row>
    <row r="5527" spans="1:2" x14ac:dyDescent="0.3">
      <c r="A5527" s="644"/>
      <c r="B5527" s="645"/>
    </row>
    <row r="5528" spans="1:2" x14ac:dyDescent="0.3">
      <c r="A5528" s="644"/>
      <c r="B5528" s="645"/>
    </row>
    <row r="5529" spans="1:2" x14ac:dyDescent="0.3">
      <c r="A5529" s="644"/>
      <c r="B5529" s="645"/>
    </row>
    <row r="5530" spans="1:2" x14ac:dyDescent="0.3">
      <c r="A5530" s="644"/>
      <c r="B5530" s="645"/>
    </row>
    <row r="5531" spans="1:2" x14ac:dyDescent="0.3">
      <c r="A5531" s="644"/>
      <c r="B5531" s="645"/>
    </row>
    <row r="5532" spans="1:2" x14ac:dyDescent="0.3">
      <c r="A5532" s="644"/>
      <c r="B5532" s="645"/>
    </row>
    <row r="5533" spans="1:2" x14ac:dyDescent="0.3">
      <c r="A5533" s="644"/>
      <c r="B5533" s="645"/>
    </row>
    <row r="5534" spans="1:2" x14ac:dyDescent="0.3">
      <c r="A5534" s="644"/>
      <c r="B5534" s="645"/>
    </row>
    <row r="5535" spans="1:2" x14ac:dyDescent="0.3">
      <c r="A5535" s="644"/>
      <c r="B5535" s="645"/>
    </row>
    <row r="5536" spans="1:2" x14ac:dyDescent="0.3">
      <c r="A5536" s="644"/>
      <c r="B5536" s="645"/>
    </row>
    <row r="5537" spans="1:2" x14ac:dyDescent="0.3">
      <c r="A5537" s="644"/>
      <c r="B5537" s="645"/>
    </row>
    <row r="5538" spans="1:2" x14ac:dyDescent="0.3">
      <c r="A5538" s="644"/>
      <c r="B5538" s="645"/>
    </row>
    <row r="5539" spans="1:2" x14ac:dyDescent="0.3">
      <c r="A5539" s="644"/>
      <c r="B5539" s="645"/>
    </row>
    <row r="5540" spans="1:2" x14ac:dyDescent="0.3">
      <c r="A5540" s="644"/>
      <c r="B5540" s="645"/>
    </row>
    <row r="5541" spans="1:2" x14ac:dyDescent="0.3">
      <c r="A5541" s="644"/>
      <c r="B5541" s="645"/>
    </row>
    <row r="5542" spans="1:2" x14ac:dyDescent="0.3">
      <c r="A5542" s="644"/>
      <c r="B5542" s="645"/>
    </row>
    <row r="5543" spans="1:2" x14ac:dyDescent="0.3">
      <c r="A5543" s="644"/>
      <c r="B5543" s="645"/>
    </row>
    <row r="5544" spans="1:2" x14ac:dyDescent="0.3">
      <c r="A5544" s="644"/>
      <c r="B5544" s="645"/>
    </row>
    <row r="5545" spans="1:2" x14ac:dyDescent="0.3">
      <c r="A5545" s="644"/>
      <c r="B5545" s="645"/>
    </row>
    <row r="5546" spans="1:2" x14ac:dyDescent="0.3">
      <c r="A5546" s="644"/>
      <c r="B5546" s="645"/>
    </row>
    <row r="5547" spans="1:2" x14ac:dyDescent="0.3">
      <c r="A5547" s="644"/>
      <c r="B5547" s="645"/>
    </row>
    <row r="5548" spans="1:2" x14ac:dyDescent="0.3">
      <c r="A5548" s="644"/>
      <c r="B5548" s="645"/>
    </row>
    <row r="5549" spans="1:2" x14ac:dyDescent="0.3">
      <c r="A5549" s="644"/>
      <c r="B5549" s="645"/>
    </row>
    <row r="5550" spans="1:2" x14ac:dyDescent="0.3">
      <c r="A5550" s="644"/>
      <c r="B5550" s="645"/>
    </row>
    <row r="5551" spans="1:2" x14ac:dyDescent="0.3">
      <c r="A5551" s="644"/>
      <c r="B5551" s="645"/>
    </row>
    <row r="5552" spans="1:2" x14ac:dyDescent="0.3">
      <c r="A5552" s="644"/>
      <c r="B5552" s="645"/>
    </row>
    <row r="5553" spans="1:2" x14ac:dyDescent="0.3">
      <c r="A5553" s="644"/>
      <c r="B5553" s="645"/>
    </row>
    <row r="5554" spans="1:2" x14ac:dyDescent="0.3">
      <c r="A5554" s="644"/>
      <c r="B5554" s="645"/>
    </row>
    <row r="5555" spans="1:2" x14ac:dyDescent="0.3">
      <c r="A5555" s="644"/>
      <c r="B5555" s="645"/>
    </row>
    <row r="5556" spans="1:2" x14ac:dyDescent="0.3">
      <c r="A5556" s="644"/>
      <c r="B5556" s="645"/>
    </row>
    <row r="5557" spans="1:2" x14ac:dyDescent="0.3">
      <c r="A5557" s="644"/>
      <c r="B5557" s="645"/>
    </row>
    <row r="5558" spans="1:2" x14ac:dyDescent="0.3">
      <c r="A5558" s="644"/>
      <c r="B5558" s="645"/>
    </row>
    <row r="5559" spans="1:2" x14ac:dyDescent="0.3">
      <c r="A5559" s="644"/>
      <c r="B5559" s="645"/>
    </row>
    <row r="5560" spans="1:2" x14ac:dyDescent="0.3">
      <c r="A5560" s="644"/>
      <c r="B5560" s="645"/>
    </row>
    <row r="5561" spans="1:2" x14ac:dyDescent="0.3">
      <c r="A5561" s="644"/>
      <c r="B5561" s="645"/>
    </row>
    <row r="5562" spans="1:2" x14ac:dyDescent="0.3">
      <c r="A5562" s="644"/>
      <c r="B5562" s="645"/>
    </row>
    <row r="5563" spans="1:2" x14ac:dyDescent="0.3">
      <c r="A5563" s="644"/>
      <c r="B5563" s="645"/>
    </row>
    <row r="5564" spans="1:2" x14ac:dyDescent="0.3">
      <c r="A5564" s="644"/>
      <c r="B5564" s="645"/>
    </row>
    <row r="5565" spans="1:2" x14ac:dyDescent="0.3">
      <c r="A5565" s="644"/>
      <c r="B5565" s="645"/>
    </row>
    <row r="5566" spans="1:2" x14ac:dyDescent="0.3">
      <c r="A5566" s="644"/>
      <c r="B5566" s="645"/>
    </row>
    <row r="5567" spans="1:2" x14ac:dyDescent="0.3">
      <c r="A5567" s="644"/>
      <c r="B5567" s="645"/>
    </row>
    <row r="5568" spans="1:2" x14ac:dyDescent="0.3">
      <c r="A5568" s="644"/>
      <c r="B5568" s="645"/>
    </row>
    <row r="5569" spans="1:2" x14ac:dyDescent="0.3">
      <c r="A5569" s="644"/>
      <c r="B5569" s="645"/>
    </row>
    <row r="5570" spans="1:2" x14ac:dyDescent="0.3">
      <c r="A5570" s="644"/>
      <c r="B5570" s="645"/>
    </row>
    <row r="5571" spans="1:2" x14ac:dyDescent="0.3">
      <c r="A5571" s="644"/>
      <c r="B5571" s="645"/>
    </row>
    <row r="5572" spans="1:2" x14ac:dyDescent="0.3">
      <c r="A5572" s="644"/>
      <c r="B5572" s="645"/>
    </row>
    <row r="5573" spans="1:2" x14ac:dyDescent="0.3">
      <c r="A5573" s="644"/>
      <c r="B5573" s="645"/>
    </row>
    <row r="5574" spans="1:2" x14ac:dyDescent="0.3">
      <c r="A5574" s="644"/>
      <c r="B5574" s="645"/>
    </row>
    <row r="5575" spans="1:2" x14ac:dyDescent="0.3">
      <c r="A5575" s="644"/>
      <c r="B5575" s="645"/>
    </row>
    <row r="5576" spans="1:2" x14ac:dyDescent="0.3">
      <c r="A5576" s="644"/>
      <c r="B5576" s="645"/>
    </row>
    <row r="5577" spans="1:2" x14ac:dyDescent="0.3">
      <c r="A5577" s="644"/>
      <c r="B5577" s="645"/>
    </row>
    <row r="5578" spans="1:2" x14ac:dyDescent="0.3">
      <c r="A5578" s="644"/>
      <c r="B5578" s="645"/>
    </row>
    <row r="5579" spans="1:2" x14ac:dyDescent="0.3">
      <c r="A5579" s="644"/>
      <c r="B5579" s="645"/>
    </row>
    <row r="5580" spans="1:2" x14ac:dyDescent="0.3">
      <c r="A5580" s="644"/>
      <c r="B5580" s="645"/>
    </row>
    <row r="5581" spans="1:2" x14ac:dyDescent="0.3">
      <c r="A5581" s="644"/>
      <c r="B5581" s="645"/>
    </row>
    <row r="5582" spans="1:2" x14ac:dyDescent="0.3">
      <c r="A5582" s="644"/>
      <c r="B5582" s="645"/>
    </row>
    <row r="5583" spans="1:2" x14ac:dyDescent="0.3">
      <c r="A5583" s="644"/>
      <c r="B5583" s="645"/>
    </row>
    <row r="5584" spans="1:2" x14ac:dyDescent="0.3">
      <c r="A5584" s="644"/>
      <c r="B5584" s="645"/>
    </row>
    <row r="5585" spans="1:2" x14ac:dyDescent="0.3">
      <c r="A5585" s="644"/>
      <c r="B5585" s="645"/>
    </row>
    <row r="5586" spans="1:2" x14ac:dyDescent="0.3">
      <c r="A5586" s="644"/>
      <c r="B5586" s="645"/>
    </row>
    <row r="5587" spans="1:2" x14ac:dyDescent="0.3">
      <c r="A5587" s="644"/>
      <c r="B5587" s="645"/>
    </row>
    <row r="5588" spans="1:2" x14ac:dyDescent="0.3">
      <c r="A5588" s="644"/>
      <c r="B5588" s="645"/>
    </row>
    <row r="5589" spans="1:2" x14ac:dyDescent="0.3">
      <c r="A5589" s="644"/>
      <c r="B5589" s="645"/>
    </row>
    <row r="5590" spans="1:2" x14ac:dyDescent="0.3">
      <c r="A5590" s="644"/>
      <c r="B5590" s="645"/>
    </row>
    <row r="5591" spans="1:2" x14ac:dyDescent="0.3">
      <c r="A5591" s="644"/>
      <c r="B5591" s="645"/>
    </row>
    <row r="5592" spans="1:2" x14ac:dyDescent="0.3">
      <c r="A5592" s="644"/>
      <c r="B5592" s="645"/>
    </row>
    <row r="5593" spans="1:2" x14ac:dyDescent="0.3">
      <c r="A5593" s="644"/>
      <c r="B5593" s="645"/>
    </row>
    <row r="5594" spans="1:2" x14ac:dyDescent="0.3">
      <c r="A5594" s="644"/>
      <c r="B5594" s="645"/>
    </row>
    <row r="5595" spans="1:2" x14ac:dyDescent="0.3">
      <c r="A5595" s="644"/>
      <c r="B5595" s="645"/>
    </row>
    <row r="5596" spans="1:2" x14ac:dyDescent="0.3">
      <c r="A5596" s="644"/>
      <c r="B5596" s="645"/>
    </row>
    <row r="5597" spans="1:2" x14ac:dyDescent="0.3">
      <c r="A5597" s="644"/>
      <c r="B5597" s="645"/>
    </row>
    <row r="5598" spans="1:2" x14ac:dyDescent="0.3">
      <c r="A5598" s="644"/>
      <c r="B5598" s="645"/>
    </row>
    <row r="5599" spans="1:2" x14ac:dyDescent="0.3">
      <c r="A5599" s="644"/>
      <c r="B5599" s="645"/>
    </row>
    <row r="5600" spans="1:2" x14ac:dyDescent="0.3">
      <c r="A5600" s="644"/>
      <c r="B5600" s="645"/>
    </row>
    <row r="5601" spans="1:2" x14ac:dyDescent="0.3">
      <c r="A5601" s="644"/>
      <c r="B5601" s="645"/>
    </row>
    <row r="5602" spans="1:2" x14ac:dyDescent="0.3">
      <c r="A5602" s="644"/>
      <c r="B5602" s="645"/>
    </row>
    <row r="5603" spans="1:2" x14ac:dyDescent="0.3">
      <c r="A5603" s="644"/>
      <c r="B5603" s="645"/>
    </row>
    <row r="5604" spans="1:2" x14ac:dyDescent="0.3">
      <c r="A5604" s="644"/>
      <c r="B5604" s="645"/>
    </row>
    <row r="5605" spans="1:2" x14ac:dyDescent="0.3">
      <c r="A5605" s="644"/>
      <c r="B5605" s="645"/>
    </row>
    <row r="5606" spans="1:2" x14ac:dyDescent="0.3">
      <c r="A5606" s="644"/>
      <c r="B5606" s="645"/>
    </row>
    <row r="5607" spans="1:2" x14ac:dyDescent="0.3">
      <c r="A5607" s="644"/>
      <c r="B5607" s="645"/>
    </row>
    <row r="5608" spans="1:2" x14ac:dyDescent="0.3">
      <c r="A5608" s="644"/>
      <c r="B5608" s="645"/>
    </row>
    <row r="5609" spans="1:2" x14ac:dyDescent="0.3">
      <c r="A5609" s="644"/>
      <c r="B5609" s="645"/>
    </row>
    <row r="5610" spans="1:2" x14ac:dyDescent="0.3">
      <c r="A5610" s="644"/>
      <c r="B5610" s="645"/>
    </row>
    <row r="5611" spans="1:2" x14ac:dyDescent="0.3">
      <c r="A5611" s="644"/>
      <c r="B5611" s="645"/>
    </row>
    <row r="5612" spans="1:2" x14ac:dyDescent="0.3">
      <c r="A5612" s="644"/>
      <c r="B5612" s="645"/>
    </row>
    <row r="5613" spans="1:2" x14ac:dyDescent="0.3">
      <c r="A5613" s="644"/>
      <c r="B5613" s="645"/>
    </row>
    <row r="5614" spans="1:2" x14ac:dyDescent="0.3">
      <c r="A5614" s="644"/>
      <c r="B5614" s="645"/>
    </row>
    <row r="5615" spans="1:2" x14ac:dyDescent="0.3">
      <c r="A5615" s="644"/>
      <c r="B5615" s="645"/>
    </row>
    <row r="5616" spans="1:2" x14ac:dyDescent="0.3">
      <c r="A5616" s="644"/>
      <c r="B5616" s="645"/>
    </row>
    <row r="5617" spans="1:2" x14ac:dyDescent="0.3">
      <c r="A5617" s="644"/>
      <c r="B5617" s="645"/>
    </row>
    <row r="5618" spans="1:2" x14ac:dyDescent="0.3">
      <c r="A5618" s="644"/>
      <c r="B5618" s="645"/>
    </row>
    <row r="5619" spans="1:2" x14ac:dyDescent="0.3">
      <c r="A5619" s="644"/>
      <c r="B5619" s="645"/>
    </row>
    <row r="5620" spans="1:2" x14ac:dyDescent="0.3">
      <c r="A5620" s="644"/>
      <c r="B5620" s="645"/>
    </row>
    <row r="5621" spans="1:2" x14ac:dyDescent="0.3">
      <c r="A5621" s="644"/>
      <c r="B5621" s="645"/>
    </row>
    <row r="5622" spans="1:2" x14ac:dyDescent="0.3">
      <c r="A5622" s="644"/>
      <c r="B5622" s="645"/>
    </row>
    <row r="5623" spans="1:2" x14ac:dyDescent="0.3">
      <c r="A5623" s="644"/>
      <c r="B5623" s="645"/>
    </row>
    <row r="5624" spans="1:2" x14ac:dyDescent="0.3">
      <c r="A5624" s="644"/>
      <c r="B5624" s="645"/>
    </row>
    <row r="5625" spans="1:2" x14ac:dyDescent="0.3">
      <c r="A5625" s="644"/>
      <c r="B5625" s="645"/>
    </row>
    <row r="5626" spans="1:2" x14ac:dyDescent="0.3">
      <c r="A5626" s="644"/>
      <c r="B5626" s="645"/>
    </row>
    <row r="5627" spans="1:2" x14ac:dyDescent="0.3">
      <c r="A5627" s="644"/>
      <c r="B5627" s="645"/>
    </row>
    <row r="5628" spans="1:2" x14ac:dyDescent="0.3">
      <c r="A5628" s="644"/>
      <c r="B5628" s="645"/>
    </row>
    <row r="5629" spans="1:2" x14ac:dyDescent="0.3">
      <c r="A5629" s="644"/>
      <c r="B5629" s="645"/>
    </row>
    <row r="5630" spans="1:2" x14ac:dyDescent="0.3">
      <c r="A5630" s="644"/>
      <c r="B5630" s="645"/>
    </row>
    <row r="5631" spans="1:2" x14ac:dyDescent="0.3">
      <c r="A5631" s="644"/>
      <c r="B5631" s="645"/>
    </row>
    <row r="5632" spans="1:2" x14ac:dyDescent="0.3">
      <c r="A5632" s="644"/>
      <c r="B5632" s="645"/>
    </row>
    <row r="5633" spans="1:2" x14ac:dyDescent="0.3">
      <c r="A5633" s="644"/>
      <c r="B5633" s="645"/>
    </row>
    <row r="5634" spans="1:2" x14ac:dyDescent="0.3">
      <c r="A5634" s="644"/>
      <c r="B5634" s="645"/>
    </row>
    <row r="5635" spans="1:2" x14ac:dyDescent="0.3">
      <c r="A5635" s="644"/>
      <c r="B5635" s="645"/>
    </row>
    <row r="5636" spans="1:2" x14ac:dyDescent="0.3">
      <c r="A5636" s="644"/>
      <c r="B5636" s="645"/>
    </row>
    <row r="5637" spans="1:2" x14ac:dyDescent="0.3">
      <c r="A5637" s="644"/>
      <c r="B5637" s="645"/>
    </row>
    <row r="5638" spans="1:2" x14ac:dyDescent="0.3">
      <c r="A5638" s="644"/>
      <c r="B5638" s="645"/>
    </row>
    <row r="5639" spans="1:2" x14ac:dyDescent="0.3">
      <c r="A5639" s="644"/>
      <c r="B5639" s="645"/>
    </row>
    <row r="5640" spans="1:2" x14ac:dyDescent="0.3">
      <c r="A5640" s="644"/>
      <c r="B5640" s="645"/>
    </row>
    <row r="5641" spans="1:2" x14ac:dyDescent="0.3">
      <c r="A5641" s="644"/>
      <c r="B5641" s="645"/>
    </row>
    <row r="5642" spans="1:2" x14ac:dyDescent="0.3">
      <c r="A5642" s="644"/>
      <c r="B5642" s="645"/>
    </row>
    <row r="5643" spans="1:2" x14ac:dyDescent="0.3">
      <c r="A5643" s="644"/>
      <c r="B5643" s="645"/>
    </row>
    <row r="5644" spans="1:2" x14ac:dyDescent="0.3">
      <c r="A5644" s="644"/>
      <c r="B5644" s="645"/>
    </row>
    <row r="5645" spans="1:2" x14ac:dyDescent="0.3">
      <c r="A5645" s="644"/>
      <c r="B5645" s="645"/>
    </row>
    <row r="5646" spans="1:2" x14ac:dyDescent="0.3">
      <c r="A5646" s="644"/>
      <c r="B5646" s="645"/>
    </row>
    <row r="5647" spans="1:2" x14ac:dyDescent="0.3">
      <c r="A5647" s="644"/>
      <c r="B5647" s="645"/>
    </row>
    <row r="5648" spans="1:2" x14ac:dyDescent="0.3">
      <c r="A5648" s="644"/>
      <c r="B5648" s="645"/>
    </row>
    <row r="5649" spans="1:2" x14ac:dyDescent="0.3">
      <c r="A5649" s="644"/>
      <c r="B5649" s="645"/>
    </row>
    <row r="5650" spans="1:2" x14ac:dyDescent="0.3">
      <c r="A5650" s="644"/>
      <c r="B5650" s="645"/>
    </row>
    <row r="5651" spans="1:2" x14ac:dyDescent="0.3">
      <c r="A5651" s="644"/>
      <c r="B5651" s="645"/>
    </row>
    <row r="5652" spans="1:2" x14ac:dyDescent="0.3">
      <c r="A5652" s="644"/>
      <c r="B5652" s="645"/>
    </row>
    <row r="5653" spans="1:2" x14ac:dyDescent="0.3">
      <c r="A5653" s="644"/>
      <c r="B5653" s="645"/>
    </row>
    <row r="5654" spans="1:2" x14ac:dyDescent="0.3">
      <c r="A5654" s="644"/>
      <c r="B5654" s="645"/>
    </row>
    <row r="5655" spans="1:2" x14ac:dyDescent="0.3">
      <c r="A5655" s="644"/>
      <c r="B5655" s="645"/>
    </row>
    <row r="5656" spans="1:2" x14ac:dyDescent="0.3">
      <c r="A5656" s="644"/>
      <c r="B5656" s="645"/>
    </row>
    <row r="5657" spans="1:2" x14ac:dyDescent="0.3">
      <c r="A5657" s="644"/>
      <c r="B5657" s="645"/>
    </row>
    <row r="5658" spans="1:2" x14ac:dyDescent="0.3">
      <c r="A5658" s="644"/>
      <c r="B5658" s="645"/>
    </row>
    <row r="5659" spans="1:2" x14ac:dyDescent="0.3">
      <c r="A5659" s="644"/>
      <c r="B5659" s="645"/>
    </row>
    <row r="5660" spans="1:2" x14ac:dyDescent="0.3">
      <c r="A5660" s="644"/>
      <c r="B5660" s="645"/>
    </row>
    <row r="5661" spans="1:2" x14ac:dyDescent="0.3">
      <c r="A5661" s="644"/>
      <c r="B5661" s="645"/>
    </row>
    <row r="5662" spans="1:2" x14ac:dyDescent="0.3">
      <c r="A5662" s="644"/>
      <c r="B5662" s="645"/>
    </row>
    <row r="5663" spans="1:2" x14ac:dyDescent="0.3">
      <c r="A5663" s="644"/>
      <c r="B5663" s="645"/>
    </row>
    <row r="5664" spans="1:2" x14ac:dyDescent="0.3">
      <c r="A5664" s="644"/>
      <c r="B5664" s="645"/>
    </row>
    <row r="5665" spans="1:2" x14ac:dyDescent="0.3">
      <c r="A5665" s="644"/>
      <c r="B5665" s="645"/>
    </row>
    <row r="5666" spans="1:2" x14ac:dyDescent="0.3">
      <c r="A5666" s="644"/>
      <c r="B5666" s="645"/>
    </row>
    <row r="5667" spans="1:2" x14ac:dyDescent="0.3">
      <c r="A5667" s="644"/>
      <c r="B5667" s="645"/>
    </row>
    <row r="5668" spans="1:2" x14ac:dyDescent="0.3">
      <c r="A5668" s="644"/>
      <c r="B5668" s="645"/>
    </row>
    <row r="5669" spans="1:2" x14ac:dyDescent="0.3">
      <c r="A5669" s="644"/>
      <c r="B5669" s="645"/>
    </row>
    <row r="5670" spans="1:2" x14ac:dyDescent="0.3">
      <c r="A5670" s="644"/>
      <c r="B5670" s="645"/>
    </row>
    <row r="5671" spans="1:2" x14ac:dyDescent="0.3">
      <c r="A5671" s="644"/>
      <c r="B5671" s="645"/>
    </row>
    <row r="5672" spans="1:2" x14ac:dyDescent="0.3">
      <c r="A5672" s="644"/>
      <c r="B5672" s="645"/>
    </row>
    <row r="5673" spans="1:2" x14ac:dyDescent="0.3">
      <c r="A5673" s="644"/>
      <c r="B5673" s="645"/>
    </row>
    <row r="5674" spans="1:2" x14ac:dyDescent="0.3">
      <c r="A5674" s="644"/>
      <c r="B5674" s="645"/>
    </row>
    <row r="5675" spans="1:2" x14ac:dyDescent="0.3">
      <c r="A5675" s="644"/>
      <c r="B5675" s="645"/>
    </row>
    <row r="5676" spans="1:2" x14ac:dyDescent="0.3">
      <c r="A5676" s="644"/>
      <c r="B5676" s="645"/>
    </row>
    <row r="5677" spans="1:2" x14ac:dyDescent="0.3">
      <c r="A5677" s="644"/>
      <c r="B5677" s="645"/>
    </row>
    <row r="5678" spans="1:2" x14ac:dyDescent="0.3">
      <c r="A5678" s="644"/>
      <c r="B5678" s="645"/>
    </row>
    <row r="5679" spans="1:2" x14ac:dyDescent="0.3">
      <c r="A5679" s="644"/>
      <c r="B5679" s="645"/>
    </row>
    <row r="5680" spans="1:2" x14ac:dyDescent="0.3">
      <c r="A5680" s="644"/>
      <c r="B5680" s="645"/>
    </row>
    <row r="5681" spans="1:2" x14ac:dyDescent="0.3">
      <c r="A5681" s="644"/>
      <c r="B5681" s="645"/>
    </row>
    <row r="5682" spans="1:2" x14ac:dyDescent="0.3">
      <c r="A5682" s="644"/>
      <c r="B5682" s="645"/>
    </row>
    <row r="5683" spans="1:2" x14ac:dyDescent="0.3">
      <c r="A5683" s="644"/>
      <c r="B5683" s="645"/>
    </row>
    <row r="5684" spans="1:2" x14ac:dyDescent="0.3">
      <c r="A5684" s="644"/>
      <c r="B5684" s="645"/>
    </row>
    <row r="5685" spans="1:2" x14ac:dyDescent="0.3">
      <c r="A5685" s="644"/>
      <c r="B5685" s="645"/>
    </row>
    <row r="5686" spans="1:2" x14ac:dyDescent="0.3">
      <c r="A5686" s="644"/>
      <c r="B5686" s="645"/>
    </row>
    <row r="5687" spans="1:2" x14ac:dyDescent="0.3">
      <c r="A5687" s="644"/>
      <c r="B5687" s="645"/>
    </row>
    <row r="5688" spans="1:2" x14ac:dyDescent="0.3">
      <c r="A5688" s="644"/>
      <c r="B5688" s="645"/>
    </row>
    <row r="5689" spans="1:2" x14ac:dyDescent="0.3">
      <c r="A5689" s="644"/>
      <c r="B5689" s="645"/>
    </row>
    <row r="5690" spans="1:2" x14ac:dyDescent="0.3">
      <c r="A5690" s="644"/>
      <c r="B5690" s="645"/>
    </row>
    <row r="5691" spans="1:2" x14ac:dyDescent="0.3">
      <c r="A5691" s="644"/>
      <c r="B5691" s="645"/>
    </row>
    <row r="5692" spans="1:2" x14ac:dyDescent="0.3">
      <c r="A5692" s="644"/>
      <c r="B5692" s="645"/>
    </row>
    <row r="5693" spans="1:2" x14ac:dyDescent="0.3">
      <c r="A5693" s="644"/>
      <c r="B5693" s="645"/>
    </row>
    <row r="5694" spans="1:2" x14ac:dyDescent="0.3">
      <c r="A5694" s="644"/>
      <c r="B5694" s="645"/>
    </row>
    <row r="5695" spans="1:2" x14ac:dyDescent="0.3">
      <c r="A5695" s="644"/>
      <c r="B5695" s="645"/>
    </row>
    <row r="5696" spans="1:2" x14ac:dyDescent="0.3">
      <c r="A5696" s="644"/>
      <c r="B5696" s="645"/>
    </row>
    <row r="5697" spans="1:2" x14ac:dyDescent="0.3">
      <c r="A5697" s="644"/>
      <c r="B5697" s="645"/>
    </row>
    <row r="5698" spans="1:2" x14ac:dyDescent="0.3">
      <c r="A5698" s="644"/>
      <c r="B5698" s="645"/>
    </row>
    <row r="5699" spans="1:2" x14ac:dyDescent="0.3">
      <c r="A5699" s="644"/>
      <c r="B5699" s="645"/>
    </row>
    <row r="5700" spans="1:2" x14ac:dyDescent="0.3">
      <c r="A5700" s="644"/>
      <c r="B5700" s="645"/>
    </row>
    <row r="5701" spans="1:2" x14ac:dyDescent="0.3">
      <c r="A5701" s="644"/>
      <c r="B5701" s="645"/>
    </row>
    <row r="5702" spans="1:2" x14ac:dyDescent="0.3">
      <c r="A5702" s="644"/>
      <c r="B5702" s="645"/>
    </row>
    <row r="5703" spans="1:2" x14ac:dyDescent="0.3">
      <c r="A5703" s="644"/>
      <c r="B5703" s="645"/>
    </row>
    <row r="5704" spans="1:2" x14ac:dyDescent="0.3">
      <c r="A5704" s="644"/>
      <c r="B5704" s="645"/>
    </row>
    <row r="5705" spans="1:2" x14ac:dyDescent="0.3">
      <c r="A5705" s="644"/>
      <c r="B5705" s="645"/>
    </row>
    <row r="5706" spans="1:2" x14ac:dyDescent="0.3">
      <c r="A5706" s="644"/>
      <c r="B5706" s="645"/>
    </row>
    <row r="5707" spans="1:2" x14ac:dyDescent="0.3">
      <c r="A5707" s="644"/>
      <c r="B5707" s="645"/>
    </row>
    <row r="5708" spans="1:2" x14ac:dyDescent="0.3">
      <c r="A5708" s="644"/>
      <c r="B5708" s="645"/>
    </row>
    <row r="5709" spans="1:2" x14ac:dyDescent="0.3">
      <c r="A5709" s="644"/>
      <c r="B5709" s="645"/>
    </row>
    <row r="5710" spans="1:2" x14ac:dyDescent="0.3">
      <c r="A5710" s="644"/>
      <c r="B5710" s="645"/>
    </row>
    <row r="5711" spans="1:2" x14ac:dyDescent="0.3">
      <c r="A5711" s="644"/>
      <c r="B5711" s="645"/>
    </row>
    <row r="5712" spans="1:2" x14ac:dyDescent="0.3">
      <c r="A5712" s="644"/>
      <c r="B5712" s="645"/>
    </row>
    <row r="5713" spans="1:2" x14ac:dyDescent="0.3">
      <c r="A5713" s="644"/>
      <c r="B5713" s="645"/>
    </row>
    <row r="5714" spans="1:2" x14ac:dyDescent="0.3">
      <c r="A5714" s="644"/>
      <c r="B5714" s="645"/>
    </row>
    <row r="5715" spans="1:2" x14ac:dyDescent="0.3">
      <c r="A5715" s="644"/>
      <c r="B5715" s="645"/>
    </row>
    <row r="5716" spans="1:2" x14ac:dyDescent="0.3">
      <c r="A5716" s="644"/>
      <c r="B5716" s="645"/>
    </row>
    <row r="5717" spans="1:2" x14ac:dyDescent="0.3">
      <c r="A5717" s="644"/>
      <c r="B5717" s="645"/>
    </row>
    <row r="5718" spans="1:2" x14ac:dyDescent="0.3">
      <c r="A5718" s="644"/>
      <c r="B5718" s="645"/>
    </row>
    <row r="5719" spans="1:2" x14ac:dyDescent="0.3">
      <c r="A5719" s="644"/>
      <c r="B5719" s="645"/>
    </row>
    <row r="5720" spans="1:2" x14ac:dyDescent="0.3">
      <c r="A5720" s="644"/>
      <c r="B5720" s="645"/>
    </row>
    <row r="5721" spans="1:2" x14ac:dyDescent="0.3">
      <c r="A5721" s="644"/>
      <c r="B5721" s="645"/>
    </row>
    <row r="5722" spans="1:2" x14ac:dyDescent="0.3">
      <c r="A5722" s="644"/>
      <c r="B5722" s="645"/>
    </row>
    <row r="5723" spans="1:2" x14ac:dyDescent="0.3">
      <c r="A5723" s="644"/>
      <c r="B5723" s="645"/>
    </row>
    <row r="5724" spans="1:2" x14ac:dyDescent="0.3">
      <c r="A5724" s="644"/>
      <c r="B5724" s="645"/>
    </row>
    <row r="5725" spans="1:2" x14ac:dyDescent="0.3">
      <c r="A5725" s="644"/>
      <c r="B5725" s="645"/>
    </row>
    <row r="5726" spans="1:2" x14ac:dyDescent="0.3">
      <c r="A5726" s="644"/>
      <c r="B5726" s="645"/>
    </row>
    <row r="5727" spans="1:2" x14ac:dyDescent="0.3">
      <c r="A5727" s="644"/>
      <c r="B5727" s="645"/>
    </row>
    <row r="5728" spans="1:2" x14ac:dyDescent="0.3">
      <c r="A5728" s="644"/>
      <c r="B5728" s="645"/>
    </row>
    <row r="5729" spans="1:2" x14ac:dyDescent="0.3">
      <c r="A5729" s="644"/>
      <c r="B5729" s="645"/>
    </row>
    <row r="5730" spans="1:2" x14ac:dyDescent="0.3">
      <c r="A5730" s="644"/>
      <c r="B5730" s="645"/>
    </row>
    <row r="5731" spans="1:2" x14ac:dyDescent="0.3">
      <c r="A5731" s="644"/>
      <c r="B5731" s="645"/>
    </row>
    <row r="5732" spans="1:2" x14ac:dyDescent="0.3">
      <c r="A5732" s="644"/>
      <c r="B5732" s="645"/>
    </row>
    <row r="5733" spans="1:2" x14ac:dyDescent="0.3">
      <c r="A5733" s="644"/>
      <c r="B5733" s="645"/>
    </row>
    <row r="5734" spans="1:2" x14ac:dyDescent="0.3">
      <c r="A5734" s="644"/>
      <c r="B5734" s="645"/>
    </row>
    <row r="5735" spans="1:2" x14ac:dyDescent="0.3">
      <c r="A5735" s="644"/>
      <c r="B5735" s="645"/>
    </row>
    <row r="5736" spans="1:2" x14ac:dyDescent="0.3">
      <c r="A5736" s="644"/>
      <c r="B5736" s="645"/>
    </row>
    <row r="5737" spans="1:2" x14ac:dyDescent="0.3">
      <c r="A5737" s="644"/>
      <c r="B5737" s="645"/>
    </row>
    <row r="5738" spans="1:2" x14ac:dyDescent="0.3">
      <c r="A5738" s="644"/>
      <c r="B5738" s="645"/>
    </row>
    <row r="5739" spans="1:2" x14ac:dyDescent="0.3">
      <c r="A5739" s="644"/>
      <c r="B5739" s="645"/>
    </row>
    <row r="5740" spans="1:2" x14ac:dyDescent="0.3">
      <c r="A5740" s="644"/>
      <c r="B5740" s="645"/>
    </row>
    <row r="5741" spans="1:2" x14ac:dyDescent="0.3">
      <c r="A5741" s="644"/>
      <c r="B5741" s="645"/>
    </row>
    <row r="5742" spans="1:2" x14ac:dyDescent="0.3">
      <c r="A5742" s="644"/>
      <c r="B5742" s="645"/>
    </row>
    <row r="5743" spans="1:2" x14ac:dyDescent="0.3">
      <c r="A5743" s="644"/>
      <c r="B5743" s="645"/>
    </row>
    <row r="5744" spans="1:2" x14ac:dyDescent="0.3">
      <c r="A5744" s="644"/>
      <c r="B5744" s="645"/>
    </row>
    <row r="5745" spans="1:2" x14ac:dyDescent="0.3">
      <c r="A5745" s="644"/>
      <c r="B5745" s="645"/>
    </row>
    <row r="5746" spans="1:2" x14ac:dyDescent="0.3">
      <c r="A5746" s="644"/>
      <c r="B5746" s="645"/>
    </row>
    <row r="5747" spans="1:2" x14ac:dyDescent="0.3">
      <c r="A5747" s="644"/>
      <c r="B5747" s="645"/>
    </row>
    <row r="5748" spans="1:2" x14ac:dyDescent="0.3">
      <c r="A5748" s="644"/>
      <c r="B5748" s="645"/>
    </row>
    <row r="5749" spans="1:2" x14ac:dyDescent="0.3">
      <c r="A5749" s="644"/>
      <c r="B5749" s="645"/>
    </row>
    <row r="5750" spans="1:2" x14ac:dyDescent="0.3">
      <c r="A5750" s="644"/>
      <c r="B5750" s="645"/>
    </row>
    <row r="5751" spans="1:2" x14ac:dyDescent="0.3">
      <c r="A5751" s="644"/>
      <c r="B5751" s="645"/>
    </row>
    <row r="5752" spans="1:2" x14ac:dyDescent="0.3">
      <c r="A5752" s="644"/>
      <c r="B5752" s="645"/>
    </row>
    <row r="5753" spans="1:2" x14ac:dyDescent="0.3">
      <c r="A5753" s="644"/>
      <c r="B5753" s="645"/>
    </row>
    <row r="5754" spans="1:2" x14ac:dyDescent="0.3">
      <c r="A5754" s="644"/>
      <c r="B5754" s="645"/>
    </row>
    <row r="5755" spans="1:2" x14ac:dyDescent="0.3">
      <c r="A5755" s="644"/>
      <c r="B5755" s="645"/>
    </row>
    <row r="5756" spans="1:2" x14ac:dyDescent="0.3">
      <c r="A5756" s="644"/>
      <c r="B5756" s="645"/>
    </row>
    <row r="5757" spans="1:2" x14ac:dyDescent="0.3">
      <c r="A5757" s="644"/>
      <c r="B5757" s="645"/>
    </row>
    <row r="5758" spans="1:2" x14ac:dyDescent="0.3">
      <c r="A5758" s="644"/>
      <c r="B5758" s="645"/>
    </row>
    <row r="5759" spans="1:2" x14ac:dyDescent="0.3">
      <c r="A5759" s="644"/>
      <c r="B5759" s="645"/>
    </row>
    <row r="5760" spans="1:2" x14ac:dyDescent="0.3">
      <c r="A5760" s="644"/>
      <c r="B5760" s="645"/>
    </row>
    <row r="5761" spans="1:2" x14ac:dyDescent="0.3">
      <c r="A5761" s="644"/>
      <c r="B5761" s="645"/>
    </row>
    <row r="5762" spans="1:2" x14ac:dyDescent="0.3">
      <c r="A5762" s="644"/>
      <c r="B5762" s="645"/>
    </row>
    <row r="5763" spans="1:2" x14ac:dyDescent="0.3">
      <c r="A5763" s="644"/>
      <c r="B5763" s="645"/>
    </row>
    <row r="5764" spans="1:2" x14ac:dyDescent="0.3">
      <c r="A5764" s="644"/>
      <c r="B5764" s="645"/>
    </row>
    <row r="5765" spans="1:2" x14ac:dyDescent="0.3">
      <c r="A5765" s="644"/>
      <c r="B5765" s="645"/>
    </row>
    <row r="5766" spans="1:2" x14ac:dyDescent="0.3">
      <c r="A5766" s="644"/>
      <c r="B5766" s="645"/>
    </row>
    <row r="5767" spans="1:2" x14ac:dyDescent="0.3">
      <c r="A5767" s="644"/>
      <c r="B5767" s="645"/>
    </row>
    <row r="5768" spans="1:2" x14ac:dyDescent="0.3">
      <c r="A5768" s="644"/>
      <c r="B5768" s="645"/>
    </row>
    <row r="5769" spans="1:2" x14ac:dyDescent="0.3">
      <c r="A5769" s="644"/>
      <c r="B5769" s="645"/>
    </row>
    <row r="5770" spans="1:2" x14ac:dyDescent="0.3">
      <c r="A5770" s="644"/>
      <c r="B5770" s="645"/>
    </row>
    <row r="5771" spans="1:2" x14ac:dyDescent="0.3">
      <c r="A5771" s="644"/>
      <c r="B5771" s="645"/>
    </row>
    <row r="5772" spans="1:2" x14ac:dyDescent="0.3">
      <c r="A5772" s="644"/>
      <c r="B5772" s="645"/>
    </row>
    <row r="5773" spans="1:2" x14ac:dyDescent="0.3">
      <c r="A5773" s="644"/>
      <c r="B5773" s="645"/>
    </row>
    <row r="5774" spans="1:2" x14ac:dyDescent="0.3">
      <c r="A5774" s="644"/>
      <c r="B5774" s="645"/>
    </row>
    <row r="5775" spans="1:2" x14ac:dyDescent="0.3">
      <c r="A5775" s="644"/>
      <c r="B5775" s="645"/>
    </row>
    <row r="5776" spans="1:2" x14ac:dyDescent="0.3">
      <c r="A5776" s="644"/>
      <c r="B5776" s="645"/>
    </row>
    <row r="5777" spans="1:2" x14ac:dyDescent="0.3">
      <c r="A5777" s="644"/>
      <c r="B5777" s="645"/>
    </row>
    <row r="5778" spans="1:2" x14ac:dyDescent="0.3">
      <c r="A5778" s="644"/>
      <c r="B5778" s="645"/>
    </row>
    <row r="5779" spans="1:2" x14ac:dyDescent="0.3">
      <c r="A5779" s="644"/>
      <c r="B5779" s="645"/>
    </row>
    <row r="5780" spans="1:2" x14ac:dyDescent="0.3">
      <c r="A5780" s="644"/>
      <c r="B5780" s="645"/>
    </row>
    <row r="5781" spans="1:2" x14ac:dyDescent="0.3">
      <c r="A5781" s="644"/>
      <c r="B5781" s="645"/>
    </row>
    <row r="5782" spans="1:2" x14ac:dyDescent="0.3">
      <c r="A5782" s="644"/>
      <c r="B5782" s="645"/>
    </row>
    <row r="5783" spans="1:2" x14ac:dyDescent="0.3">
      <c r="A5783" s="644"/>
      <c r="B5783" s="645"/>
    </row>
    <row r="5784" spans="1:2" x14ac:dyDescent="0.3">
      <c r="A5784" s="644"/>
      <c r="B5784" s="645"/>
    </row>
    <row r="5785" spans="1:2" x14ac:dyDescent="0.3">
      <c r="A5785" s="644"/>
      <c r="B5785" s="645"/>
    </row>
    <row r="5786" spans="1:2" x14ac:dyDescent="0.3">
      <c r="A5786" s="644"/>
      <c r="B5786" s="645"/>
    </row>
    <row r="5787" spans="1:2" x14ac:dyDescent="0.3">
      <c r="A5787" s="644"/>
      <c r="B5787" s="645"/>
    </row>
    <row r="5788" spans="1:2" x14ac:dyDescent="0.3">
      <c r="A5788" s="644"/>
      <c r="B5788" s="645"/>
    </row>
    <row r="5789" spans="1:2" x14ac:dyDescent="0.3">
      <c r="A5789" s="644"/>
      <c r="B5789" s="645"/>
    </row>
    <row r="5790" spans="1:2" x14ac:dyDescent="0.3">
      <c r="A5790" s="644"/>
      <c r="B5790" s="645"/>
    </row>
    <row r="5791" spans="1:2" x14ac:dyDescent="0.3">
      <c r="A5791" s="644"/>
      <c r="B5791" s="645"/>
    </row>
    <row r="5792" spans="1:2" x14ac:dyDescent="0.3">
      <c r="A5792" s="644"/>
      <c r="B5792" s="645"/>
    </row>
    <row r="5793" spans="1:2" x14ac:dyDescent="0.3">
      <c r="A5793" s="644"/>
      <c r="B5793" s="645"/>
    </row>
    <row r="5794" spans="1:2" x14ac:dyDescent="0.3">
      <c r="A5794" s="644"/>
      <c r="B5794" s="645"/>
    </row>
    <row r="5795" spans="1:2" x14ac:dyDescent="0.3">
      <c r="A5795" s="644"/>
      <c r="B5795" s="645"/>
    </row>
    <row r="5796" spans="1:2" x14ac:dyDescent="0.3">
      <c r="A5796" s="644"/>
      <c r="B5796" s="645"/>
    </row>
    <row r="5797" spans="1:2" x14ac:dyDescent="0.3">
      <c r="A5797" s="644"/>
      <c r="B5797" s="645"/>
    </row>
    <row r="5798" spans="1:2" x14ac:dyDescent="0.3">
      <c r="A5798" s="644"/>
      <c r="B5798" s="645"/>
    </row>
    <row r="5799" spans="1:2" x14ac:dyDescent="0.3">
      <c r="A5799" s="644"/>
      <c r="B5799" s="645"/>
    </row>
    <row r="5800" spans="1:2" x14ac:dyDescent="0.3">
      <c r="A5800" s="644"/>
      <c r="B5800" s="645"/>
    </row>
    <row r="5801" spans="1:2" x14ac:dyDescent="0.3">
      <c r="A5801" s="644"/>
      <c r="B5801" s="645"/>
    </row>
    <row r="5802" spans="1:2" x14ac:dyDescent="0.3">
      <c r="A5802" s="644"/>
      <c r="B5802" s="645"/>
    </row>
    <row r="5803" spans="1:2" x14ac:dyDescent="0.3">
      <c r="A5803" s="644"/>
      <c r="B5803" s="645"/>
    </row>
    <row r="5804" spans="1:2" x14ac:dyDescent="0.3">
      <c r="A5804" s="644"/>
      <c r="B5804" s="645"/>
    </row>
    <row r="5805" spans="1:2" x14ac:dyDescent="0.3">
      <c r="A5805" s="644"/>
      <c r="B5805" s="645"/>
    </row>
    <row r="5806" spans="1:2" x14ac:dyDescent="0.3">
      <c r="A5806" s="644"/>
      <c r="B5806" s="645"/>
    </row>
    <row r="5807" spans="1:2" x14ac:dyDescent="0.3">
      <c r="A5807" s="644"/>
      <c r="B5807" s="645"/>
    </row>
    <row r="5808" spans="1:2" x14ac:dyDescent="0.3">
      <c r="A5808" s="644"/>
      <c r="B5808" s="645"/>
    </row>
    <row r="5809" spans="1:2" x14ac:dyDescent="0.3">
      <c r="A5809" s="644"/>
      <c r="B5809" s="645"/>
    </row>
    <row r="5810" spans="1:2" x14ac:dyDescent="0.3">
      <c r="A5810" s="644"/>
      <c r="B5810" s="645"/>
    </row>
    <row r="5811" spans="1:2" x14ac:dyDescent="0.3">
      <c r="A5811" s="644"/>
      <c r="B5811" s="645"/>
    </row>
    <row r="5812" spans="1:2" x14ac:dyDescent="0.3">
      <c r="A5812" s="644"/>
      <c r="B5812" s="645"/>
    </row>
    <row r="5813" spans="1:2" x14ac:dyDescent="0.3">
      <c r="A5813" s="644"/>
      <c r="B5813" s="645"/>
    </row>
    <row r="5814" spans="1:2" x14ac:dyDescent="0.3">
      <c r="A5814" s="644"/>
      <c r="B5814" s="645"/>
    </row>
    <row r="5815" spans="1:2" x14ac:dyDescent="0.3">
      <c r="A5815" s="644"/>
      <c r="B5815" s="645"/>
    </row>
    <row r="5816" spans="1:2" x14ac:dyDescent="0.3">
      <c r="A5816" s="644"/>
      <c r="B5816" s="645"/>
    </row>
    <row r="5817" spans="1:2" x14ac:dyDescent="0.3">
      <c r="A5817" s="644"/>
      <c r="B5817" s="645"/>
    </row>
    <row r="5818" spans="1:2" x14ac:dyDescent="0.3">
      <c r="A5818" s="644"/>
      <c r="B5818" s="645"/>
    </row>
    <row r="5819" spans="1:2" x14ac:dyDescent="0.3">
      <c r="A5819" s="644"/>
      <c r="B5819" s="645"/>
    </row>
    <row r="5820" spans="1:2" x14ac:dyDescent="0.3">
      <c r="A5820" s="644"/>
      <c r="B5820" s="645"/>
    </row>
    <row r="5821" spans="1:2" x14ac:dyDescent="0.3">
      <c r="A5821" s="644"/>
      <c r="B5821" s="645"/>
    </row>
    <row r="5822" spans="1:2" x14ac:dyDescent="0.3">
      <c r="A5822" s="644"/>
      <c r="B5822" s="645"/>
    </row>
    <row r="5823" spans="1:2" x14ac:dyDescent="0.3">
      <c r="A5823" s="644"/>
      <c r="B5823" s="645"/>
    </row>
    <row r="5824" spans="1:2" x14ac:dyDescent="0.3">
      <c r="A5824" s="644"/>
      <c r="B5824" s="645"/>
    </row>
    <row r="5825" spans="1:2" x14ac:dyDescent="0.3">
      <c r="A5825" s="644"/>
      <c r="B5825" s="645"/>
    </row>
    <row r="5826" spans="1:2" x14ac:dyDescent="0.3">
      <c r="A5826" s="644"/>
      <c r="B5826" s="645"/>
    </row>
    <row r="5827" spans="1:2" x14ac:dyDescent="0.3">
      <c r="A5827" s="644"/>
      <c r="B5827" s="645"/>
    </row>
    <row r="5828" spans="1:2" x14ac:dyDescent="0.3">
      <c r="A5828" s="644"/>
      <c r="B5828" s="645"/>
    </row>
    <row r="5829" spans="1:2" x14ac:dyDescent="0.3">
      <c r="A5829" s="644"/>
      <c r="B5829" s="645"/>
    </row>
    <row r="5830" spans="1:2" x14ac:dyDescent="0.3">
      <c r="A5830" s="644"/>
      <c r="B5830" s="645"/>
    </row>
    <row r="5831" spans="1:2" x14ac:dyDescent="0.3">
      <c r="A5831" s="644"/>
      <c r="B5831" s="645"/>
    </row>
    <row r="5832" spans="1:2" x14ac:dyDescent="0.3">
      <c r="A5832" s="644"/>
      <c r="B5832" s="645"/>
    </row>
    <row r="5833" spans="1:2" x14ac:dyDescent="0.3">
      <c r="A5833" s="644"/>
      <c r="B5833" s="645"/>
    </row>
    <row r="5834" spans="1:2" x14ac:dyDescent="0.3">
      <c r="A5834" s="644"/>
      <c r="B5834" s="645"/>
    </row>
    <row r="5835" spans="1:2" x14ac:dyDescent="0.3">
      <c r="A5835" s="644"/>
      <c r="B5835" s="645"/>
    </row>
    <row r="5836" spans="1:2" x14ac:dyDescent="0.3">
      <c r="A5836" s="644"/>
      <c r="B5836" s="645"/>
    </row>
    <row r="5837" spans="1:2" x14ac:dyDescent="0.3">
      <c r="A5837" s="644"/>
      <c r="B5837" s="645"/>
    </row>
    <row r="5838" spans="1:2" x14ac:dyDescent="0.3">
      <c r="A5838" s="644"/>
      <c r="B5838" s="645"/>
    </row>
    <row r="5839" spans="1:2" x14ac:dyDescent="0.3">
      <c r="A5839" s="644"/>
      <c r="B5839" s="645"/>
    </row>
    <row r="5840" spans="1:2" x14ac:dyDescent="0.3">
      <c r="A5840" s="644"/>
      <c r="B5840" s="645"/>
    </row>
    <row r="5841" spans="1:2" x14ac:dyDescent="0.3">
      <c r="A5841" s="644"/>
      <c r="B5841" s="645"/>
    </row>
    <row r="5842" spans="1:2" x14ac:dyDescent="0.3">
      <c r="A5842" s="644"/>
      <c r="B5842" s="645"/>
    </row>
    <row r="5843" spans="1:2" x14ac:dyDescent="0.3">
      <c r="A5843" s="644"/>
      <c r="B5843" s="645"/>
    </row>
    <row r="5844" spans="1:2" x14ac:dyDescent="0.3">
      <c r="A5844" s="644"/>
      <c r="B5844" s="645"/>
    </row>
    <row r="5845" spans="1:2" x14ac:dyDescent="0.3">
      <c r="A5845" s="644"/>
      <c r="B5845" s="645"/>
    </row>
    <row r="5846" spans="1:2" x14ac:dyDescent="0.3">
      <c r="A5846" s="644"/>
      <c r="B5846" s="645"/>
    </row>
    <row r="5847" spans="1:2" x14ac:dyDescent="0.3">
      <c r="A5847" s="644"/>
      <c r="B5847" s="645"/>
    </row>
    <row r="5848" spans="1:2" x14ac:dyDescent="0.3">
      <c r="A5848" s="644"/>
      <c r="B5848" s="645"/>
    </row>
    <row r="5849" spans="1:2" x14ac:dyDescent="0.3">
      <c r="A5849" s="644"/>
      <c r="B5849" s="645"/>
    </row>
    <row r="5850" spans="1:2" x14ac:dyDescent="0.3">
      <c r="A5850" s="644"/>
      <c r="B5850" s="645"/>
    </row>
    <row r="5851" spans="1:2" x14ac:dyDescent="0.3">
      <c r="A5851" s="644"/>
      <c r="B5851" s="645"/>
    </row>
    <row r="5852" spans="1:2" x14ac:dyDescent="0.3">
      <c r="A5852" s="644"/>
      <c r="B5852" s="645"/>
    </row>
    <row r="5853" spans="1:2" x14ac:dyDescent="0.3">
      <c r="A5853" s="644"/>
      <c r="B5853" s="645"/>
    </row>
    <row r="5854" spans="1:2" x14ac:dyDescent="0.3">
      <c r="A5854" s="644"/>
      <c r="B5854" s="645"/>
    </row>
    <row r="5855" spans="1:2" x14ac:dyDescent="0.3">
      <c r="A5855" s="644"/>
      <c r="B5855" s="645"/>
    </row>
    <row r="5856" spans="1:2" x14ac:dyDescent="0.3">
      <c r="A5856" s="644"/>
      <c r="B5856" s="645"/>
    </row>
    <row r="5857" spans="1:2" x14ac:dyDescent="0.3">
      <c r="A5857" s="644"/>
      <c r="B5857" s="645"/>
    </row>
    <row r="5858" spans="1:2" x14ac:dyDescent="0.3">
      <c r="A5858" s="644"/>
      <c r="B5858" s="645"/>
    </row>
    <row r="5859" spans="1:2" x14ac:dyDescent="0.3">
      <c r="A5859" s="644"/>
      <c r="B5859" s="645"/>
    </row>
    <row r="5860" spans="1:2" x14ac:dyDescent="0.3">
      <c r="A5860" s="644"/>
      <c r="B5860" s="645"/>
    </row>
    <row r="5861" spans="1:2" x14ac:dyDescent="0.3">
      <c r="A5861" s="644"/>
      <c r="B5861" s="645"/>
    </row>
    <row r="5862" spans="1:2" x14ac:dyDescent="0.3">
      <c r="A5862" s="644"/>
      <c r="B5862" s="645"/>
    </row>
    <row r="5863" spans="1:2" x14ac:dyDescent="0.3">
      <c r="A5863" s="644"/>
      <c r="B5863" s="645"/>
    </row>
    <row r="5864" spans="1:2" x14ac:dyDescent="0.3">
      <c r="A5864" s="644"/>
      <c r="B5864" s="645"/>
    </row>
    <row r="5865" spans="1:2" x14ac:dyDescent="0.3">
      <c r="A5865" s="644"/>
      <c r="B5865" s="645"/>
    </row>
    <row r="5866" spans="1:2" x14ac:dyDescent="0.3">
      <c r="A5866" s="644"/>
      <c r="B5866" s="645"/>
    </row>
    <row r="5867" spans="1:2" x14ac:dyDescent="0.3">
      <c r="A5867" s="644"/>
      <c r="B5867" s="645"/>
    </row>
    <row r="5868" spans="1:2" x14ac:dyDescent="0.3">
      <c r="A5868" s="644"/>
      <c r="B5868" s="645"/>
    </row>
    <row r="5869" spans="1:2" x14ac:dyDescent="0.3">
      <c r="A5869" s="644"/>
      <c r="B5869" s="645"/>
    </row>
    <row r="5870" spans="1:2" x14ac:dyDescent="0.3">
      <c r="A5870" s="644"/>
      <c r="B5870" s="645"/>
    </row>
    <row r="5871" spans="1:2" x14ac:dyDescent="0.3">
      <c r="A5871" s="644"/>
      <c r="B5871" s="645"/>
    </row>
    <row r="5872" spans="1:2" x14ac:dyDescent="0.3">
      <c r="A5872" s="644"/>
      <c r="B5872" s="645"/>
    </row>
    <row r="5873" spans="1:2" x14ac:dyDescent="0.3">
      <c r="A5873" s="644"/>
      <c r="B5873" s="645"/>
    </row>
    <row r="5874" spans="1:2" x14ac:dyDescent="0.3">
      <c r="A5874" s="644"/>
      <c r="B5874" s="645"/>
    </row>
    <row r="5875" spans="1:2" x14ac:dyDescent="0.3">
      <c r="A5875" s="644"/>
      <c r="B5875" s="645"/>
    </row>
    <row r="5876" spans="1:2" x14ac:dyDescent="0.3">
      <c r="A5876" s="644"/>
      <c r="B5876" s="645"/>
    </row>
    <row r="5877" spans="1:2" x14ac:dyDescent="0.3">
      <c r="A5877" s="644"/>
      <c r="B5877" s="645"/>
    </row>
    <row r="5878" spans="1:2" x14ac:dyDescent="0.3">
      <c r="A5878" s="644"/>
      <c r="B5878" s="645"/>
    </row>
    <row r="5879" spans="1:2" x14ac:dyDescent="0.3">
      <c r="A5879" s="644"/>
      <c r="B5879" s="645"/>
    </row>
    <row r="5880" spans="1:2" x14ac:dyDescent="0.3">
      <c r="A5880" s="644"/>
      <c r="B5880" s="645"/>
    </row>
    <row r="5881" spans="1:2" x14ac:dyDescent="0.3">
      <c r="A5881" s="644"/>
      <c r="B5881" s="645"/>
    </row>
    <row r="5882" spans="1:2" x14ac:dyDescent="0.3">
      <c r="A5882" s="644"/>
      <c r="B5882" s="645"/>
    </row>
    <row r="5883" spans="1:2" x14ac:dyDescent="0.3">
      <c r="A5883" s="644"/>
      <c r="B5883" s="645"/>
    </row>
    <row r="5884" spans="1:2" x14ac:dyDescent="0.3">
      <c r="A5884" s="644"/>
      <c r="B5884" s="645"/>
    </row>
    <row r="5885" spans="1:2" x14ac:dyDescent="0.3">
      <c r="A5885" s="644"/>
      <c r="B5885" s="645"/>
    </row>
    <row r="5886" spans="1:2" x14ac:dyDescent="0.3">
      <c r="A5886" s="644"/>
      <c r="B5886" s="645"/>
    </row>
    <row r="5887" spans="1:2" x14ac:dyDescent="0.3">
      <c r="A5887" s="644"/>
      <c r="B5887" s="645"/>
    </row>
    <row r="5888" spans="1:2" x14ac:dyDescent="0.3">
      <c r="A5888" s="644"/>
      <c r="B5888" s="645"/>
    </row>
    <row r="5889" spans="1:2" x14ac:dyDescent="0.3">
      <c r="A5889" s="644"/>
      <c r="B5889" s="645"/>
    </row>
    <row r="5890" spans="1:2" x14ac:dyDescent="0.3">
      <c r="A5890" s="644"/>
      <c r="B5890" s="645"/>
    </row>
    <row r="5891" spans="1:2" x14ac:dyDescent="0.3">
      <c r="A5891" s="644"/>
      <c r="B5891" s="645"/>
    </row>
    <row r="5892" spans="1:2" x14ac:dyDescent="0.3">
      <c r="A5892" s="644"/>
      <c r="B5892" s="645"/>
    </row>
    <row r="5893" spans="1:2" x14ac:dyDescent="0.3">
      <c r="A5893" s="644"/>
      <c r="B5893" s="645"/>
    </row>
    <row r="5894" spans="1:2" x14ac:dyDescent="0.3">
      <c r="A5894" s="644"/>
      <c r="B5894" s="645"/>
    </row>
    <row r="5895" spans="1:2" x14ac:dyDescent="0.3">
      <c r="A5895" s="644"/>
      <c r="B5895" s="645"/>
    </row>
    <row r="5896" spans="1:2" x14ac:dyDescent="0.3">
      <c r="A5896" s="644"/>
      <c r="B5896" s="645"/>
    </row>
    <row r="5897" spans="1:2" x14ac:dyDescent="0.3">
      <c r="A5897" s="644"/>
      <c r="B5897" s="645"/>
    </row>
    <row r="5898" spans="1:2" x14ac:dyDescent="0.3">
      <c r="A5898" s="644"/>
      <c r="B5898" s="645"/>
    </row>
    <row r="5899" spans="1:2" x14ac:dyDescent="0.3">
      <c r="A5899" s="644"/>
      <c r="B5899" s="645"/>
    </row>
    <row r="5900" spans="1:2" x14ac:dyDescent="0.3">
      <c r="A5900" s="644"/>
      <c r="B5900" s="645"/>
    </row>
    <row r="5901" spans="1:2" x14ac:dyDescent="0.3">
      <c r="A5901" s="644"/>
      <c r="B5901" s="645"/>
    </row>
    <row r="5902" spans="1:2" x14ac:dyDescent="0.3">
      <c r="A5902" s="644"/>
      <c r="B5902" s="645"/>
    </row>
    <row r="5903" spans="1:2" x14ac:dyDescent="0.3">
      <c r="A5903" s="644"/>
      <c r="B5903" s="645"/>
    </row>
    <row r="5904" spans="1:2" x14ac:dyDescent="0.3">
      <c r="A5904" s="644"/>
      <c r="B5904" s="645"/>
    </row>
    <row r="5905" spans="1:2" x14ac:dyDescent="0.3">
      <c r="A5905" s="644"/>
      <c r="B5905" s="645"/>
    </row>
    <row r="5906" spans="1:2" x14ac:dyDescent="0.3">
      <c r="A5906" s="644"/>
      <c r="B5906" s="645"/>
    </row>
    <row r="5907" spans="1:2" x14ac:dyDescent="0.3">
      <c r="A5907" s="644"/>
      <c r="B5907" s="645"/>
    </row>
    <row r="5908" spans="1:2" x14ac:dyDescent="0.3">
      <c r="A5908" s="644"/>
      <c r="B5908" s="645"/>
    </row>
    <row r="5909" spans="1:2" x14ac:dyDescent="0.3">
      <c r="A5909" s="644"/>
      <c r="B5909" s="645"/>
    </row>
    <row r="5910" spans="1:2" x14ac:dyDescent="0.3">
      <c r="A5910" s="644"/>
      <c r="B5910" s="645"/>
    </row>
    <row r="5911" spans="1:2" x14ac:dyDescent="0.3">
      <c r="A5911" s="644"/>
      <c r="B5911" s="645"/>
    </row>
    <row r="5912" spans="1:2" x14ac:dyDescent="0.3">
      <c r="A5912" s="644"/>
      <c r="B5912" s="645"/>
    </row>
    <row r="5913" spans="1:2" x14ac:dyDescent="0.3">
      <c r="A5913" s="644"/>
      <c r="B5913" s="645"/>
    </row>
    <row r="5914" spans="1:2" x14ac:dyDescent="0.3">
      <c r="A5914" s="644"/>
      <c r="B5914" s="645"/>
    </row>
    <row r="5915" spans="1:2" x14ac:dyDescent="0.3">
      <c r="A5915" s="644"/>
      <c r="B5915" s="645"/>
    </row>
    <row r="5916" spans="1:2" x14ac:dyDescent="0.3">
      <c r="A5916" s="644"/>
      <c r="B5916" s="645"/>
    </row>
    <row r="5917" spans="1:2" x14ac:dyDescent="0.3">
      <c r="A5917" s="644"/>
      <c r="B5917" s="645"/>
    </row>
    <row r="5918" spans="1:2" x14ac:dyDescent="0.3">
      <c r="A5918" s="644"/>
      <c r="B5918" s="645"/>
    </row>
    <row r="5919" spans="1:2" x14ac:dyDescent="0.3">
      <c r="A5919" s="644"/>
      <c r="B5919" s="645"/>
    </row>
    <row r="5920" spans="1:2" x14ac:dyDescent="0.3">
      <c r="A5920" s="644"/>
      <c r="B5920" s="645"/>
    </row>
    <row r="5921" spans="1:2" x14ac:dyDescent="0.3">
      <c r="A5921" s="644"/>
      <c r="B5921" s="645"/>
    </row>
    <row r="5922" spans="1:2" x14ac:dyDescent="0.3">
      <c r="A5922" s="644"/>
      <c r="B5922" s="645"/>
    </row>
    <row r="5923" spans="1:2" x14ac:dyDescent="0.3">
      <c r="A5923" s="644"/>
      <c r="B5923" s="645"/>
    </row>
    <row r="5924" spans="1:2" x14ac:dyDescent="0.3">
      <c r="A5924" s="644"/>
      <c r="B5924" s="645"/>
    </row>
    <row r="5925" spans="1:2" x14ac:dyDescent="0.3">
      <c r="A5925" s="644"/>
      <c r="B5925" s="645"/>
    </row>
    <row r="5926" spans="1:2" x14ac:dyDescent="0.3">
      <c r="A5926" s="644"/>
      <c r="B5926" s="645"/>
    </row>
    <row r="5927" spans="1:2" x14ac:dyDescent="0.3">
      <c r="A5927" s="644"/>
      <c r="B5927" s="645"/>
    </row>
    <row r="5928" spans="1:2" x14ac:dyDescent="0.3">
      <c r="A5928" s="644"/>
      <c r="B5928" s="645"/>
    </row>
    <row r="5929" spans="1:2" x14ac:dyDescent="0.3">
      <c r="A5929" s="644"/>
      <c r="B5929" s="645"/>
    </row>
    <row r="5930" spans="1:2" x14ac:dyDescent="0.3">
      <c r="A5930" s="644"/>
      <c r="B5930" s="645"/>
    </row>
    <row r="5931" spans="1:2" x14ac:dyDescent="0.3">
      <c r="A5931" s="644"/>
      <c r="B5931" s="645"/>
    </row>
    <row r="5932" spans="1:2" x14ac:dyDescent="0.3">
      <c r="A5932" s="644"/>
      <c r="B5932" s="645"/>
    </row>
    <row r="5933" spans="1:2" x14ac:dyDescent="0.3">
      <c r="A5933" s="644"/>
      <c r="B5933" s="645"/>
    </row>
    <row r="5934" spans="1:2" x14ac:dyDescent="0.3">
      <c r="A5934" s="644"/>
      <c r="B5934" s="645"/>
    </row>
    <row r="5935" spans="1:2" x14ac:dyDescent="0.3">
      <c r="A5935" s="644"/>
      <c r="B5935" s="645"/>
    </row>
    <row r="5936" spans="1:2" x14ac:dyDescent="0.3">
      <c r="A5936" s="644"/>
      <c r="B5936" s="645"/>
    </row>
    <row r="5937" spans="1:2" x14ac:dyDescent="0.3">
      <c r="A5937" s="644"/>
      <c r="B5937" s="645"/>
    </row>
    <row r="5938" spans="1:2" x14ac:dyDescent="0.3">
      <c r="A5938" s="644"/>
      <c r="B5938" s="645"/>
    </row>
    <row r="5939" spans="1:2" x14ac:dyDescent="0.3">
      <c r="A5939" s="644"/>
      <c r="B5939" s="645"/>
    </row>
    <row r="5940" spans="1:2" x14ac:dyDescent="0.3">
      <c r="A5940" s="644"/>
      <c r="B5940" s="645"/>
    </row>
    <row r="5941" spans="1:2" x14ac:dyDescent="0.3">
      <c r="A5941" s="644"/>
      <c r="B5941" s="645"/>
    </row>
    <row r="5942" spans="1:2" x14ac:dyDescent="0.3">
      <c r="A5942" s="644"/>
      <c r="B5942" s="645"/>
    </row>
    <row r="5943" spans="1:2" x14ac:dyDescent="0.3">
      <c r="A5943" s="644"/>
      <c r="B5943" s="645"/>
    </row>
    <row r="5944" spans="1:2" x14ac:dyDescent="0.3">
      <c r="A5944" s="644"/>
      <c r="B5944" s="645"/>
    </row>
    <row r="5945" spans="1:2" x14ac:dyDescent="0.3">
      <c r="A5945" s="644"/>
      <c r="B5945" s="645"/>
    </row>
    <row r="5946" spans="1:2" x14ac:dyDescent="0.3">
      <c r="A5946" s="644"/>
      <c r="B5946" s="645"/>
    </row>
    <row r="5947" spans="1:2" x14ac:dyDescent="0.3">
      <c r="A5947" s="644"/>
      <c r="B5947" s="645"/>
    </row>
    <row r="5948" spans="1:2" x14ac:dyDescent="0.3">
      <c r="A5948" s="644"/>
      <c r="B5948" s="645"/>
    </row>
    <row r="5949" spans="1:2" x14ac:dyDescent="0.3">
      <c r="A5949" s="644"/>
      <c r="B5949" s="645"/>
    </row>
    <row r="5950" spans="1:2" x14ac:dyDescent="0.3">
      <c r="A5950" s="644"/>
      <c r="B5950" s="645"/>
    </row>
    <row r="5951" spans="1:2" x14ac:dyDescent="0.3">
      <c r="A5951" s="644"/>
      <c r="B5951" s="645"/>
    </row>
    <row r="5952" spans="1:2" x14ac:dyDescent="0.3">
      <c r="A5952" s="644"/>
      <c r="B5952" s="645"/>
    </row>
    <row r="5953" spans="1:2" x14ac:dyDescent="0.3">
      <c r="A5953" s="644"/>
      <c r="B5953" s="645"/>
    </row>
    <row r="5954" spans="1:2" x14ac:dyDescent="0.3">
      <c r="A5954" s="644"/>
      <c r="B5954" s="645"/>
    </row>
    <row r="5955" spans="1:2" x14ac:dyDescent="0.3">
      <c r="A5955" s="644"/>
      <c r="B5955" s="645"/>
    </row>
    <row r="5956" spans="1:2" x14ac:dyDescent="0.3">
      <c r="A5956" s="644"/>
      <c r="B5956" s="645"/>
    </row>
    <row r="5957" spans="1:2" x14ac:dyDescent="0.3">
      <c r="A5957" s="644"/>
      <c r="B5957" s="645"/>
    </row>
    <row r="5958" spans="1:2" x14ac:dyDescent="0.3">
      <c r="A5958" s="644"/>
      <c r="B5958" s="645"/>
    </row>
    <row r="5959" spans="1:2" x14ac:dyDescent="0.3">
      <c r="A5959" s="644"/>
      <c r="B5959" s="645"/>
    </row>
    <row r="5960" spans="1:2" x14ac:dyDescent="0.3">
      <c r="A5960" s="644"/>
      <c r="B5960" s="645"/>
    </row>
    <row r="5961" spans="1:2" x14ac:dyDescent="0.3">
      <c r="A5961" s="644"/>
      <c r="B5961" s="645"/>
    </row>
    <row r="5962" spans="1:2" x14ac:dyDescent="0.3">
      <c r="A5962" s="644"/>
      <c r="B5962" s="645"/>
    </row>
    <row r="5963" spans="1:2" x14ac:dyDescent="0.3">
      <c r="A5963" s="644"/>
      <c r="B5963" s="645"/>
    </row>
    <row r="5964" spans="1:2" x14ac:dyDescent="0.3">
      <c r="A5964" s="644"/>
      <c r="B5964" s="645"/>
    </row>
    <row r="5965" spans="1:2" x14ac:dyDescent="0.3">
      <c r="A5965" s="644"/>
      <c r="B5965" s="645"/>
    </row>
    <row r="5966" spans="1:2" x14ac:dyDescent="0.3">
      <c r="A5966" s="644"/>
      <c r="B5966" s="645"/>
    </row>
    <row r="5967" spans="1:2" x14ac:dyDescent="0.3">
      <c r="A5967" s="644"/>
      <c r="B5967" s="645"/>
    </row>
    <row r="5968" spans="1:2" x14ac:dyDescent="0.3">
      <c r="A5968" s="644"/>
      <c r="B5968" s="645"/>
    </row>
    <row r="5969" spans="1:2" x14ac:dyDescent="0.3">
      <c r="A5969" s="644"/>
      <c r="B5969" s="645"/>
    </row>
    <row r="5970" spans="1:2" x14ac:dyDescent="0.3">
      <c r="A5970" s="644"/>
      <c r="B5970" s="645"/>
    </row>
    <row r="5971" spans="1:2" x14ac:dyDescent="0.3">
      <c r="A5971" s="644"/>
      <c r="B5971" s="645"/>
    </row>
    <row r="5972" spans="1:2" x14ac:dyDescent="0.3">
      <c r="A5972" s="644"/>
      <c r="B5972" s="645"/>
    </row>
    <row r="5973" spans="1:2" x14ac:dyDescent="0.3">
      <c r="A5973" s="644"/>
      <c r="B5973" s="645"/>
    </row>
    <row r="5974" spans="1:2" x14ac:dyDescent="0.3">
      <c r="A5974" s="644"/>
      <c r="B5974" s="645"/>
    </row>
    <row r="5975" spans="1:2" x14ac:dyDescent="0.3">
      <c r="A5975" s="644"/>
      <c r="B5975" s="645"/>
    </row>
    <row r="5976" spans="1:2" x14ac:dyDescent="0.3">
      <c r="A5976" s="644"/>
      <c r="B5976" s="645"/>
    </row>
    <row r="5977" spans="1:2" x14ac:dyDescent="0.3">
      <c r="A5977" s="644"/>
      <c r="B5977" s="645"/>
    </row>
    <row r="5978" spans="1:2" x14ac:dyDescent="0.3">
      <c r="A5978" s="644"/>
      <c r="B5978" s="645"/>
    </row>
    <row r="5979" spans="1:2" x14ac:dyDescent="0.3">
      <c r="A5979" s="644"/>
      <c r="B5979" s="645"/>
    </row>
    <row r="5980" spans="1:2" x14ac:dyDescent="0.3">
      <c r="A5980" s="644"/>
      <c r="B5980" s="645"/>
    </row>
    <row r="5981" spans="1:2" x14ac:dyDescent="0.3">
      <c r="A5981" s="644"/>
      <c r="B5981" s="645"/>
    </row>
    <row r="5982" spans="1:2" x14ac:dyDescent="0.3">
      <c r="A5982" s="644"/>
      <c r="B5982" s="645"/>
    </row>
    <row r="5983" spans="1:2" x14ac:dyDescent="0.3">
      <c r="A5983" s="644"/>
      <c r="B5983" s="645"/>
    </row>
    <row r="5984" spans="1:2" x14ac:dyDescent="0.3">
      <c r="A5984" s="644"/>
      <c r="B5984" s="645"/>
    </row>
    <row r="5985" spans="1:2" x14ac:dyDescent="0.3">
      <c r="A5985" s="644"/>
      <c r="B5985" s="645"/>
    </row>
    <row r="5986" spans="1:2" x14ac:dyDescent="0.3">
      <c r="A5986" s="644"/>
      <c r="B5986" s="645"/>
    </row>
    <row r="5987" spans="1:2" x14ac:dyDescent="0.3">
      <c r="A5987" s="644"/>
      <c r="B5987" s="645"/>
    </row>
    <row r="5988" spans="1:2" x14ac:dyDescent="0.3">
      <c r="A5988" s="644"/>
      <c r="B5988" s="645"/>
    </row>
    <row r="5989" spans="1:2" x14ac:dyDescent="0.3">
      <c r="A5989" s="644"/>
      <c r="B5989" s="645"/>
    </row>
    <row r="5990" spans="1:2" x14ac:dyDescent="0.3">
      <c r="A5990" s="644"/>
      <c r="B5990" s="645"/>
    </row>
    <row r="5991" spans="1:2" x14ac:dyDescent="0.3">
      <c r="A5991" s="644"/>
      <c r="B5991" s="645"/>
    </row>
    <row r="5992" spans="1:2" x14ac:dyDescent="0.3">
      <c r="A5992" s="644"/>
      <c r="B5992" s="645"/>
    </row>
    <row r="5993" spans="1:2" x14ac:dyDescent="0.3">
      <c r="A5993" s="644"/>
      <c r="B5993" s="645"/>
    </row>
    <row r="5994" spans="1:2" x14ac:dyDescent="0.3">
      <c r="A5994" s="644"/>
      <c r="B5994" s="645"/>
    </row>
    <row r="5995" spans="1:2" x14ac:dyDescent="0.3">
      <c r="A5995" s="644"/>
      <c r="B5995" s="645"/>
    </row>
    <row r="5996" spans="1:2" x14ac:dyDescent="0.3">
      <c r="A5996" s="644"/>
      <c r="B5996" s="645"/>
    </row>
    <row r="5997" spans="1:2" x14ac:dyDescent="0.3">
      <c r="A5997" s="644"/>
      <c r="B5997" s="645"/>
    </row>
    <row r="5998" spans="1:2" x14ac:dyDescent="0.3">
      <c r="A5998" s="644"/>
      <c r="B5998" s="645"/>
    </row>
    <row r="5999" spans="1:2" x14ac:dyDescent="0.3">
      <c r="A5999" s="644"/>
      <c r="B5999" s="645"/>
    </row>
    <row r="6000" spans="1:2" x14ac:dyDescent="0.3">
      <c r="A6000" s="644"/>
      <c r="B6000" s="645"/>
    </row>
    <row r="6001" spans="1:2" x14ac:dyDescent="0.3">
      <c r="A6001" s="644"/>
      <c r="B6001" s="645"/>
    </row>
    <row r="6002" spans="1:2" x14ac:dyDescent="0.3">
      <c r="A6002" s="644"/>
      <c r="B6002" s="645"/>
    </row>
    <row r="6003" spans="1:2" x14ac:dyDescent="0.3">
      <c r="A6003" s="644"/>
      <c r="B6003" s="645"/>
    </row>
    <row r="6004" spans="1:2" x14ac:dyDescent="0.3">
      <c r="A6004" s="644"/>
      <c r="B6004" s="645"/>
    </row>
    <row r="6005" spans="1:2" x14ac:dyDescent="0.3">
      <c r="A6005" s="644"/>
      <c r="B6005" s="645"/>
    </row>
    <row r="6006" spans="1:2" x14ac:dyDescent="0.3">
      <c r="A6006" s="644"/>
      <c r="B6006" s="645"/>
    </row>
    <row r="6007" spans="1:2" x14ac:dyDescent="0.3">
      <c r="A6007" s="644"/>
      <c r="B6007" s="645"/>
    </row>
    <row r="6008" spans="1:2" x14ac:dyDescent="0.3">
      <c r="A6008" s="644"/>
      <c r="B6008" s="645"/>
    </row>
    <row r="6009" spans="1:2" x14ac:dyDescent="0.3">
      <c r="A6009" s="644"/>
      <c r="B6009" s="645"/>
    </row>
    <row r="6010" spans="1:2" x14ac:dyDescent="0.3">
      <c r="A6010" s="644"/>
      <c r="B6010" s="645"/>
    </row>
    <row r="6011" spans="1:2" x14ac:dyDescent="0.3">
      <c r="A6011" s="644"/>
      <c r="B6011" s="645"/>
    </row>
    <row r="6012" spans="1:2" x14ac:dyDescent="0.3">
      <c r="A6012" s="644"/>
      <c r="B6012" s="645"/>
    </row>
    <row r="6013" spans="1:2" x14ac:dyDescent="0.3">
      <c r="A6013" s="644"/>
      <c r="B6013" s="645"/>
    </row>
    <row r="6014" spans="1:2" x14ac:dyDescent="0.3">
      <c r="A6014" s="644"/>
      <c r="B6014" s="645"/>
    </row>
    <row r="6015" spans="1:2" x14ac:dyDescent="0.3">
      <c r="A6015" s="644"/>
      <c r="B6015" s="645"/>
    </row>
    <row r="6016" spans="1:2" x14ac:dyDescent="0.3">
      <c r="A6016" s="644"/>
      <c r="B6016" s="645"/>
    </row>
    <row r="6017" spans="1:2" x14ac:dyDescent="0.3">
      <c r="A6017" s="644"/>
      <c r="B6017" s="645"/>
    </row>
    <row r="6018" spans="1:2" x14ac:dyDescent="0.3">
      <c r="A6018" s="644"/>
      <c r="B6018" s="645"/>
    </row>
    <row r="6019" spans="1:2" x14ac:dyDescent="0.3">
      <c r="A6019" s="644"/>
      <c r="B6019" s="645"/>
    </row>
    <row r="6020" spans="1:2" x14ac:dyDescent="0.3">
      <c r="A6020" s="644"/>
      <c r="B6020" s="645"/>
    </row>
    <row r="6021" spans="1:2" x14ac:dyDescent="0.3">
      <c r="A6021" s="644"/>
      <c r="B6021" s="645"/>
    </row>
    <row r="6022" spans="1:2" x14ac:dyDescent="0.3">
      <c r="A6022" s="644"/>
      <c r="B6022" s="645"/>
    </row>
    <row r="6023" spans="1:2" x14ac:dyDescent="0.3">
      <c r="A6023" s="644"/>
      <c r="B6023" s="645"/>
    </row>
    <row r="6024" spans="1:2" x14ac:dyDescent="0.3">
      <c r="A6024" s="644"/>
      <c r="B6024" s="645"/>
    </row>
    <row r="6025" spans="1:2" x14ac:dyDescent="0.3">
      <c r="A6025" s="644"/>
      <c r="B6025" s="645"/>
    </row>
    <row r="6026" spans="1:2" x14ac:dyDescent="0.3">
      <c r="A6026" s="644"/>
      <c r="B6026" s="645"/>
    </row>
    <row r="6027" spans="1:2" x14ac:dyDescent="0.3">
      <c r="A6027" s="644"/>
      <c r="B6027" s="645"/>
    </row>
    <row r="6028" spans="1:2" x14ac:dyDescent="0.3">
      <c r="A6028" s="644"/>
      <c r="B6028" s="645"/>
    </row>
    <row r="6029" spans="1:2" x14ac:dyDescent="0.3">
      <c r="A6029" s="644"/>
      <c r="B6029" s="645"/>
    </row>
    <row r="6030" spans="1:2" x14ac:dyDescent="0.3">
      <c r="A6030" s="644"/>
      <c r="B6030" s="645"/>
    </row>
    <row r="6031" spans="1:2" x14ac:dyDescent="0.3">
      <c r="A6031" s="644"/>
      <c r="B6031" s="645"/>
    </row>
    <row r="6032" spans="1:2" x14ac:dyDescent="0.3">
      <c r="A6032" s="644"/>
      <c r="B6032" s="645"/>
    </row>
    <row r="6033" spans="1:2" x14ac:dyDescent="0.3">
      <c r="A6033" s="644"/>
      <c r="B6033" s="645"/>
    </row>
    <row r="6034" spans="1:2" x14ac:dyDescent="0.3">
      <c r="A6034" s="644"/>
      <c r="B6034" s="645"/>
    </row>
    <row r="6035" spans="1:2" x14ac:dyDescent="0.3">
      <c r="A6035" s="644"/>
      <c r="B6035" s="645"/>
    </row>
    <row r="6036" spans="1:2" x14ac:dyDescent="0.3">
      <c r="A6036" s="644"/>
      <c r="B6036" s="645"/>
    </row>
    <row r="6037" spans="1:2" x14ac:dyDescent="0.3">
      <c r="A6037" s="644"/>
      <c r="B6037" s="645"/>
    </row>
    <row r="6038" spans="1:2" x14ac:dyDescent="0.3">
      <c r="A6038" s="644"/>
      <c r="B6038" s="645"/>
    </row>
    <row r="6039" spans="1:2" x14ac:dyDescent="0.3">
      <c r="A6039" s="644"/>
      <c r="B6039" s="645"/>
    </row>
    <row r="6040" spans="1:2" x14ac:dyDescent="0.3">
      <c r="A6040" s="644"/>
      <c r="B6040" s="645"/>
    </row>
    <row r="6041" spans="1:2" x14ac:dyDescent="0.3">
      <c r="A6041" s="644"/>
      <c r="B6041" s="645"/>
    </row>
    <row r="6042" spans="1:2" x14ac:dyDescent="0.3">
      <c r="A6042" s="644"/>
      <c r="B6042" s="645"/>
    </row>
    <row r="6043" spans="1:2" x14ac:dyDescent="0.3">
      <c r="A6043" s="644"/>
      <c r="B6043" s="645"/>
    </row>
    <row r="6044" spans="1:2" x14ac:dyDescent="0.3">
      <c r="A6044" s="644"/>
      <c r="B6044" s="645"/>
    </row>
    <row r="6045" spans="1:2" x14ac:dyDescent="0.3">
      <c r="A6045" s="644"/>
      <c r="B6045" s="645"/>
    </row>
    <row r="6046" spans="1:2" x14ac:dyDescent="0.3">
      <c r="A6046" s="644"/>
      <c r="B6046" s="645"/>
    </row>
    <row r="6047" spans="1:2" x14ac:dyDescent="0.3">
      <c r="A6047" s="644"/>
      <c r="B6047" s="645"/>
    </row>
    <row r="6048" spans="1:2" x14ac:dyDescent="0.3">
      <c r="A6048" s="644"/>
      <c r="B6048" s="645"/>
    </row>
    <row r="6049" spans="1:2" x14ac:dyDescent="0.3">
      <c r="A6049" s="644"/>
      <c r="B6049" s="645"/>
    </row>
    <row r="6050" spans="1:2" x14ac:dyDescent="0.3">
      <c r="A6050" s="644"/>
      <c r="B6050" s="645"/>
    </row>
    <row r="6051" spans="1:2" x14ac:dyDescent="0.3">
      <c r="A6051" s="644"/>
      <c r="B6051" s="645"/>
    </row>
    <row r="6052" spans="1:2" x14ac:dyDescent="0.3">
      <c r="A6052" s="644"/>
      <c r="B6052" s="645"/>
    </row>
    <row r="6053" spans="1:2" x14ac:dyDescent="0.3">
      <c r="A6053" s="644"/>
      <c r="B6053" s="645"/>
    </row>
    <row r="6054" spans="1:2" x14ac:dyDescent="0.3">
      <c r="A6054" s="644"/>
      <c r="B6054" s="645"/>
    </row>
    <row r="6055" spans="1:2" x14ac:dyDescent="0.3">
      <c r="A6055" s="644"/>
      <c r="B6055" s="645"/>
    </row>
    <row r="6056" spans="1:2" x14ac:dyDescent="0.3">
      <c r="A6056" s="644"/>
      <c r="B6056" s="645"/>
    </row>
    <row r="6057" spans="1:2" x14ac:dyDescent="0.3">
      <c r="A6057" s="644"/>
      <c r="B6057" s="645"/>
    </row>
    <row r="6058" spans="1:2" x14ac:dyDescent="0.3">
      <c r="A6058" s="644"/>
      <c r="B6058" s="645"/>
    </row>
    <row r="6059" spans="1:2" x14ac:dyDescent="0.3">
      <c r="A6059" s="644"/>
      <c r="B6059" s="645"/>
    </row>
    <row r="6060" spans="1:2" x14ac:dyDescent="0.3">
      <c r="A6060" s="644"/>
      <c r="B6060" s="645"/>
    </row>
    <row r="6061" spans="1:2" x14ac:dyDescent="0.3">
      <c r="A6061" s="644"/>
      <c r="B6061" s="645"/>
    </row>
    <row r="6062" spans="1:2" x14ac:dyDescent="0.3">
      <c r="A6062" s="644"/>
      <c r="B6062" s="645"/>
    </row>
    <row r="6063" spans="1:2" x14ac:dyDescent="0.3">
      <c r="A6063" s="644"/>
      <c r="B6063" s="645"/>
    </row>
    <row r="6064" spans="1:2" x14ac:dyDescent="0.3">
      <c r="A6064" s="644"/>
      <c r="B6064" s="645"/>
    </row>
    <row r="6065" spans="1:2" x14ac:dyDescent="0.3">
      <c r="A6065" s="644"/>
      <c r="B6065" s="645"/>
    </row>
    <row r="6066" spans="1:2" x14ac:dyDescent="0.3">
      <c r="A6066" s="644"/>
      <c r="B6066" s="645"/>
    </row>
    <row r="6067" spans="1:2" x14ac:dyDescent="0.3">
      <c r="A6067" s="644"/>
      <c r="B6067" s="645"/>
    </row>
    <row r="6068" spans="1:2" x14ac:dyDescent="0.3">
      <c r="A6068" s="644"/>
      <c r="B6068" s="645"/>
    </row>
    <row r="6069" spans="1:2" x14ac:dyDescent="0.3">
      <c r="A6069" s="644"/>
      <c r="B6069" s="645"/>
    </row>
    <row r="6070" spans="1:2" x14ac:dyDescent="0.3">
      <c r="A6070" s="644"/>
      <c r="B6070" s="645"/>
    </row>
    <row r="6071" spans="1:2" x14ac:dyDescent="0.3">
      <c r="A6071" s="644"/>
      <c r="B6071" s="645"/>
    </row>
    <row r="6072" spans="1:2" x14ac:dyDescent="0.3">
      <c r="A6072" s="644"/>
      <c r="B6072" s="645"/>
    </row>
    <row r="6073" spans="1:2" x14ac:dyDescent="0.3">
      <c r="A6073" s="644"/>
      <c r="B6073" s="645"/>
    </row>
    <row r="6074" spans="1:2" x14ac:dyDescent="0.3">
      <c r="A6074" s="644"/>
      <c r="B6074" s="645"/>
    </row>
    <row r="6075" spans="1:2" x14ac:dyDescent="0.3">
      <c r="A6075" s="644"/>
      <c r="B6075" s="645"/>
    </row>
    <row r="6076" spans="1:2" x14ac:dyDescent="0.3">
      <c r="A6076" s="644"/>
      <c r="B6076" s="645"/>
    </row>
    <row r="6077" spans="1:2" x14ac:dyDescent="0.3">
      <c r="A6077" s="644"/>
      <c r="B6077" s="645"/>
    </row>
    <row r="6078" spans="1:2" x14ac:dyDescent="0.3">
      <c r="A6078" s="644"/>
      <c r="B6078" s="645"/>
    </row>
    <row r="6079" spans="1:2" x14ac:dyDescent="0.3">
      <c r="A6079" s="644"/>
      <c r="B6079" s="645"/>
    </row>
    <row r="6080" spans="1:2" x14ac:dyDescent="0.3">
      <c r="A6080" s="644"/>
      <c r="B6080" s="645"/>
    </row>
    <row r="6081" spans="1:2" x14ac:dyDescent="0.3">
      <c r="A6081" s="644"/>
      <c r="B6081" s="645"/>
    </row>
    <row r="6082" spans="1:2" x14ac:dyDescent="0.3">
      <c r="A6082" s="644"/>
      <c r="B6082" s="645"/>
    </row>
    <row r="6083" spans="1:2" x14ac:dyDescent="0.3">
      <c r="A6083" s="644"/>
      <c r="B6083" s="645"/>
    </row>
    <row r="6084" spans="1:2" x14ac:dyDescent="0.3">
      <c r="A6084" s="644"/>
      <c r="B6084" s="645"/>
    </row>
    <row r="6085" spans="1:2" x14ac:dyDescent="0.3">
      <c r="A6085" s="644"/>
      <c r="B6085" s="645"/>
    </row>
    <row r="6086" spans="1:2" x14ac:dyDescent="0.3">
      <c r="A6086" s="644"/>
      <c r="B6086" s="645"/>
    </row>
    <row r="6087" spans="1:2" x14ac:dyDescent="0.3">
      <c r="A6087" s="644"/>
      <c r="B6087" s="645"/>
    </row>
    <row r="6088" spans="1:2" x14ac:dyDescent="0.3">
      <c r="A6088" s="644"/>
      <c r="B6088" s="645"/>
    </row>
    <row r="6089" spans="1:2" x14ac:dyDescent="0.3">
      <c r="A6089" s="644"/>
      <c r="B6089" s="645"/>
    </row>
    <row r="6090" spans="1:2" x14ac:dyDescent="0.3">
      <c r="A6090" s="644"/>
      <c r="B6090" s="645"/>
    </row>
    <row r="6091" spans="1:2" x14ac:dyDescent="0.3">
      <c r="A6091" s="644"/>
      <c r="B6091" s="645"/>
    </row>
    <row r="6092" spans="1:2" x14ac:dyDescent="0.3">
      <c r="A6092" s="644"/>
      <c r="B6092" s="645"/>
    </row>
    <row r="6093" spans="1:2" x14ac:dyDescent="0.3">
      <c r="A6093" s="644"/>
      <c r="B6093" s="645"/>
    </row>
    <row r="6094" spans="1:2" x14ac:dyDescent="0.3">
      <c r="A6094" s="644"/>
      <c r="B6094" s="645"/>
    </row>
    <row r="6095" spans="1:2" x14ac:dyDescent="0.3">
      <c r="A6095" s="644"/>
      <c r="B6095" s="645"/>
    </row>
    <row r="6096" spans="1:2" x14ac:dyDescent="0.3">
      <c r="A6096" s="644"/>
      <c r="B6096" s="645"/>
    </row>
    <row r="6097" spans="1:2" x14ac:dyDescent="0.3">
      <c r="A6097" s="644"/>
      <c r="B6097" s="645"/>
    </row>
    <row r="6098" spans="1:2" x14ac:dyDescent="0.3">
      <c r="A6098" s="644"/>
      <c r="B6098" s="645"/>
    </row>
    <row r="6099" spans="1:2" x14ac:dyDescent="0.3">
      <c r="A6099" s="644"/>
      <c r="B6099" s="645"/>
    </row>
    <row r="6100" spans="1:2" x14ac:dyDescent="0.3">
      <c r="A6100" s="644"/>
      <c r="B6100" s="645"/>
    </row>
    <row r="6101" spans="1:2" x14ac:dyDescent="0.3">
      <c r="A6101" s="644"/>
      <c r="B6101" s="645"/>
    </row>
    <row r="6102" spans="1:2" x14ac:dyDescent="0.3">
      <c r="A6102" s="644"/>
      <c r="B6102" s="645"/>
    </row>
    <row r="6103" spans="1:2" x14ac:dyDescent="0.3">
      <c r="A6103" s="644"/>
      <c r="B6103" s="645"/>
    </row>
    <row r="6104" spans="1:2" x14ac:dyDescent="0.3">
      <c r="A6104" s="644"/>
      <c r="B6104" s="645"/>
    </row>
    <row r="6105" spans="1:2" x14ac:dyDescent="0.3">
      <c r="A6105" s="644"/>
      <c r="B6105" s="645"/>
    </row>
    <row r="6106" spans="1:2" x14ac:dyDescent="0.3">
      <c r="A6106" s="644"/>
      <c r="B6106" s="645"/>
    </row>
    <row r="6107" spans="1:2" x14ac:dyDescent="0.3">
      <c r="A6107" s="644"/>
      <c r="B6107" s="645"/>
    </row>
    <row r="6108" spans="1:2" x14ac:dyDescent="0.3">
      <c r="A6108" s="644"/>
      <c r="B6108" s="645"/>
    </row>
    <row r="6109" spans="1:2" x14ac:dyDescent="0.3">
      <c r="A6109" s="644"/>
      <c r="B6109" s="645"/>
    </row>
    <row r="6110" spans="1:2" x14ac:dyDescent="0.3">
      <c r="A6110" s="644"/>
      <c r="B6110" s="645"/>
    </row>
    <row r="6111" spans="1:2" x14ac:dyDescent="0.3">
      <c r="A6111" s="644"/>
      <c r="B6111" s="645"/>
    </row>
    <row r="6112" spans="1:2" x14ac:dyDescent="0.3">
      <c r="A6112" s="644"/>
      <c r="B6112" s="645"/>
    </row>
    <row r="6113" spans="1:2" x14ac:dyDescent="0.3">
      <c r="A6113" s="644"/>
      <c r="B6113" s="645"/>
    </row>
    <row r="6114" spans="1:2" x14ac:dyDescent="0.3">
      <c r="A6114" s="644"/>
      <c r="B6114" s="645"/>
    </row>
    <row r="6115" spans="1:2" x14ac:dyDescent="0.3">
      <c r="A6115" s="644"/>
      <c r="B6115" s="645"/>
    </row>
    <row r="6116" spans="1:2" x14ac:dyDescent="0.3">
      <c r="A6116" s="644"/>
      <c r="B6116" s="645"/>
    </row>
    <row r="6117" spans="1:2" x14ac:dyDescent="0.3">
      <c r="A6117" s="644"/>
      <c r="B6117" s="645"/>
    </row>
    <row r="6118" spans="1:2" x14ac:dyDescent="0.3">
      <c r="A6118" s="644"/>
      <c r="B6118" s="645"/>
    </row>
    <row r="6119" spans="1:2" x14ac:dyDescent="0.3">
      <c r="A6119" s="644"/>
      <c r="B6119" s="645"/>
    </row>
    <row r="6120" spans="1:2" x14ac:dyDescent="0.3">
      <c r="A6120" s="644"/>
      <c r="B6120" s="645"/>
    </row>
    <row r="6121" spans="1:2" x14ac:dyDescent="0.3">
      <c r="A6121" s="644"/>
      <c r="B6121" s="645"/>
    </row>
    <row r="6122" spans="1:2" x14ac:dyDescent="0.3">
      <c r="A6122" s="644"/>
      <c r="B6122" s="645"/>
    </row>
    <row r="6123" spans="1:2" x14ac:dyDescent="0.3">
      <c r="A6123" s="644"/>
      <c r="B6123" s="645"/>
    </row>
    <row r="6124" spans="1:2" x14ac:dyDescent="0.3">
      <c r="A6124" s="644"/>
      <c r="B6124" s="645"/>
    </row>
    <row r="6125" spans="1:2" x14ac:dyDescent="0.3">
      <c r="A6125" s="644"/>
      <c r="B6125" s="645"/>
    </row>
    <row r="6126" spans="1:2" x14ac:dyDescent="0.3">
      <c r="A6126" s="644"/>
      <c r="B6126" s="645"/>
    </row>
    <row r="6127" spans="1:2" x14ac:dyDescent="0.3">
      <c r="A6127" s="644"/>
      <c r="B6127" s="645"/>
    </row>
    <row r="6128" spans="1:2" x14ac:dyDescent="0.3">
      <c r="A6128" s="644"/>
      <c r="B6128" s="645"/>
    </row>
    <row r="6129" spans="1:2" x14ac:dyDescent="0.3">
      <c r="A6129" s="644"/>
      <c r="B6129" s="645"/>
    </row>
    <row r="6130" spans="1:2" x14ac:dyDescent="0.3">
      <c r="A6130" s="644"/>
      <c r="B6130" s="645"/>
    </row>
    <row r="6131" spans="1:2" x14ac:dyDescent="0.3">
      <c r="A6131" s="644"/>
      <c r="B6131" s="645"/>
    </row>
    <row r="6132" spans="1:2" x14ac:dyDescent="0.3">
      <c r="A6132" s="644"/>
      <c r="B6132" s="645"/>
    </row>
    <row r="6133" spans="1:2" x14ac:dyDescent="0.3">
      <c r="A6133" s="644"/>
      <c r="B6133" s="645"/>
    </row>
    <row r="6134" spans="1:2" x14ac:dyDescent="0.3">
      <c r="A6134" s="644"/>
      <c r="B6134" s="645"/>
    </row>
    <row r="6135" spans="1:2" x14ac:dyDescent="0.3">
      <c r="A6135" s="644"/>
      <c r="B6135" s="645"/>
    </row>
    <row r="6136" spans="1:2" x14ac:dyDescent="0.3">
      <c r="A6136" s="644"/>
      <c r="B6136" s="645"/>
    </row>
    <row r="6137" spans="1:2" x14ac:dyDescent="0.3">
      <c r="A6137" s="644"/>
      <c r="B6137" s="645"/>
    </row>
    <row r="6138" spans="1:2" x14ac:dyDescent="0.3">
      <c r="A6138" s="644"/>
      <c r="B6138" s="645"/>
    </row>
    <row r="6139" spans="1:2" x14ac:dyDescent="0.3">
      <c r="A6139" s="644"/>
      <c r="B6139" s="645"/>
    </row>
    <row r="6140" spans="1:2" x14ac:dyDescent="0.3">
      <c r="A6140" s="644"/>
      <c r="B6140" s="645"/>
    </row>
    <row r="6141" spans="1:2" x14ac:dyDescent="0.3">
      <c r="A6141" s="644"/>
      <c r="B6141" s="645"/>
    </row>
    <row r="6142" spans="1:2" x14ac:dyDescent="0.3">
      <c r="A6142" s="644"/>
      <c r="B6142" s="645"/>
    </row>
    <row r="6143" spans="1:2" x14ac:dyDescent="0.3">
      <c r="A6143" s="644"/>
      <c r="B6143" s="645"/>
    </row>
    <row r="6144" spans="1:2" x14ac:dyDescent="0.3">
      <c r="A6144" s="644"/>
      <c r="B6144" s="645"/>
    </row>
    <row r="6145" spans="1:2" x14ac:dyDescent="0.3">
      <c r="A6145" s="644"/>
      <c r="B6145" s="645"/>
    </row>
    <row r="6146" spans="1:2" x14ac:dyDescent="0.3">
      <c r="A6146" s="644"/>
      <c r="B6146" s="645"/>
    </row>
    <row r="6147" spans="1:2" x14ac:dyDescent="0.3">
      <c r="A6147" s="644"/>
      <c r="B6147" s="645"/>
    </row>
    <row r="6148" spans="1:2" x14ac:dyDescent="0.3">
      <c r="A6148" s="644"/>
      <c r="B6148" s="645"/>
    </row>
    <row r="6149" spans="1:2" x14ac:dyDescent="0.3">
      <c r="A6149" s="644"/>
      <c r="B6149" s="645"/>
    </row>
    <row r="6150" spans="1:2" x14ac:dyDescent="0.3">
      <c r="A6150" s="644"/>
      <c r="B6150" s="645"/>
    </row>
    <row r="6151" spans="1:2" x14ac:dyDescent="0.3">
      <c r="A6151" s="644"/>
      <c r="B6151" s="645"/>
    </row>
    <row r="6152" spans="1:2" x14ac:dyDescent="0.3">
      <c r="A6152" s="644"/>
      <c r="B6152" s="645"/>
    </row>
    <row r="6153" spans="1:2" x14ac:dyDescent="0.3">
      <c r="A6153" s="644"/>
      <c r="B6153" s="645"/>
    </row>
    <row r="6154" spans="1:2" x14ac:dyDescent="0.3">
      <c r="A6154" s="644"/>
      <c r="B6154" s="645"/>
    </row>
    <row r="6155" spans="1:2" x14ac:dyDescent="0.3">
      <c r="A6155" s="644"/>
      <c r="B6155" s="645"/>
    </row>
    <row r="6156" spans="1:2" x14ac:dyDescent="0.3">
      <c r="A6156" s="644"/>
      <c r="B6156" s="645"/>
    </row>
    <row r="6157" spans="1:2" x14ac:dyDescent="0.3">
      <c r="A6157" s="644"/>
      <c r="B6157" s="645"/>
    </row>
    <row r="6158" spans="1:2" x14ac:dyDescent="0.3">
      <c r="A6158" s="644"/>
      <c r="B6158" s="645"/>
    </row>
    <row r="6159" spans="1:2" x14ac:dyDescent="0.3">
      <c r="A6159" s="644"/>
      <c r="B6159" s="645"/>
    </row>
    <row r="6160" spans="1:2" x14ac:dyDescent="0.3">
      <c r="A6160" s="644"/>
      <c r="B6160" s="645"/>
    </row>
    <row r="6161" spans="1:2" x14ac:dyDescent="0.3">
      <c r="A6161" s="644"/>
      <c r="B6161" s="645"/>
    </row>
    <row r="6162" spans="1:2" x14ac:dyDescent="0.3">
      <c r="A6162" s="644"/>
      <c r="B6162" s="645"/>
    </row>
    <row r="6163" spans="1:2" x14ac:dyDescent="0.3">
      <c r="A6163" s="644"/>
      <c r="B6163" s="645"/>
    </row>
    <row r="6164" spans="1:2" x14ac:dyDescent="0.3">
      <c r="A6164" s="644"/>
      <c r="B6164" s="645"/>
    </row>
    <row r="6165" spans="1:2" x14ac:dyDescent="0.3">
      <c r="A6165" s="644"/>
      <c r="B6165" s="645"/>
    </row>
    <row r="6166" spans="1:2" x14ac:dyDescent="0.3">
      <c r="A6166" s="644"/>
      <c r="B6166" s="645"/>
    </row>
    <row r="6167" spans="1:2" x14ac:dyDescent="0.3">
      <c r="A6167" s="644"/>
      <c r="B6167" s="645"/>
    </row>
    <row r="6168" spans="1:2" x14ac:dyDescent="0.3">
      <c r="A6168" s="644"/>
      <c r="B6168" s="645"/>
    </row>
    <row r="6169" spans="1:2" x14ac:dyDescent="0.3">
      <c r="A6169" s="644"/>
      <c r="B6169" s="645"/>
    </row>
    <row r="6170" spans="1:2" x14ac:dyDescent="0.3">
      <c r="A6170" s="644"/>
      <c r="B6170" s="645"/>
    </row>
    <row r="6171" spans="1:2" x14ac:dyDescent="0.3">
      <c r="A6171" s="644"/>
      <c r="B6171" s="645"/>
    </row>
    <row r="6172" spans="1:2" x14ac:dyDescent="0.3">
      <c r="A6172" s="644"/>
      <c r="B6172" s="645"/>
    </row>
    <row r="6173" spans="1:2" x14ac:dyDescent="0.3">
      <c r="A6173" s="644"/>
      <c r="B6173" s="645"/>
    </row>
    <row r="6174" spans="1:2" x14ac:dyDescent="0.3">
      <c r="A6174" s="644"/>
      <c r="B6174" s="645"/>
    </row>
    <row r="6175" spans="1:2" x14ac:dyDescent="0.3">
      <c r="A6175" s="644"/>
      <c r="B6175" s="645"/>
    </row>
    <row r="6176" spans="1:2" x14ac:dyDescent="0.3">
      <c r="A6176" s="644"/>
      <c r="B6176" s="645"/>
    </row>
    <row r="6177" spans="1:2" x14ac:dyDescent="0.3">
      <c r="A6177" s="644"/>
      <c r="B6177" s="645"/>
    </row>
    <row r="6178" spans="1:2" x14ac:dyDescent="0.3">
      <c r="A6178" s="644"/>
      <c r="B6178" s="645"/>
    </row>
    <row r="6179" spans="1:2" x14ac:dyDescent="0.3">
      <c r="A6179" s="644"/>
      <c r="B6179" s="645"/>
    </row>
    <row r="6180" spans="1:2" x14ac:dyDescent="0.3">
      <c r="A6180" s="644"/>
      <c r="B6180" s="645"/>
    </row>
    <row r="6181" spans="1:2" x14ac:dyDescent="0.3">
      <c r="A6181" s="644"/>
      <c r="B6181" s="645"/>
    </row>
    <row r="6182" spans="1:2" x14ac:dyDescent="0.3">
      <c r="A6182" s="644"/>
      <c r="B6182" s="645"/>
    </row>
    <row r="6183" spans="1:2" x14ac:dyDescent="0.3">
      <c r="A6183" s="644"/>
      <c r="B6183" s="645"/>
    </row>
    <row r="6184" spans="1:2" x14ac:dyDescent="0.3">
      <c r="A6184" s="644"/>
      <c r="B6184" s="645"/>
    </row>
    <row r="6185" spans="1:2" x14ac:dyDescent="0.3">
      <c r="A6185" s="644"/>
      <c r="B6185" s="645"/>
    </row>
    <row r="6186" spans="1:2" x14ac:dyDescent="0.3">
      <c r="A6186" s="644"/>
      <c r="B6186" s="645"/>
    </row>
    <row r="6187" spans="1:2" x14ac:dyDescent="0.3">
      <c r="A6187" s="644"/>
      <c r="B6187" s="645"/>
    </row>
    <row r="6188" spans="1:2" x14ac:dyDescent="0.3">
      <c r="A6188" s="644"/>
      <c r="B6188" s="645"/>
    </row>
    <row r="6189" spans="1:2" x14ac:dyDescent="0.3">
      <c r="A6189" s="644"/>
      <c r="B6189" s="645"/>
    </row>
    <row r="6190" spans="1:2" x14ac:dyDescent="0.3">
      <c r="A6190" s="644"/>
      <c r="B6190" s="645"/>
    </row>
    <row r="6191" spans="1:2" x14ac:dyDescent="0.3">
      <c r="A6191" s="644"/>
      <c r="B6191" s="645"/>
    </row>
    <row r="6192" spans="1:2" x14ac:dyDescent="0.3">
      <c r="A6192" s="644"/>
      <c r="B6192" s="645"/>
    </row>
    <row r="6193" spans="1:2" x14ac:dyDescent="0.3">
      <c r="A6193" s="644"/>
      <c r="B6193" s="645"/>
    </row>
    <row r="6194" spans="1:2" x14ac:dyDescent="0.3">
      <c r="A6194" s="644"/>
      <c r="B6194" s="645"/>
    </row>
    <row r="6195" spans="1:2" x14ac:dyDescent="0.3">
      <c r="A6195" s="644"/>
      <c r="B6195" s="645"/>
    </row>
    <row r="6196" spans="1:2" x14ac:dyDescent="0.3">
      <c r="A6196" s="644"/>
      <c r="B6196" s="645"/>
    </row>
    <row r="6197" spans="1:2" x14ac:dyDescent="0.3">
      <c r="A6197" s="644"/>
      <c r="B6197" s="645"/>
    </row>
    <row r="6198" spans="1:2" x14ac:dyDescent="0.3">
      <c r="A6198" s="644"/>
      <c r="B6198" s="645"/>
    </row>
    <row r="6199" spans="1:2" x14ac:dyDescent="0.3">
      <c r="A6199" s="644"/>
      <c r="B6199" s="645"/>
    </row>
    <row r="6200" spans="1:2" x14ac:dyDescent="0.3">
      <c r="A6200" s="644"/>
      <c r="B6200" s="645"/>
    </row>
    <row r="6201" spans="1:2" x14ac:dyDescent="0.3">
      <c r="A6201" s="644"/>
      <c r="B6201" s="645"/>
    </row>
    <row r="6202" spans="1:2" x14ac:dyDescent="0.3">
      <c r="A6202" s="644"/>
      <c r="B6202" s="645"/>
    </row>
    <row r="6203" spans="1:2" x14ac:dyDescent="0.3">
      <c r="A6203" s="644"/>
      <c r="B6203" s="645"/>
    </row>
    <row r="6204" spans="1:2" x14ac:dyDescent="0.3">
      <c r="A6204" s="644"/>
      <c r="B6204" s="645"/>
    </row>
    <row r="6205" spans="1:2" x14ac:dyDescent="0.3">
      <c r="A6205" s="644"/>
      <c r="B6205" s="645"/>
    </row>
    <row r="6206" spans="1:2" x14ac:dyDescent="0.3">
      <c r="A6206" s="644"/>
      <c r="B6206" s="645"/>
    </row>
    <row r="6207" spans="1:2" x14ac:dyDescent="0.3">
      <c r="A6207" s="644"/>
      <c r="B6207" s="645"/>
    </row>
    <row r="6208" spans="1:2" x14ac:dyDescent="0.3">
      <c r="A6208" s="644"/>
      <c r="B6208" s="645"/>
    </row>
    <row r="6209" spans="1:2" x14ac:dyDescent="0.3">
      <c r="A6209" s="644"/>
      <c r="B6209" s="645"/>
    </row>
    <row r="6210" spans="1:2" x14ac:dyDescent="0.3">
      <c r="A6210" s="644"/>
      <c r="B6210" s="645"/>
    </row>
    <row r="6211" spans="1:2" x14ac:dyDescent="0.3">
      <c r="A6211" s="644"/>
      <c r="B6211" s="645"/>
    </row>
    <row r="6212" spans="1:2" x14ac:dyDescent="0.3">
      <c r="A6212" s="644"/>
      <c r="B6212" s="645"/>
    </row>
    <row r="6213" spans="1:2" x14ac:dyDescent="0.3">
      <c r="A6213" s="644"/>
      <c r="B6213" s="645"/>
    </row>
    <row r="6214" spans="1:2" x14ac:dyDescent="0.3">
      <c r="A6214" s="644"/>
      <c r="B6214" s="645"/>
    </row>
    <row r="6215" spans="1:2" x14ac:dyDescent="0.3">
      <c r="A6215" s="644"/>
      <c r="B6215" s="645"/>
    </row>
    <row r="6216" spans="1:2" x14ac:dyDescent="0.3">
      <c r="A6216" s="644"/>
      <c r="B6216" s="645"/>
    </row>
    <row r="6217" spans="1:2" x14ac:dyDescent="0.3">
      <c r="A6217" s="644"/>
      <c r="B6217" s="645"/>
    </row>
    <row r="6218" spans="1:2" x14ac:dyDescent="0.3">
      <c r="A6218" s="644"/>
      <c r="B6218" s="645"/>
    </row>
    <row r="6219" spans="1:2" x14ac:dyDescent="0.3">
      <c r="A6219" s="644"/>
      <c r="B6219" s="645"/>
    </row>
    <row r="6220" spans="1:2" x14ac:dyDescent="0.3">
      <c r="A6220" s="644"/>
      <c r="B6220" s="645"/>
    </row>
    <row r="6221" spans="1:2" x14ac:dyDescent="0.3">
      <c r="A6221" s="644"/>
      <c r="B6221" s="645"/>
    </row>
    <row r="6222" spans="1:2" x14ac:dyDescent="0.3">
      <c r="A6222" s="644"/>
      <c r="B6222" s="645"/>
    </row>
    <row r="6223" spans="1:2" x14ac:dyDescent="0.3">
      <c r="A6223" s="644"/>
      <c r="B6223" s="645"/>
    </row>
    <row r="6224" spans="1:2" x14ac:dyDescent="0.3">
      <c r="A6224" s="644"/>
      <c r="B6224" s="645"/>
    </row>
    <row r="6225" spans="1:2" x14ac:dyDescent="0.3">
      <c r="A6225" s="644"/>
      <c r="B6225" s="645"/>
    </row>
    <row r="6226" spans="1:2" x14ac:dyDescent="0.3">
      <c r="A6226" s="644"/>
      <c r="B6226" s="645"/>
    </row>
    <row r="6227" spans="1:2" x14ac:dyDescent="0.3">
      <c r="A6227" s="644"/>
      <c r="B6227" s="645"/>
    </row>
    <row r="6228" spans="1:2" x14ac:dyDescent="0.3">
      <c r="A6228" s="644"/>
      <c r="B6228" s="645"/>
    </row>
    <row r="6229" spans="1:2" x14ac:dyDescent="0.3">
      <c r="A6229" s="644"/>
      <c r="B6229" s="645"/>
    </row>
    <row r="6230" spans="1:2" x14ac:dyDescent="0.3">
      <c r="A6230" s="644"/>
      <c r="B6230" s="645"/>
    </row>
    <row r="6231" spans="1:2" x14ac:dyDescent="0.3">
      <c r="A6231" s="644"/>
      <c r="B6231" s="645"/>
    </row>
    <row r="6232" spans="1:2" x14ac:dyDescent="0.3">
      <c r="A6232" s="644"/>
      <c r="B6232" s="645"/>
    </row>
    <row r="6233" spans="1:2" x14ac:dyDescent="0.3">
      <c r="A6233" s="644"/>
      <c r="B6233" s="645"/>
    </row>
    <row r="6234" spans="1:2" x14ac:dyDescent="0.3">
      <c r="A6234" s="644"/>
      <c r="B6234" s="645"/>
    </row>
    <row r="6235" spans="1:2" x14ac:dyDescent="0.3">
      <c r="A6235" s="644"/>
      <c r="B6235" s="645"/>
    </row>
    <row r="6236" spans="1:2" x14ac:dyDescent="0.3">
      <c r="A6236" s="644"/>
      <c r="B6236" s="645"/>
    </row>
    <row r="6237" spans="1:2" x14ac:dyDescent="0.3">
      <c r="A6237" s="644"/>
      <c r="B6237" s="645"/>
    </row>
    <row r="6238" spans="1:2" x14ac:dyDescent="0.3">
      <c r="A6238" s="644"/>
      <c r="B6238" s="645"/>
    </row>
    <row r="6239" spans="1:2" x14ac:dyDescent="0.3">
      <c r="A6239" s="644"/>
      <c r="B6239" s="645"/>
    </row>
    <row r="6240" spans="1:2" x14ac:dyDescent="0.3">
      <c r="A6240" s="644"/>
      <c r="B6240" s="645"/>
    </row>
    <row r="6241" spans="1:2" x14ac:dyDescent="0.3">
      <c r="A6241" s="644"/>
      <c r="B6241" s="645"/>
    </row>
    <row r="6242" spans="1:2" x14ac:dyDescent="0.3">
      <c r="A6242" s="644"/>
      <c r="B6242" s="645"/>
    </row>
    <row r="6243" spans="1:2" x14ac:dyDescent="0.3">
      <c r="A6243" s="644"/>
      <c r="B6243" s="645"/>
    </row>
    <row r="6244" spans="1:2" x14ac:dyDescent="0.3">
      <c r="A6244" s="644"/>
      <c r="B6244" s="645"/>
    </row>
    <row r="6245" spans="1:2" x14ac:dyDescent="0.3">
      <c r="A6245" s="644"/>
      <c r="B6245" s="645"/>
    </row>
    <row r="6246" spans="1:2" x14ac:dyDescent="0.3">
      <c r="A6246" s="644"/>
      <c r="B6246" s="645"/>
    </row>
    <row r="6247" spans="1:2" x14ac:dyDescent="0.3">
      <c r="A6247" s="644"/>
      <c r="B6247" s="645"/>
    </row>
    <row r="6248" spans="1:2" x14ac:dyDescent="0.3">
      <c r="A6248" s="644"/>
      <c r="B6248" s="645"/>
    </row>
    <row r="6249" spans="1:2" x14ac:dyDescent="0.3">
      <c r="A6249" s="644"/>
      <c r="B6249" s="645"/>
    </row>
    <row r="6250" spans="1:2" x14ac:dyDescent="0.3">
      <c r="A6250" s="644"/>
      <c r="B6250" s="645"/>
    </row>
    <row r="6251" spans="1:2" x14ac:dyDescent="0.3">
      <c r="A6251" s="644"/>
      <c r="B6251" s="645"/>
    </row>
    <row r="6252" spans="1:2" x14ac:dyDescent="0.3">
      <c r="A6252" s="644"/>
      <c r="B6252" s="645"/>
    </row>
    <row r="6253" spans="1:2" x14ac:dyDescent="0.3">
      <c r="A6253" s="644"/>
      <c r="B6253" s="645"/>
    </row>
    <row r="6254" spans="1:2" x14ac:dyDescent="0.3">
      <c r="A6254" s="644"/>
      <c r="B6254" s="645"/>
    </row>
    <row r="6255" spans="1:2" x14ac:dyDescent="0.3">
      <c r="A6255" s="644"/>
      <c r="B6255" s="645"/>
    </row>
    <row r="6256" spans="1:2" x14ac:dyDescent="0.3">
      <c r="A6256" s="644"/>
      <c r="B6256" s="645"/>
    </row>
    <row r="6257" spans="1:2" x14ac:dyDescent="0.3">
      <c r="A6257" s="644"/>
      <c r="B6257" s="645"/>
    </row>
    <row r="6258" spans="1:2" x14ac:dyDescent="0.3">
      <c r="A6258" s="644"/>
      <c r="B6258" s="645"/>
    </row>
    <row r="6259" spans="1:2" x14ac:dyDescent="0.3">
      <c r="A6259" s="644"/>
      <c r="B6259" s="645"/>
    </row>
    <row r="6260" spans="1:2" x14ac:dyDescent="0.3">
      <c r="A6260" s="644"/>
      <c r="B6260" s="645"/>
    </row>
    <row r="6261" spans="1:2" x14ac:dyDescent="0.3">
      <c r="A6261" s="644"/>
      <c r="B6261" s="645"/>
    </row>
    <row r="6262" spans="1:2" x14ac:dyDescent="0.3">
      <c r="A6262" s="644"/>
      <c r="B6262" s="645"/>
    </row>
    <row r="6263" spans="1:2" x14ac:dyDescent="0.3">
      <c r="A6263" s="644"/>
      <c r="B6263" s="645"/>
    </row>
    <row r="6264" spans="1:2" x14ac:dyDescent="0.3">
      <c r="A6264" s="644"/>
      <c r="B6264" s="645"/>
    </row>
    <row r="6265" spans="1:2" x14ac:dyDescent="0.3">
      <c r="A6265" s="644"/>
      <c r="B6265" s="645"/>
    </row>
    <row r="6266" spans="1:2" x14ac:dyDescent="0.3">
      <c r="A6266" s="644"/>
      <c r="B6266" s="645"/>
    </row>
    <row r="6267" spans="1:2" x14ac:dyDescent="0.3">
      <c r="A6267" s="644"/>
      <c r="B6267" s="645"/>
    </row>
    <row r="6268" spans="1:2" x14ac:dyDescent="0.3">
      <c r="A6268" s="644"/>
      <c r="B6268" s="645"/>
    </row>
    <row r="6269" spans="1:2" x14ac:dyDescent="0.3">
      <c r="A6269" s="644"/>
      <c r="B6269" s="645"/>
    </row>
    <row r="6270" spans="1:2" x14ac:dyDescent="0.3">
      <c r="A6270" s="644"/>
      <c r="B6270" s="645"/>
    </row>
    <row r="6271" spans="1:2" x14ac:dyDescent="0.3">
      <c r="A6271" s="644"/>
      <c r="B6271" s="645"/>
    </row>
    <row r="6272" spans="1:2" x14ac:dyDescent="0.3">
      <c r="A6272" s="644"/>
      <c r="B6272" s="645"/>
    </row>
    <row r="6273" spans="1:2" x14ac:dyDescent="0.3">
      <c r="A6273" s="644"/>
      <c r="B6273" s="645"/>
    </row>
    <row r="6274" spans="1:2" x14ac:dyDescent="0.3">
      <c r="A6274" s="644"/>
      <c r="B6274" s="645"/>
    </row>
    <row r="6275" spans="1:2" x14ac:dyDescent="0.3">
      <c r="A6275" s="644"/>
      <c r="B6275" s="645"/>
    </row>
    <row r="6276" spans="1:2" x14ac:dyDescent="0.3">
      <c r="A6276" s="644"/>
      <c r="B6276" s="645"/>
    </row>
    <row r="6277" spans="1:2" x14ac:dyDescent="0.3">
      <c r="A6277" s="644"/>
      <c r="B6277" s="645"/>
    </row>
    <row r="6278" spans="1:2" x14ac:dyDescent="0.3">
      <c r="A6278" s="644"/>
      <c r="B6278" s="645"/>
    </row>
    <row r="6279" spans="1:2" x14ac:dyDescent="0.3">
      <c r="A6279" s="644"/>
      <c r="B6279" s="645"/>
    </row>
    <row r="6280" spans="1:2" x14ac:dyDescent="0.3">
      <c r="A6280" s="644"/>
      <c r="B6280" s="645"/>
    </row>
    <row r="6281" spans="1:2" x14ac:dyDescent="0.3">
      <c r="A6281" s="644"/>
      <c r="B6281" s="645"/>
    </row>
    <row r="6282" spans="1:2" x14ac:dyDescent="0.3">
      <c r="A6282" s="644"/>
      <c r="B6282" s="645"/>
    </row>
    <row r="6283" spans="1:2" x14ac:dyDescent="0.3">
      <c r="A6283" s="644"/>
      <c r="B6283" s="645"/>
    </row>
    <row r="6284" spans="1:2" x14ac:dyDescent="0.3">
      <c r="A6284" s="644"/>
      <c r="B6284" s="645"/>
    </row>
    <row r="6285" spans="1:2" x14ac:dyDescent="0.3">
      <c r="A6285" s="644"/>
      <c r="B6285" s="645"/>
    </row>
    <row r="6286" spans="1:2" x14ac:dyDescent="0.3">
      <c r="A6286" s="644"/>
      <c r="B6286" s="645"/>
    </row>
    <row r="6287" spans="1:2" x14ac:dyDescent="0.3">
      <c r="A6287" s="644"/>
      <c r="B6287" s="645"/>
    </row>
    <row r="6288" spans="1:2" x14ac:dyDescent="0.3">
      <c r="A6288" s="644"/>
      <c r="B6288" s="645"/>
    </row>
    <row r="6289" spans="1:2" x14ac:dyDescent="0.3">
      <c r="A6289" s="644"/>
      <c r="B6289" s="645"/>
    </row>
    <row r="6290" spans="1:2" x14ac:dyDescent="0.3">
      <c r="A6290" s="644"/>
      <c r="B6290" s="645"/>
    </row>
    <row r="6291" spans="1:2" x14ac:dyDescent="0.3">
      <c r="A6291" s="644"/>
      <c r="B6291" s="645"/>
    </row>
    <row r="6292" spans="1:2" x14ac:dyDescent="0.3">
      <c r="A6292" s="644"/>
      <c r="B6292" s="645"/>
    </row>
    <row r="6293" spans="1:2" x14ac:dyDescent="0.3">
      <c r="A6293" s="644"/>
      <c r="B6293" s="645"/>
    </row>
    <row r="6294" spans="1:2" x14ac:dyDescent="0.3">
      <c r="A6294" s="644"/>
      <c r="B6294" s="645"/>
    </row>
    <row r="6295" spans="1:2" x14ac:dyDescent="0.3">
      <c r="A6295" s="644"/>
      <c r="B6295" s="645"/>
    </row>
    <row r="6296" spans="1:2" x14ac:dyDescent="0.3">
      <c r="A6296" s="644"/>
      <c r="B6296" s="645"/>
    </row>
    <row r="6297" spans="1:2" x14ac:dyDescent="0.3">
      <c r="A6297" s="644"/>
      <c r="B6297" s="645"/>
    </row>
    <row r="6298" spans="1:2" x14ac:dyDescent="0.3">
      <c r="A6298" s="644"/>
      <c r="B6298" s="645"/>
    </row>
    <row r="6299" spans="1:2" x14ac:dyDescent="0.3">
      <c r="A6299" s="644"/>
      <c r="B6299" s="645"/>
    </row>
    <row r="6300" spans="1:2" x14ac:dyDescent="0.3">
      <c r="A6300" s="644"/>
      <c r="B6300" s="645"/>
    </row>
    <row r="6301" spans="1:2" x14ac:dyDescent="0.3">
      <c r="A6301" s="644"/>
      <c r="B6301" s="645"/>
    </row>
    <row r="6302" spans="1:2" x14ac:dyDescent="0.3">
      <c r="A6302" s="644"/>
      <c r="B6302" s="645"/>
    </row>
    <row r="6303" spans="1:2" x14ac:dyDescent="0.3">
      <c r="A6303" s="644"/>
      <c r="B6303" s="645"/>
    </row>
    <row r="6304" spans="1:2" x14ac:dyDescent="0.3">
      <c r="A6304" s="644"/>
      <c r="B6304" s="645"/>
    </row>
    <row r="6305" spans="1:2" x14ac:dyDescent="0.3">
      <c r="A6305" s="644"/>
      <c r="B6305" s="645"/>
    </row>
    <row r="6306" spans="1:2" x14ac:dyDescent="0.3">
      <c r="A6306" s="644"/>
      <c r="B6306" s="645"/>
    </row>
    <row r="6307" spans="1:2" x14ac:dyDescent="0.3">
      <c r="A6307" s="644"/>
      <c r="B6307" s="645"/>
    </row>
    <row r="6308" spans="1:2" x14ac:dyDescent="0.3">
      <c r="A6308" s="644"/>
      <c r="B6308" s="645"/>
    </row>
    <row r="6309" spans="1:2" x14ac:dyDescent="0.3">
      <c r="A6309" s="644"/>
      <c r="B6309" s="645"/>
    </row>
    <row r="6310" spans="1:2" x14ac:dyDescent="0.3">
      <c r="A6310" s="644"/>
      <c r="B6310" s="645"/>
    </row>
    <row r="6311" spans="1:2" x14ac:dyDescent="0.3">
      <c r="A6311" s="644"/>
      <c r="B6311" s="645"/>
    </row>
    <row r="6312" spans="1:2" x14ac:dyDescent="0.3">
      <c r="A6312" s="644"/>
      <c r="B6312" s="645"/>
    </row>
    <row r="6313" spans="1:2" x14ac:dyDescent="0.3">
      <c r="A6313" s="644"/>
      <c r="B6313" s="645"/>
    </row>
    <row r="6314" spans="1:2" x14ac:dyDescent="0.3">
      <c r="A6314" s="644"/>
      <c r="B6314" s="645"/>
    </row>
    <row r="6315" spans="1:2" x14ac:dyDescent="0.3">
      <c r="A6315" s="644"/>
      <c r="B6315" s="645"/>
    </row>
    <row r="6316" spans="1:2" x14ac:dyDescent="0.3">
      <c r="A6316" s="644"/>
      <c r="B6316" s="645"/>
    </row>
    <row r="6317" spans="1:2" x14ac:dyDescent="0.3">
      <c r="A6317" s="644"/>
      <c r="B6317" s="645"/>
    </row>
    <row r="6318" spans="1:2" x14ac:dyDescent="0.3">
      <c r="A6318" s="644"/>
      <c r="B6318" s="645"/>
    </row>
    <row r="6319" spans="1:2" x14ac:dyDescent="0.3">
      <c r="A6319" s="644"/>
      <c r="B6319" s="645"/>
    </row>
    <row r="6320" spans="1:2" x14ac:dyDescent="0.3">
      <c r="A6320" s="644"/>
      <c r="B6320" s="645"/>
    </row>
    <row r="6321" spans="1:2" x14ac:dyDescent="0.3">
      <c r="A6321" s="644"/>
      <c r="B6321" s="645"/>
    </row>
    <row r="6322" spans="1:2" x14ac:dyDescent="0.3">
      <c r="A6322" s="644"/>
      <c r="B6322" s="645"/>
    </row>
    <row r="6323" spans="1:2" x14ac:dyDescent="0.3">
      <c r="A6323" s="644"/>
      <c r="B6323" s="645"/>
    </row>
    <row r="6324" spans="1:2" x14ac:dyDescent="0.3">
      <c r="A6324" s="644"/>
      <c r="B6324" s="645"/>
    </row>
    <row r="6325" spans="1:2" x14ac:dyDescent="0.3">
      <c r="A6325" s="644"/>
      <c r="B6325" s="645"/>
    </row>
    <row r="6326" spans="1:2" x14ac:dyDescent="0.3">
      <c r="A6326" s="644"/>
      <c r="B6326" s="645"/>
    </row>
    <row r="6327" spans="1:2" x14ac:dyDescent="0.3">
      <c r="A6327" s="644"/>
      <c r="B6327" s="645"/>
    </row>
    <row r="6328" spans="1:2" x14ac:dyDescent="0.3">
      <c r="A6328" s="644"/>
      <c r="B6328" s="645"/>
    </row>
    <row r="6329" spans="1:2" x14ac:dyDescent="0.3">
      <c r="A6329" s="644"/>
      <c r="B6329" s="645"/>
    </row>
    <row r="6330" spans="1:2" x14ac:dyDescent="0.3">
      <c r="A6330" s="644"/>
      <c r="B6330" s="645"/>
    </row>
    <row r="6331" spans="1:2" x14ac:dyDescent="0.3">
      <c r="A6331" s="644"/>
      <c r="B6331" s="645"/>
    </row>
    <row r="6332" spans="1:2" x14ac:dyDescent="0.3">
      <c r="A6332" s="644"/>
      <c r="B6332" s="645"/>
    </row>
    <row r="6333" spans="1:2" x14ac:dyDescent="0.3">
      <c r="A6333" s="644"/>
      <c r="B6333" s="645"/>
    </row>
    <row r="6334" spans="1:2" x14ac:dyDescent="0.3">
      <c r="A6334" s="644"/>
      <c r="B6334" s="645"/>
    </row>
    <row r="6335" spans="1:2" x14ac:dyDescent="0.3">
      <c r="A6335" s="644"/>
      <c r="B6335" s="645"/>
    </row>
    <row r="6336" spans="1:2" x14ac:dyDescent="0.3">
      <c r="A6336" s="644"/>
      <c r="B6336" s="645"/>
    </row>
    <row r="6337" spans="1:2" x14ac:dyDescent="0.3">
      <c r="A6337" s="644"/>
      <c r="B6337" s="645"/>
    </row>
    <row r="6338" spans="1:2" x14ac:dyDescent="0.3">
      <c r="A6338" s="644"/>
      <c r="B6338" s="645"/>
    </row>
    <row r="6339" spans="1:2" x14ac:dyDescent="0.3">
      <c r="A6339" s="644"/>
      <c r="B6339" s="645"/>
    </row>
    <row r="6340" spans="1:2" x14ac:dyDescent="0.3">
      <c r="A6340" s="644"/>
      <c r="B6340" s="645"/>
    </row>
    <row r="6341" spans="1:2" x14ac:dyDescent="0.3">
      <c r="A6341" s="644"/>
      <c r="B6341" s="645"/>
    </row>
    <row r="6342" spans="1:2" x14ac:dyDescent="0.3">
      <c r="A6342" s="644"/>
      <c r="B6342" s="645"/>
    </row>
    <row r="6343" spans="1:2" x14ac:dyDescent="0.3">
      <c r="A6343" s="644"/>
      <c r="B6343" s="645"/>
    </row>
    <row r="6344" spans="1:2" x14ac:dyDescent="0.3">
      <c r="A6344" s="644"/>
      <c r="B6344" s="645"/>
    </row>
    <row r="6345" spans="1:2" x14ac:dyDescent="0.3">
      <c r="A6345" s="644"/>
      <c r="B6345" s="645"/>
    </row>
    <row r="6346" spans="1:2" x14ac:dyDescent="0.3">
      <c r="A6346" s="644"/>
      <c r="B6346" s="645"/>
    </row>
    <row r="6347" spans="1:2" x14ac:dyDescent="0.3">
      <c r="A6347" s="644"/>
      <c r="B6347" s="645"/>
    </row>
    <row r="6348" spans="1:2" x14ac:dyDescent="0.3">
      <c r="A6348" s="644"/>
      <c r="B6348" s="645"/>
    </row>
    <row r="6349" spans="1:2" x14ac:dyDescent="0.3">
      <c r="A6349" s="644"/>
      <c r="B6349" s="645"/>
    </row>
    <row r="6350" spans="1:2" x14ac:dyDescent="0.3">
      <c r="A6350" s="644"/>
      <c r="B6350" s="645"/>
    </row>
    <row r="6351" spans="1:2" x14ac:dyDescent="0.3">
      <c r="A6351" s="644"/>
      <c r="B6351" s="645"/>
    </row>
    <row r="6352" spans="1:2" x14ac:dyDescent="0.3">
      <c r="A6352" s="644"/>
      <c r="B6352" s="645"/>
    </row>
    <row r="6353" spans="1:2" x14ac:dyDescent="0.3">
      <c r="A6353" s="644"/>
      <c r="B6353" s="645"/>
    </row>
    <row r="6354" spans="1:2" x14ac:dyDescent="0.3">
      <c r="A6354" s="644"/>
      <c r="B6354" s="645"/>
    </row>
    <row r="6355" spans="1:2" x14ac:dyDescent="0.3">
      <c r="A6355" s="644"/>
      <c r="B6355" s="645"/>
    </row>
    <row r="6356" spans="1:2" x14ac:dyDescent="0.3">
      <c r="A6356" s="644"/>
      <c r="B6356" s="645"/>
    </row>
    <row r="6357" spans="1:2" x14ac:dyDescent="0.3">
      <c r="A6357" s="644"/>
      <c r="B6357" s="645"/>
    </row>
    <row r="6358" spans="1:2" x14ac:dyDescent="0.3">
      <c r="A6358" s="644"/>
      <c r="B6358" s="645"/>
    </row>
    <row r="6359" spans="1:2" x14ac:dyDescent="0.3">
      <c r="A6359" s="644"/>
      <c r="B6359" s="645"/>
    </row>
    <row r="6360" spans="1:2" x14ac:dyDescent="0.3">
      <c r="A6360" s="644"/>
      <c r="B6360" s="645"/>
    </row>
    <row r="6361" spans="1:2" x14ac:dyDescent="0.3">
      <c r="A6361" s="644"/>
      <c r="B6361" s="645"/>
    </row>
    <row r="6362" spans="1:2" x14ac:dyDescent="0.3">
      <c r="A6362" s="644"/>
      <c r="B6362" s="645"/>
    </row>
    <row r="6363" spans="1:2" x14ac:dyDescent="0.3">
      <c r="A6363" s="644"/>
      <c r="B6363" s="645"/>
    </row>
    <row r="6364" spans="1:2" x14ac:dyDescent="0.3">
      <c r="A6364" s="644"/>
      <c r="B6364" s="645"/>
    </row>
    <row r="6365" spans="1:2" x14ac:dyDescent="0.3">
      <c r="A6365" s="644"/>
      <c r="B6365" s="645"/>
    </row>
    <row r="6366" spans="1:2" x14ac:dyDescent="0.3">
      <c r="A6366" s="644"/>
      <c r="B6366" s="645"/>
    </row>
    <row r="6367" spans="1:2" x14ac:dyDescent="0.3">
      <c r="A6367" s="644"/>
      <c r="B6367" s="645"/>
    </row>
    <row r="6368" spans="1:2" x14ac:dyDescent="0.3">
      <c r="A6368" s="644"/>
      <c r="B6368" s="645"/>
    </row>
    <row r="6369" spans="1:2" x14ac:dyDescent="0.3">
      <c r="A6369" s="644"/>
      <c r="B6369" s="645"/>
    </row>
    <row r="6370" spans="1:2" x14ac:dyDescent="0.3">
      <c r="A6370" s="644"/>
      <c r="B6370" s="645"/>
    </row>
    <row r="6371" spans="1:2" x14ac:dyDescent="0.3">
      <c r="A6371" s="644"/>
      <c r="B6371" s="645"/>
    </row>
    <row r="6372" spans="1:2" x14ac:dyDescent="0.3">
      <c r="A6372" s="644"/>
      <c r="B6372" s="645"/>
    </row>
    <row r="6373" spans="1:2" x14ac:dyDescent="0.3">
      <c r="A6373" s="644"/>
      <c r="B6373" s="645"/>
    </row>
    <row r="6374" spans="1:2" x14ac:dyDescent="0.3">
      <c r="A6374" s="644"/>
      <c r="B6374" s="645"/>
    </row>
    <row r="6375" spans="1:2" x14ac:dyDescent="0.3">
      <c r="A6375" s="644"/>
      <c r="B6375" s="645"/>
    </row>
    <row r="6376" spans="1:2" x14ac:dyDescent="0.3">
      <c r="A6376" s="644"/>
      <c r="B6376" s="645"/>
    </row>
    <row r="6377" spans="1:2" x14ac:dyDescent="0.3">
      <c r="A6377" s="644"/>
      <c r="B6377" s="645"/>
    </row>
    <row r="6378" spans="1:2" x14ac:dyDescent="0.3">
      <c r="A6378" s="644"/>
      <c r="B6378" s="645"/>
    </row>
    <row r="6379" spans="1:2" x14ac:dyDescent="0.3">
      <c r="A6379" s="644"/>
      <c r="B6379" s="645"/>
    </row>
    <row r="6380" spans="1:2" x14ac:dyDescent="0.3">
      <c r="A6380" s="644"/>
      <c r="B6380" s="645"/>
    </row>
    <row r="6381" spans="1:2" x14ac:dyDescent="0.3">
      <c r="A6381" s="644"/>
      <c r="B6381" s="645"/>
    </row>
    <row r="6382" spans="1:2" x14ac:dyDescent="0.3">
      <c r="A6382" s="644"/>
      <c r="B6382" s="645"/>
    </row>
    <row r="6383" spans="1:2" x14ac:dyDescent="0.3">
      <c r="A6383" s="644"/>
      <c r="B6383" s="645"/>
    </row>
    <row r="6384" spans="1:2" x14ac:dyDescent="0.3">
      <c r="A6384" s="644"/>
      <c r="B6384" s="645"/>
    </row>
    <row r="6385" spans="1:2" x14ac:dyDescent="0.3">
      <c r="A6385" s="644"/>
      <c r="B6385" s="645"/>
    </row>
    <row r="6386" spans="1:2" x14ac:dyDescent="0.3">
      <c r="A6386" s="644"/>
      <c r="B6386" s="645"/>
    </row>
    <row r="6387" spans="1:2" x14ac:dyDescent="0.3">
      <c r="A6387" s="644"/>
      <c r="B6387" s="645"/>
    </row>
    <row r="6388" spans="1:2" x14ac:dyDescent="0.3">
      <c r="A6388" s="644"/>
      <c r="B6388" s="645"/>
    </row>
    <row r="6389" spans="1:2" x14ac:dyDescent="0.3">
      <c r="A6389" s="644"/>
      <c r="B6389" s="645"/>
    </row>
    <row r="6390" spans="1:2" x14ac:dyDescent="0.3">
      <c r="A6390" s="644"/>
      <c r="B6390" s="645"/>
    </row>
    <row r="6391" spans="1:2" x14ac:dyDescent="0.3">
      <c r="A6391" s="644"/>
      <c r="B6391" s="645"/>
    </row>
    <row r="6392" spans="1:2" x14ac:dyDescent="0.3">
      <c r="A6392" s="644"/>
      <c r="B6392" s="645"/>
    </row>
    <row r="6393" spans="1:2" x14ac:dyDescent="0.3">
      <c r="A6393" s="644"/>
      <c r="B6393" s="645"/>
    </row>
    <row r="6394" spans="1:2" x14ac:dyDescent="0.3">
      <c r="A6394" s="644"/>
      <c r="B6394" s="645"/>
    </row>
    <row r="6395" spans="1:2" x14ac:dyDescent="0.3">
      <c r="A6395" s="644"/>
      <c r="B6395" s="645"/>
    </row>
    <row r="6396" spans="1:2" x14ac:dyDescent="0.3">
      <c r="A6396" s="644"/>
      <c r="B6396" s="645"/>
    </row>
    <row r="6397" spans="1:2" x14ac:dyDescent="0.3">
      <c r="A6397" s="644"/>
      <c r="B6397" s="645"/>
    </row>
    <row r="6398" spans="1:2" x14ac:dyDescent="0.3">
      <c r="A6398" s="644"/>
      <c r="B6398" s="645"/>
    </row>
    <row r="6399" spans="1:2" x14ac:dyDescent="0.3">
      <c r="A6399" s="644"/>
      <c r="B6399" s="645"/>
    </row>
    <row r="6400" spans="1:2" x14ac:dyDescent="0.3">
      <c r="A6400" s="644"/>
      <c r="B6400" s="645"/>
    </row>
    <row r="6401" spans="1:2" x14ac:dyDescent="0.3">
      <c r="A6401" s="644"/>
      <c r="B6401" s="645"/>
    </row>
    <row r="6402" spans="1:2" x14ac:dyDescent="0.3">
      <c r="A6402" s="644"/>
      <c r="B6402" s="645"/>
    </row>
    <row r="6403" spans="1:2" x14ac:dyDescent="0.3">
      <c r="A6403" s="644"/>
      <c r="B6403" s="645"/>
    </row>
    <row r="6404" spans="1:2" x14ac:dyDescent="0.3">
      <c r="A6404" s="644"/>
      <c r="B6404" s="645"/>
    </row>
    <row r="6405" spans="1:2" x14ac:dyDescent="0.3">
      <c r="A6405" s="644"/>
      <c r="B6405" s="645"/>
    </row>
    <row r="6406" spans="1:2" x14ac:dyDescent="0.3">
      <c r="A6406" s="644"/>
      <c r="B6406" s="645"/>
    </row>
    <row r="6407" spans="1:2" x14ac:dyDescent="0.3">
      <c r="A6407" s="644"/>
      <c r="B6407" s="645"/>
    </row>
    <row r="6408" spans="1:2" x14ac:dyDescent="0.3">
      <c r="A6408" s="644"/>
      <c r="B6408" s="645"/>
    </row>
    <row r="6409" spans="1:2" x14ac:dyDescent="0.3">
      <c r="A6409" s="644"/>
      <c r="B6409" s="645"/>
    </row>
    <row r="6410" spans="1:2" x14ac:dyDescent="0.3">
      <c r="A6410" s="644"/>
      <c r="B6410" s="645"/>
    </row>
    <row r="6411" spans="1:2" x14ac:dyDescent="0.3">
      <c r="A6411" s="644"/>
      <c r="B6411" s="645"/>
    </row>
    <row r="6412" spans="1:2" x14ac:dyDescent="0.3">
      <c r="A6412" s="644"/>
      <c r="B6412" s="645"/>
    </row>
    <row r="6413" spans="1:2" x14ac:dyDescent="0.3">
      <c r="A6413" s="644"/>
      <c r="B6413" s="645"/>
    </row>
    <row r="6414" spans="1:2" x14ac:dyDescent="0.3">
      <c r="A6414" s="644"/>
      <c r="B6414" s="645"/>
    </row>
    <row r="6415" spans="1:2" x14ac:dyDescent="0.3">
      <c r="A6415" s="644"/>
      <c r="B6415" s="645"/>
    </row>
    <row r="6416" spans="1:2" x14ac:dyDescent="0.3">
      <c r="A6416" s="644"/>
      <c r="B6416" s="645"/>
    </row>
    <row r="6417" spans="1:2" x14ac:dyDescent="0.3">
      <c r="A6417" s="644"/>
      <c r="B6417" s="645"/>
    </row>
    <row r="6418" spans="1:2" x14ac:dyDescent="0.3">
      <c r="A6418" s="644"/>
      <c r="B6418" s="645"/>
    </row>
    <row r="6419" spans="1:2" x14ac:dyDescent="0.3">
      <c r="A6419" s="644"/>
      <c r="B6419" s="645"/>
    </row>
    <row r="6420" spans="1:2" x14ac:dyDescent="0.3">
      <c r="A6420" s="644"/>
      <c r="B6420" s="645"/>
    </row>
    <row r="6421" spans="1:2" x14ac:dyDescent="0.3">
      <c r="A6421" s="644"/>
      <c r="B6421" s="645"/>
    </row>
    <row r="6422" spans="1:2" x14ac:dyDescent="0.3">
      <c r="A6422" s="644"/>
      <c r="B6422" s="645"/>
    </row>
    <row r="6423" spans="1:2" x14ac:dyDescent="0.3">
      <c r="A6423" s="644"/>
      <c r="B6423" s="645"/>
    </row>
    <row r="6424" spans="1:2" x14ac:dyDescent="0.3">
      <c r="A6424" s="644"/>
      <c r="B6424" s="645"/>
    </row>
    <row r="6425" spans="1:2" x14ac:dyDescent="0.3">
      <c r="A6425" s="644"/>
      <c r="B6425" s="645"/>
    </row>
    <row r="6426" spans="1:2" x14ac:dyDescent="0.3">
      <c r="A6426" s="644"/>
      <c r="B6426" s="645"/>
    </row>
    <row r="6427" spans="1:2" x14ac:dyDescent="0.3">
      <c r="A6427" s="644"/>
      <c r="B6427" s="645"/>
    </row>
    <row r="6428" spans="1:2" x14ac:dyDescent="0.3">
      <c r="A6428" s="644"/>
      <c r="B6428" s="645"/>
    </row>
    <row r="6429" spans="1:2" x14ac:dyDescent="0.3">
      <c r="A6429" s="644"/>
      <c r="B6429" s="645"/>
    </row>
    <row r="6430" spans="1:2" x14ac:dyDescent="0.3">
      <c r="A6430" s="644"/>
      <c r="B6430" s="645"/>
    </row>
    <row r="6431" spans="1:2" x14ac:dyDescent="0.3">
      <c r="A6431" s="644"/>
      <c r="B6431" s="645"/>
    </row>
    <row r="6432" spans="1:2" x14ac:dyDescent="0.3">
      <c r="A6432" s="644"/>
      <c r="B6432" s="645"/>
    </row>
    <row r="6433" spans="1:2" x14ac:dyDescent="0.3">
      <c r="A6433" s="644"/>
      <c r="B6433" s="645"/>
    </row>
    <row r="6434" spans="1:2" x14ac:dyDescent="0.3">
      <c r="A6434" s="644"/>
      <c r="B6434" s="645"/>
    </row>
    <row r="6435" spans="1:2" x14ac:dyDescent="0.3">
      <c r="A6435" s="644"/>
      <c r="B6435" s="645"/>
    </row>
    <row r="6436" spans="1:2" x14ac:dyDescent="0.3">
      <c r="A6436" s="644"/>
      <c r="B6436" s="645"/>
    </row>
    <row r="6437" spans="1:2" x14ac:dyDescent="0.3">
      <c r="A6437" s="644"/>
      <c r="B6437" s="645"/>
    </row>
    <row r="6438" spans="1:2" x14ac:dyDescent="0.3">
      <c r="A6438" s="644"/>
      <c r="B6438" s="645"/>
    </row>
    <row r="6439" spans="1:2" x14ac:dyDescent="0.3">
      <c r="A6439" s="644"/>
      <c r="B6439" s="645"/>
    </row>
    <row r="6440" spans="1:2" x14ac:dyDescent="0.3">
      <c r="A6440" s="644"/>
      <c r="B6440" s="645"/>
    </row>
    <row r="6441" spans="1:2" x14ac:dyDescent="0.3">
      <c r="A6441" s="644"/>
      <c r="B6441" s="645"/>
    </row>
    <row r="6442" spans="1:2" x14ac:dyDescent="0.3">
      <c r="A6442" s="644"/>
      <c r="B6442" s="645"/>
    </row>
    <row r="6443" spans="1:2" x14ac:dyDescent="0.3">
      <c r="A6443" s="644"/>
      <c r="B6443" s="645"/>
    </row>
    <row r="6444" spans="1:2" x14ac:dyDescent="0.3">
      <c r="A6444" s="644"/>
      <c r="B6444" s="645"/>
    </row>
    <row r="6445" spans="1:2" x14ac:dyDescent="0.3">
      <c r="A6445" s="644"/>
      <c r="B6445" s="645"/>
    </row>
    <row r="6446" spans="1:2" x14ac:dyDescent="0.3">
      <c r="A6446" s="644"/>
      <c r="B6446" s="645"/>
    </row>
    <row r="6447" spans="1:2" x14ac:dyDescent="0.3">
      <c r="A6447" s="644"/>
      <c r="B6447" s="645"/>
    </row>
    <row r="6448" spans="1:2" x14ac:dyDescent="0.3">
      <c r="A6448" s="644"/>
      <c r="B6448" s="645"/>
    </row>
    <row r="6449" spans="1:2" x14ac:dyDescent="0.3">
      <c r="A6449" s="644"/>
      <c r="B6449" s="645"/>
    </row>
    <row r="6450" spans="1:2" x14ac:dyDescent="0.3">
      <c r="A6450" s="644"/>
      <c r="B6450" s="645"/>
    </row>
    <row r="6451" spans="1:2" x14ac:dyDescent="0.3">
      <c r="A6451" s="644"/>
      <c r="B6451" s="645"/>
    </row>
    <row r="6452" spans="1:2" x14ac:dyDescent="0.3">
      <c r="A6452" s="644"/>
      <c r="B6452" s="645"/>
    </row>
    <row r="6453" spans="1:2" x14ac:dyDescent="0.3">
      <c r="A6453" s="644"/>
      <c r="B6453" s="645"/>
    </row>
    <row r="6454" spans="1:2" x14ac:dyDescent="0.3">
      <c r="A6454" s="644"/>
      <c r="B6454" s="645"/>
    </row>
    <row r="6455" spans="1:2" x14ac:dyDescent="0.3">
      <c r="A6455" s="644"/>
      <c r="B6455" s="645"/>
    </row>
    <row r="6456" spans="1:2" x14ac:dyDescent="0.3">
      <c r="A6456" s="644"/>
      <c r="B6456" s="645"/>
    </row>
    <row r="6457" spans="1:2" x14ac:dyDescent="0.3">
      <c r="A6457" s="644"/>
      <c r="B6457" s="645"/>
    </row>
    <row r="6458" spans="1:2" x14ac:dyDescent="0.3">
      <c r="A6458" s="644"/>
      <c r="B6458" s="645"/>
    </row>
    <row r="6459" spans="1:2" x14ac:dyDescent="0.3">
      <c r="A6459" s="644"/>
      <c r="B6459" s="645"/>
    </row>
    <row r="6460" spans="1:2" x14ac:dyDescent="0.3">
      <c r="A6460" s="644"/>
      <c r="B6460" s="645"/>
    </row>
    <row r="6461" spans="1:2" x14ac:dyDescent="0.3">
      <c r="A6461" s="644"/>
      <c r="B6461" s="645"/>
    </row>
    <row r="6462" spans="1:2" x14ac:dyDescent="0.3">
      <c r="A6462" s="644"/>
      <c r="B6462" s="645"/>
    </row>
    <row r="6463" spans="1:2" x14ac:dyDescent="0.3">
      <c r="A6463" s="644"/>
      <c r="B6463" s="645"/>
    </row>
    <row r="6464" spans="1:2" x14ac:dyDescent="0.3">
      <c r="A6464" s="644"/>
      <c r="B6464" s="645"/>
    </row>
    <row r="6465" spans="1:2" x14ac:dyDescent="0.3">
      <c r="A6465" s="644"/>
      <c r="B6465" s="645"/>
    </row>
    <row r="6466" spans="1:2" x14ac:dyDescent="0.3">
      <c r="A6466" s="644"/>
      <c r="B6466" s="645"/>
    </row>
    <row r="6467" spans="1:2" x14ac:dyDescent="0.3">
      <c r="A6467" s="644"/>
      <c r="B6467" s="645"/>
    </row>
    <row r="6468" spans="1:2" x14ac:dyDescent="0.3">
      <c r="A6468" s="644"/>
      <c r="B6468" s="645"/>
    </row>
    <row r="6469" spans="1:2" x14ac:dyDescent="0.3">
      <c r="A6469" s="644"/>
      <c r="B6469" s="645"/>
    </row>
    <row r="6470" spans="1:2" x14ac:dyDescent="0.3">
      <c r="A6470" s="644"/>
      <c r="B6470" s="645"/>
    </row>
    <row r="6471" spans="1:2" x14ac:dyDescent="0.3">
      <c r="A6471" s="644"/>
      <c r="B6471" s="645"/>
    </row>
    <row r="6472" spans="1:2" x14ac:dyDescent="0.3">
      <c r="A6472" s="644"/>
      <c r="B6472" s="645"/>
    </row>
    <row r="6473" spans="1:2" x14ac:dyDescent="0.3">
      <c r="A6473" s="644"/>
      <c r="B6473" s="645"/>
    </row>
    <row r="6474" spans="1:2" x14ac:dyDescent="0.3">
      <c r="A6474" s="644"/>
      <c r="B6474" s="645"/>
    </row>
    <row r="6475" spans="1:2" x14ac:dyDescent="0.3">
      <c r="A6475" s="644"/>
      <c r="B6475" s="645"/>
    </row>
    <row r="6476" spans="1:2" x14ac:dyDescent="0.3">
      <c r="A6476" s="644"/>
      <c r="B6476" s="645"/>
    </row>
    <row r="6477" spans="1:2" x14ac:dyDescent="0.3">
      <c r="A6477" s="644"/>
      <c r="B6477" s="645"/>
    </row>
    <row r="6478" spans="1:2" x14ac:dyDescent="0.3">
      <c r="A6478" s="644"/>
      <c r="B6478" s="645"/>
    </row>
    <row r="6479" spans="1:2" x14ac:dyDescent="0.3">
      <c r="A6479" s="644"/>
      <c r="B6479" s="645"/>
    </row>
    <row r="6480" spans="1:2" x14ac:dyDescent="0.3">
      <c r="A6480" s="644"/>
      <c r="B6480" s="645"/>
    </row>
    <row r="6481" spans="1:2" x14ac:dyDescent="0.3">
      <c r="A6481" s="644"/>
      <c r="B6481" s="645"/>
    </row>
    <row r="6482" spans="1:2" x14ac:dyDescent="0.3">
      <c r="A6482" s="644"/>
      <c r="B6482" s="645"/>
    </row>
    <row r="6483" spans="1:2" x14ac:dyDescent="0.3">
      <c r="A6483" s="644"/>
      <c r="B6483" s="645"/>
    </row>
    <row r="6484" spans="1:2" x14ac:dyDescent="0.3">
      <c r="A6484" s="644"/>
      <c r="B6484" s="645"/>
    </row>
    <row r="6485" spans="1:2" x14ac:dyDescent="0.3">
      <c r="A6485" s="644"/>
      <c r="B6485" s="645"/>
    </row>
    <row r="6486" spans="1:2" x14ac:dyDescent="0.3">
      <c r="A6486" s="644"/>
      <c r="B6486" s="645"/>
    </row>
    <row r="6487" spans="1:2" x14ac:dyDescent="0.3">
      <c r="A6487" s="644"/>
      <c r="B6487" s="645"/>
    </row>
    <row r="6488" spans="1:2" x14ac:dyDescent="0.3">
      <c r="A6488" s="644"/>
      <c r="B6488" s="645"/>
    </row>
    <row r="6489" spans="1:2" x14ac:dyDescent="0.3">
      <c r="A6489" s="644"/>
      <c r="B6489" s="645"/>
    </row>
    <row r="6490" spans="1:2" x14ac:dyDescent="0.3">
      <c r="A6490" s="644"/>
      <c r="B6490" s="645"/>
    </row>
    <row r="6491" spans="1:2" x14ac:dyDescent="0.3">
      <c r="A6491" s="644"/>
      <c r="B6491" s="645"/>
    </row>
    <row r="6492" spans="1:2" x14ac:dyDescent="0.3">
      <c r="A6492" s="644"/>
      <c r="B6492" s="645"/>
    </row>
    <row r="6493" spans="1:2" x14ac:dyDescent="0.3">
      <c r="A6493" s="644"/>
      <c r="B6493" s="645"/>
    </row>
    <row r="6494" spans="1:2" x14ac:dyDescent="0.3">
      <c r="A6494" s="644"/>
      <c r="B6494" s="645"/>
    </row>
    <row r="6495" spans="1:2" x14ac:dyDescent="0.3">
      <c r="A6495" s="644"/>
      <c r="B6495" s="645"/>
    </row>
    <row r="6496" spans="1:2" x14ac:dyDescent="0.3">
      <c r="A6496" s="644"/>
      <c r="B6496" s="645"/>
    </row>
    <row r="6497" spans="1:2" x14ac:dyDescent="0.3">
      <c r="A6497" s="644"/>
      <c r="B6497" s="645"/>
    </row>
    <row r="6498" spans="1:2" x14ac:dyDescent="0.3">
      <c r="A6498" s="644"/>
      <c r="B6498" s="645"/>
    </row>
    <row r="6499" spans="1:2" x14ac:dyDescent="0.3">
      <c r="A6499" s="644"/>
      <c r="B6499" s="645"/>
    </row>
    <row r="6500" spans="1:2" x14ac:dyDescent="0.3">
      <c r="A6500" s="644"/>
      <c r="B6500" s="645"/>
    </row>
    <row r="6501" spans="1:2" x14ac:dyDescent="0.3">
      <c r="A6501" s="644"/>
      <c r="B6501" s="645"/>
    </row>
    <row r="6502" spans="1:2" x14ac:dyDescent="0.3">
      <c r="A6502" s="644"/>
      <c r="B6502" s="645"/>
    </row>
    <row r="6503" spans="1:2" x14ac:dyDescent="0.3">
      <c r="A6503" s="644"/>
      <c r="B6503" s="645"/>
    </row>
    <row r="6504" spans="1:2" x14ac:dyDescent="0.3">
      <c r="A6504" s="644"/>
      <c r="B6504" s="645"/>
    </row>
    <row r="6505" spans="1:2" x14ac:dyDescent="0.3">
      <c r="A6505" s="644"/>
      <c r="B6505" s="645"/>
    </row>
    <row r="6506" spans="1:2" x14ac:dyDescent="0.3">
      <c r="A6506" s="644"/>
      <c r="B6506" s="645"/>
    </row>
    <row r="6507" spans="1:2" x14ac:dyDescent="0.3">
      <c r="A6507" s="644"/>
      <c r="B6507" s="645"/>
    </row>
    <row r="6508" spans="1:2" x14ac:dyDescent="0.3">
      <c r="A6508" s="644"/>
      <c r="B6508" s="645"/>
    </row>
    <row r="6509" spans="1:2" x14ac:dyDescent="0.3">
      <c r="A6509" s="644"/>
      <c r="B6509" s="645"/>
    </row>
    <row r="6510" spans="1:2" x14ac:dyDescent="0.3">
      <c r="A6510" s="644"/>
      <c r="B6510" s="645"/>
    </row>
    <row r="6511" spans="1:2" x14ac:dyDescent="0.3">
      <c r="A6511" s="644"/>
      <c r="B6511" s="645"/>
    </row>
    <row r="6512" spans="1:2" x14ac:dyDescent="0.3">
      <c r="A6512" s="644"/>
      <c r="B6512" s="645"/>
    </row>
    <row r="6513" spans="1:2" x14ac:dyDescent="0.3">
      <c r="A6513" s="644"/>
      <c r="B6513" s="645"/>
    </row>
    <row r="6514" spans="1:2" x14ac:dyDescent="0.3">
      <c r="A6514" s="644"/>
      <c r="B6514" s="645"/>
    </row>
    <row r="6515" spans="1:2" x14ac:dyDescent="0.3">
      <c r="A6515" s="644"/>
      <c r="B6515" s="645"/>
    </row>
    <row r="6516" spans="1:2" x14ac:dyDescent="0.3">
      <c r="A6516" s="644"/>
      <c r="B6516" s="645"/>
    </row>
    <row r="6517" spans="1:2" x14ac:dyDescent="0.3">
      <c r="A6517" s="644"/>
      <c r="B6517" s="645"/>
    </row>
    <row r="6518" spans="1:2" x14ac:dyDescent="0.3">
      <c r="A6518" s="644"/>
      <c r="B6518" s="645"/>
    </row>
    <row r="6519" spans="1:2" x14ac:dyDescent="0.3">
      <c r="A6519" s="644"/>
      <c r="B6519" s="645"/>
    </row>
    <row r="6520" spans="1:2" x14ac:dyDescent="0.3">
      <c r="A6520" s="644"/>
      <c r="B6520" s="645"/>
    </row>
    <row r="6521" spans="1:2" x14ac:dyDescent="0.3">
      <c r="A6521" s="644"/>
      <c r="B6521" s="645"/>
    </row>
    <row r="6522" spans="1:2" x14ac:dyDescent="0.3">
      <c r="A6522" s="644"/>
      <c r="B6522" s="645"/>
    </row>
    <row r="6523" spans="1:2" x14ac:dyDescent="0.3">
      <c r="A6523" s="644"/>
      <c r="B6523" s="645"/>
    </row>
    <row r="6524" spans="1:2" x14ac:dyDescent="0.3">
      <c r="A6524" s="644"/>
      <c r="B6524" s="645"/>
    </row>
    <row r="6525" spans="1:2" x14ac:dyDescent="0.3">
      <c r="A6525" s="644"/>
      <c r="B6525" s="645"/>
    </row>
    <row r="6526" spans="1:2" x14ac:dyDescent="0.3">
      <c r="A6526" s="644"/>
      <c r="B6526" s="645"/>
    </row>
    <row r="6527" spans="1:2" x14ac:dyDescent="0.3">
      <c r="A6527" s="644"/>
      <c r="B6527" s="645"/>
    </row>
    <row r="6528" spans="1:2" x14ac:dyDescent="0.3">
      <c r="A6528" s="644"/>
      <c r="B6528" s="645"/>
    </row>
    <row r="6529" spans="1:2" x14ac:dyDescent="0.3">
      <c r="A6529" s="644"/>
      <c r="B6529" s="645"/>
    </row>
    <row r="6530" spans="1:2" x14ac:dyDescent="0.3">
      <c r="A6530" s="644"/>
      <c r="B6530" s="645"/>
    </row>
    <row r="6531" spans="1:2" x14ac:dyDescent="0.3">
      <c r="A6531" s="644"/>
      <c r="B6531" s="645"/>
    </row>
    <row r="6532" spans="1:2" x14ac:dyDescent="0.3">
      <c r="A6532" s="644"/>
      <c r="B6532" s="645"/>
    </row>
    <row r="6533" spans="1:2" x14ac:dyDescent="0.3">
      <c r="A6533" s="644"/>
      <c r="B6533" s="645"/>
    </row>
    <row r="6534" spans="1:2" x14ac:dyDescent="0.3">
      <c r="A6534" s="644"/>
      <c r="B6534" s="645"/>
    </row>
    <row r="6535" spans="1:2" x14ac:dyDescent="0.3">
      <c r="A6535" s="644"/>
      <c r="B6535" s="645"/>
    </row>
    <row r="6536" spans="1:2" x14ac:dyDescent="0.3">
      <c r="A6536" s="644"/>
      <c r="B6536" s="645"/>
    </row>
    <row r="6537" spans="1:2" x14ac:dyDescent="0.3">
      <c r="A6537" s="644"/>
      <c r="B6537" s="645"/>
    </row>
    <row r="6538" spans="1:2" x14ac:dyDescent="0.3">
      <c r="A6538" s="644"/>
      <c r="B6538" s="645"/>
    </row>
    <row r="6539" spans="1:2" x14ac:dyDescent="0.3">
      <c r="A6539" s="644"/>
      <c r="B6539" s="645"/>
    </row>
    <row r="6540" spans="1:2" x14ac:dyDescent="0.3">
      <c r="A6540" s="644"/>
      <c r="B6540" s="645"/>
    </row>
    <row r="6541" spans="1:2" x14ac:dyDescent="0.3">
      <c r="A6541" s="644"/>
      <c r="B6541" s="645"/>
    </row>
    <row r="6542" spans="1:2" x14ac:dyDescent="0.3">
      <c r="A6542" s="644"/>
      <c r="B6542" s="645"/>
    </row>
    <row r="6543" spans="1:2" x14ac:dyDescent="0.3">
      <c r="A6543" s="644"/>
      <c r="B6543" s="645"/>
    </row>
    <row r="6544" spans="1:2" x14ac:dyDescent="0.3">
      <c r="A6544" s="644"/>
      <c r="B6544" s="645"/>
    </row>
    <row r="6545" spans="1:2" x14ac:dyDescent="0.3">
      <c r="A6545" s="644"/>
      <c r="B6545" s="645"/>
    </row>
    <row r="6546" spans="1:2" x14ac:dyDescent="0.3">
      <c r="A6546" s="644"/>
      <c r="B6546" s="645"/>
    </row>
    <row r="6547" spans="1:2" x14ac:dyDescent="0.3">
      <c r="A6547" s="644"/>
      <c r="B6547" s="645"/>
    </row>
    <row r="6548" spans="1:2" x14ac:dyDescent="0.3">
      <c r="A6548" s="644"/>
      <c r="B6548" s="645"/>
    </row>
    <row r="6549" spans="1:2" x14ac:dyDescent="0.3">
      <c r="A6549" s="644"/>
      <c r="B6549" s="645"/>
    </row>
    <row r="6550" spans="1:2" x14ac:dyDescent="0.3">
      <c r="A6550" s="644"/>
      <c r="B6550" s="645"/>
    </row>
    <row r="6551" spans="1:2" x14ac:dyDescent="0.3">
      <c r="A6551" s="644"/>
      <c r="B6551" s="645"/>
    </row>
    <row r="6552" spans="1:2" x14ac:dyDescent="0.3">
      <c r="A6552" s="644"/>
      <c r="B6552" s="645"/>
    </row>
    <row r="6553" spans="1:2" x14ac:dyDescent="0.3">
      <c r="A6553" s="644"/>
      <c r="B6553" s="645"/>
    </row>
    <row r="6554" spans="1:2" x14ac:dyDescent="0.3">
      <c r="A6554" s="644"/>
      <c r="B6554" s="645"/>
    </row>
    <row r="6555" spans="1:2" x14ac:dyDescent="0.3">
      <c r="A6555" s="644"/>
      <c r="B6555" s="645"/>
    </row>
    <row r="6556" spans="1:2" x14ac:dyDescent="0.3">
      <c r="A6556" s="644"/>
      <c r="B6556" s="645"/>
    </row>
    <row r="6557" spans="1:2" x14ac:dyDescent="0.3">
      <c r="A6557" s="644"/>
      <c r="B6557" s="645"/>
    </row>
    <row r="6558" spans="1:2" x14ac:dyDescent="0.3">
      <c r="A6558" s="644"/>
      <c r="B6558" s="645"/>
    </row>
    <row r="6559" spans="1:2" x14ac:dyDescent="0.3">
      <c r="A6559" s="644"/>
      <c r="B6559" s="645"/>
    </row>
    <row r="6560" spans="1:2" x14ac:dyDescent="0.3">
      <c r="A6560" s="644"/>
      <c r="B6560" s="645"/>
    </row>
    <row r="6561" spans="1:2" x14ac:dyDescent="0.3">
      <c r="A6561" s="644"/>
      <c r="B6561" s="645"/>
    </row>
    <row r="6562" spans="1:2" x14ac:dyDescent="0.3">
      <c r="A6562" s="644"/>
      <c r="B6562" s="645"/>
    </row>
    <row r="6563" spans="1:2" x14ac:dyDescent="0.3">
      <c r="A6563" s="644"/>
      <c r="B6563" s="645"/>
    </row>
    <row r="6564" spans="1:2" x14ac:dyDescent="0.3">
      <c r="A6564" s="644"/>
      <c r="B6564" s="645"/>
    </row>
    <row r="6565" spans="1:2" x14ac:dyDescent="0.3">
      <c r="A6565" s="644"/>
      <c r="B6565" s="645"/>
    </row>
    <row r="6566" spans="1:2" x14ac:dyDescent="0.3">
      <c r="A6566" s="644"/>
      <c r="B6566" s="645"/>
    </row>
    <row r="6567" spans="1:2" x14ac:dyDescent="0.3">
      <c r="A6567" s="644"/>
      <c r="B6567" s="645"/>
    </row>
    <row r="6568" spans="1:2" x14ac:dyDescent="0.3">
      <c r="A6568" s="644"/>
      <c r="B6568" s="645"/>
    </row>
    <row r="6569" spans="1:2" x14ac:dyDescent="0.3">
      <c r="A6569" s="644"/>
      <c r="B6569" s="645"/>
    </row>
    <row r="6570" spans="1:2" x14ac:dyDescent="0.3">
      <c r="A6570" s="644"/>
      <c r="B6570" s="645"/>
    </row>
    <row r="6571" spans="1:2" x14ac:dyDescent="0.3">
      <c r="A6571" s="644"/>
      <c r="B6571" s="645"/>
    </row>
    <row r="6572" spans="1:2" x14ac:dyDescent="0.3">
      <c r="A6572" s="644"/>
      <c r="B6572" s="645"/>
    </row>
    <row r="6573" spans="1:2" x14ac:dyDescent="0.3">
      <c r="A6573" s="644"/>
      <c r="B6573" s="645"/>
    </row>
    <row r="6574" spans="1:2" x14ac:dyDescent="0.3">
      <c r="A6574" s="644"/>
      <c r="B6574" s="645"/>
    </row>
    <row r="6575" spans="1:2" x14ac:dyDescent="0.3">
      <c r="A6575" s="644"/>
      <c r="B6575" s="645"/>
    </row>
    <row r="6576" spans="1:2" x14ac:dyDescent="0.3">
      <c r="A6576" s="644"/>
      <c r="B6576" s="645"/>
    </row>
    <row r="6577" spans="1:2" x14ac:dyDescent="0.3">
      <c r="A6577" s="644"/>
      <c r="B6577" s="645"/>
    </row>
    <row r="6578" spans="1:2" x14ac:dyDescent="0.3">
      <c r="A6578" s="644"/>
      <c r="B6578" s="645"/>
    </row>
    <row r="6579" spans="1:2" x14ac:dyDescent="0.3">
      <c r="A6579" s="644"/>
      <c r="B6579" s="645"/>
    </row>
    <row r="6580" spans="1:2" x14ac:dyDescent="0.3">
      <c r="A6580" s="644"/>
      <c r="B6580" s="645"/>
    </row>
    <row r="6581" spans="1:2" x14ac:dyDescent="0.3">
      <c r="A6581" s="644"/>
      <c r="B6581" s="645"/>
    </row>
    <row r="6582" spans="1:2" x14ac:dyDescent="0.3">
      <c r="A6582" s="644"/>
      <c r="B6582" s="645"/>
    </row>
    <row r="6583" spans="1:2" x14ac:dyDescent="0.3">
      <c r="A6583" s="644"/>
      <c r="B6583" s="645"/>
    </row>
    <row r="6584" spans="1:2" x14ac:dyDescent="0.3">
      <c r="A6584" s="644"/>
      <c r="B6584" s="645"/>
    </row>
    <row r="6585" spans="1:2" x14ac:dyDescent="0.3">
      <c r="A6585" s="644"/>
      <c r="B6585" s="645"/>
    </row>
    <row r="6586" spans="1:2" x14ac:dyDescent="0.3">
      <c r="A6586" s="644"/>
      <c r="B6586" s="645"/>
    </row>
    <row r="6587" spans="1:2" x14ac:dyDescent="0.3">
      <c r="A6587" s="644"/>
      <c r="B6587" s="645"/>
    </row>
    <row r="6588" spans="1:2" x14ac:dyDescent="0.3">
      <c r="A6588" s="644"/>
      <c r="B6588" s="645"/>
    </row>
    <row r="6589" spans="1:2" x14ac:dyDescent="0.3">
      <c r="A6589" s="644"/>
      <c r="B6589" s="645"/>
    </row>
    <row r="6590" spans="1:2" x14ac:dyDescent="0.3">
      <c r="A6590" s="644"/>
      <c r="B6590" s="645"/>
    </row>
    <row r="6591" spans="1:2" x14ac:dyDescent="0.3">
      <c r="A6591" s="644"/>
      <c r="B6591" s="645"/>
    </row>
    <row r="6592" spans="1:2" x14ac:dyDescent="0.3">
      <c r="A6592" s="644"/>
      <c r="B6592" s="645"/>
    </row>
    <row r="6593" spans="1:2" x14ac:dyDescent="0.3">
      <c r="A6593" s="644"/>
      <c r="B6593" s="645"/>
    </row>
    <row r="6594" spans="1:2" x14ac:dyDescent="0.3">
      <c r="A6594" s="644"/>
      <c r="B6594" s="645"/>
    </row>
    <row r="6595" spans="1:2" x14ac:dyDescent="0.3">
      <c r="A6595" s="644"/>
      <c r="B6595" s="645"/>
    </row>
    <row r="6596" spans="1:2" x14ac:dyDescent="0.3">
      <c r="A6596" s="644"/>
      <c r="B6596" s="645"/>
    </row>
    <row r="6597" spans="1:2" x14ac:dyDescent="0.3">
      <c r="A6597" s="644"/>
      <c r="B6597" s="645"/>
    </row>
    <row r="6598" spans="1:2" x14ac:dyDescent="0.3">
      <c r="A6598" s="644"/>
      <c r="B6598" s="645"/>
    </row>
    <row r="6599" spans="1:2" x14ac:dyDescent="0.3">
      <c r="A6599" s="644"/>
      <c r="B6599" s="645"/>
    </row>
    <row r="6600" spans="1:2" x14ac:dyDescent="0.3">
      <c r="A6600" s="644"/>
      <c r="B6600" s="645"/>
    </row>
    <row r="6601" spans="1:2" x14ac:dyDescent="0.3">
      <c r="A6601" s="644"/>
      <c r="B6601" s="645"/>
    </row>
    <row r="6602" spans="1:2" x14ac:dyDescent="0.3">
      <c r="A6602" s="644"/>
      <c r="B6602" s="645"/>
    </row>
    <row r="6603" spans="1:2" x14ac:dyDescent="0.3">
      <c r="A6603" s="644"/>
      <c r="B6603" s="645"/>
    </row>
    <row r="6604" spans="1:2" x14ac:dyDescent="0.3">
      <c r="A6604" s="644"/>
      <c r="B6604" s="645"/>
    </row>
    <row r="6605" spans="1:2" x14ac:dyDescent="0.3">
      <c r="A6605" s="644"/>
      <c r="B6605" s="645"/>
    </row>
    <row r="6606" spans="1:2" x14ac:dyDescent="0.3">
      <c r="A6606" s="644"/>
      <c r="B6606" s="645"/>
    </row>
    <row r="6607" spans="1:2" x14ac:dyDescent="0.3">
      <c r="A6607" s="644"/>
      <c r="B6607" s="645"/>
    </row>
    <row r="6608" spans="1:2" x14ac:dyDescent="0.3">
      <c r="A6608" s="644"/>
      <c r="B6608" s="645"/>
    </row>
    <row r="6609" spans="1:2" x14ac:dyDescent="0.3">
      <c r="A6609" s="644"/>
      <c r="B6609" s="645"/>
    </row>
    <row r="6610" spans="1:2" x14ac:dyDescent="0.3">
      <c r="A6610" s="644"/>
      <c r="B6610" s="645"/>
    </row>
    <row r="6611" spans="1:2" x14ac:dyDescent="0.3">
      <c r="A6611" s="644"/>
      <c r="B6611" s="645"/>
    </row>
    <row r="6612" spans="1:2" x14ac:dyDescent="0.3">
      <c r="A6612" s="644"/>
      <c r="B6612" s="645"/>
    </row>
    <row r="6613" spans="1:2" x14ac:dyDescent="0.3">
      <c r="A6613" s="644"/>
      <c r="B6613" s="645"/>
    </row>
    <row r="6614" spans="1:2" x14ac:dyDescent="0.3">
      <c r="A6614" s="644"/>
      <c r="B6614" s="645"/>
    </row>
    <row r="6615" spans="1:2" x14ac:dyDescent="0.3">
      <c r="A6615" s="644"/>
      <c r="B6615" s="645"/>
    </row>
    <row r="6616" spans="1:2" x14ac:dyDescent="0.3">
      <c r="A6616" s="644"/>
      <c r="B6616" s="645"/>
    </row>
    <row r="6617" spans="1:2" x14ac:dyDescent="0.3">
      <c r="A6617" s="644"/>
      <c r="B6617" s="645"/>
    </row>
    <row r="6618" spans="1:2" x14ac:dyDescent="0.3">
      <c r="A6618" s="644"/>
      <c r="B6618" s="645"/>
    </row>
    <row r="6619" spans="1:2" x14ac:dyDescent="0.3">
      <c r="A6619" s="644"/>
      <c r="B6619" s="645"/>
    </row>
    <row r="6620" spans="1:2" x14ac:dyDescent="0.3">
      <c r="A6620" s="644"/>
      <c r="B6620" s="645"/>
    </row>
    <row r="6621" spans="1:2" x14ac:dyDescent="0.3">
      <c r="A6621" s="644"/>
      <c r="B6621" s="645"/>
    </row>
    <row r="6622" spans="1:2" x14ac:dyDescent="0.3">
      <c r="A6622" s="644"/>
      <c r="B6622" s="645"/>
    </row>
    <row r="6623" spans="1:2" x14ac:dyDescent="0.3">
      <c r="A6623" s="644"/>
      <c r="B6623" s="645"/>
    </row>
    <row r="6624" spans="1:2" x14ac:dyDescent="0.3">
      <c r="A6624" s="644"/>
      <c r="B6624" s="645"/>
    </row>
    <row r="6625" spans="1:2" x14ac:dyDescent="0.3">
      <c r="A6625" s="644"/>
      <c r="B6625" s="645"/>
    </row>
    <row r="6626" spans="1:2" x14ac:dyDescent="0.3">
      <c r="A6626" s="644"/>
      <c r="B6626" s="645"/>
    </row>
    <row r="6627" spans="1:2" x14ac:dyDescent="0.3">
      <c r="A6627" s="644"/>
      <c r="B6627" s="645"/>
    </row>
    <row r="6628" spans="1:2" x14ac:dyDescent="0.3">
      <c r="A6628" s="644"/>
      <c r="B6628" s="645"/>
    </row>
    <row r="6629" spans="1:2" x14ac:dyDescent="0.3">
      <c r="A6629" s="644"/>
      <c r="B6629" s="645"/>
    </row>
    <row r="6630" spans="1:2" x14ac:dyDescent="0.3">
      <c r="A6630" s="644"/>
      <c r="B6630" s="645"/>
    </row>
    <row r="6631" spans="1:2" x14ac:dyDescent="0.3">
      <c r="A6631" s="644"/>
      <c r="B6631" s="645"/>
    </row>
    <row r="6632" spans="1:2" x14ac:dyDescent="0.3">
      <c r="A6632" s="644"/>
      <c r="B6632" s="645"/>
    </row>
    <row r="6633" spans="1:2" x14ac:dyDescent="0.3">
      <c r="A6633" s="644"/>
      <c r="B6633" s="645"/>
    </row>
    <row r="6634" spans="1:2" x14ac:dyDescent="0.3">
      <c r="A6634" s="644"/>
      <c r="B6634" s="645"/>
    </row>
    <row r="6635" spans="1:2" x14ac:dyDescent="0.3">
      <c r="A6635" s="644"/>
      <c r="B6635" s="645"/>
    </row>
    <row r="6636" spans="1:2" x14ac:dyDescent="0.3">
      <c r="A6636" s="644"/>
      <c r="B6636" s="645"/>
    </row>
    <row r="6637" spans="1:2" x14ac:dyDescent="0.3">
      <c r="A6637" s="644"/>
      <c r="B6637" s="645"/>
    </row>
    <row r="6638" spans="1:2" x14ac:dyDescent="0.3">
      <c r="A6638" s="644"/>
      <c r="B6638" s="645"/>
    </row>
    <row r="6639" spans="1:2" x14ac:dyDescent="0.3">
      <c r="A6639" s="644"/>
      <c r="B6639" s="645"/>
    </row>
    <row r="6640" spans="1:2" x14ac:dyDescent="0.3">
      <c r="A6640" s="644"/>
      <c r="B6640" s="645"/>
    </row>
    <row r="6641" spans="1:2" x14ac:dyDescent="0.3">
      <c r="A6641" s="644"/>
      <c r="B6641" s="645"/>
    </row>
    <row r="6642" spans="1:2" x14ac:dyDescent="0.3">
      <c r="A6642" s="644"/>
      <c r="B6642" s="645"/>
    </row>
    <row r="6643" spans="1:2" x14ac:dyDescent="0.3">
      <c r="A6643" s="644"/>
      <c r="B6643" s="645"/>
    </row>
    <row r="6644" spans="1:2" x14ac:dyDescent="0.3">
      <c r="A6644" s="644"/>
      <c r="B6644" s="645"/>
    </row>
    <row r="6645" spans="1:2" x14ac:dyDescent="0.3">
      <c r="A6645" s="644"/>
      <c r="B6645" s="645"/>
    </row>
    <row r="6646" spans="1:2" x14ac:dyDescent="0.3">
      <c r="A6646" s="644"/>
      <c r="B6646" s="645"/>
    </row>
    <row r="6647" spans="1:2" x14ac:dyDescent="0.3">
      <c r="A6647" s="644"/>
      <c r="B6647" s="645"/>
    </row>
    <row r="6648" spans="1:2" x14ac:dyDescent="0.3">
      <c r="A6648" s="644"/>
      <c r="B6648" s="645"/>
    </row>
    <row r="6649" spans="1:2" x14ac:dyDescent="0.3">
      <c r="A6649" s="644"/>
      <c r="B6649" s="645"/>
    </row>
    <row r="6650" spans="1:2" x14ac:dyDescent="0.3">
      <c r="A6650" s="644"/>
      <c r="B6650" s="645"/>
    </row>
    <row r="6651" spans="1:2" x14ac:dyDescent="0.3">
      <c r="A6651" s="644"/>
      <c r="B6651" s="645"/>
    </row>
    <row r="6652" spans="1:2" x14ac:dyDescent="0.3">
      <c r="A6652" s="644"/>
      <c r="B6652" s="645"/>
    </row>
    <row r="6653" spans="1:2" x14ac:dyDescent="0.3">
      <c r="A6653" s="644"/>
      <c r="B6653" s="645"/>
    </row>
    <row r="6654" spans="1:2" x14ac:dyDescent="0.3">
      <c r="A6654" s="644"/>
      <c r="B6654" s="645"/>
    </row>
    <row r="6655" spans="1:2" x14ac:dyDescent="0.3">
      <c r="A6655" s="644"/>
      <c r="B6655" s="645"/>
    </row>
    <row r="6656" spans="1:2" x14ac:dyDescent="0.3">
      <c r="A6656" s="644"/>
      <c r="B6656" s="645"/>
    </row>
    <row r="6657" spans="1:2" x14ac:dyDescent="0.3">
      <c r="A6657" s="644"/>
      <c r="B6657" s="645"/>
    </row>
    <row r="6658" spans="1:2" x14ac:dyDescent="0.3">
      <c r="A6658" s="644"/>
      <c r="B6658" s="645"/>
    </row>
    <row r="6659" spans="1:2" x14ac:dyDescent="0.3">
      <c r="A6659" s="644"/>
      <c r="B6659" s="645"/>
    </row>
    <row r="6660" spans="1:2" x14ac:dyDescent="0.3">
      <c r="A6660" s="644"/>
      <c r="B6660" s="645"/>
    </row>
    <row r="6661" spans="1:2" x14ac:dyDescent="0.3">
      <c r="A6661" s="644"/>
      <c r="B6661" s="645"/>
    </row>
    <row r="6662" spans="1:2" x14ac:dyDescent="0.3">
      <c r="A6662" s="644"/>
      <c r="B6662" s="645"/>
    </row>
    <row r="6663" spans="1:2" x14ac:dyDescent="0.3">
      <c r="A6663" s="644"/>
      <c r="B6663" s="645"/>
    </row>
    <row r="6664" spans="1:2" x14ac:dyDescent="0.3">
      <c r="A6664" s="644"/>
      <c r="B6664" s="645"/>
    </row>
    <row r="6665" spans="1:2" x14ac:dyDescent="0.3">
      <c r="A6665" s="644"/>
      <c r="B6665" s="645"/>
    </row>
    <row r="6666" spans="1:2" x14ac:dyDescent="0.3">
      <c r="A6666" s="644"/>
      <c r="B6666" s="645"/>
    </row>
    <row r="6667" spans="1:2" x14ac:dyDescent="0.3">
      <c r="A6667" s="644"/>
      <c r="B6667" s="645"/>
    </row>
    <row r="6668" spans="1:2" x14ac:dyDescent="0.3">
      <c r="A6668" s="644"/>
      <c r="B6668" s="645"/>
    </row>
    <row r="6669" spans="1:2" x14ac:dyDescent="0.3">
      <c r="A6669" s="644"/>
      <c r="B6669" s="645"/>
    </row>
    <row r="6670" spans="1:2" x14ac:dyDescent="0.3">
      <c r="A6670" s="644"/>
      <c r="B6670" s="645"/>
    </row>
    <row r="6671" spans="1:2" x14ac:dyDescent="0.3">
      <c r="A6671" s="644"/>
      <c r="B6671" s="645"/>
    </row>
    <row r="6672" spans="1:2" x14ac:dyDescent="0.3">
      <c r="A6672" s="644"/>
      <c r="B6672" s="645"/>
    </row>
    <row r="6673" spans="1:2" x14ac:dyDescent="0.3">
      <c r="A6673" s="644"/>
      <c r="B6673" s="645"/>
    </row>
    <row r="6674" spans="1:2" x14ac:dyDescent="0.3">
      <c r="A6674" s="644"/>
      <c r="B6674" s="645"/>
    </row>
    <row r="6675" spans="1:2" x14ac:dyDescent="0.3">
      <c r="A6675" s="644"/>
      <c r="B6675" s="645"/>
    </row>
    <row r="6676" spans="1:2" x14ac:dyDescent="0.3">
      <c r="A6676" s="644"/>
      <c r="B6676" s="645"/>
    </row>
    <row r="6677" spans="1:2" x14ac:dyDescent="0.3">
      <c r="A6677" s="644"/>
      <c r="B6677" s="645"/>
    </row>
    <row r="6678" spans="1:2" x14ac:dyDescent="0.3">
      <c r="A6678" s="644"/>
      <c r="B6678" s="645"/>
    </row>
    <row r="6679" spans="1:2" x14ac:dyDescent="0.3">
      <c r="A6679" s="644"/>
      <c r="B6679" s="645"/>
    </row>
    <row r="6680" spans="1:2" x14ac:dyDescent="0.3">
      <c r="A6680" s="644"/>
      <c r="B6680" s="645"/>
    </row>
    <row r="6681" spans="1:2" x14ac:dyDescent="0.3">
      <c r="A6681" s="644"/>
      <c r="B6681" s="645"/>
    </row>
    <row r="6682" spans="1:2" x14ac:dyDescent="0.3">
      <c r="A6682" s="644"/>
      <c r="B6682" s="645"/>
    </row>
    <row r="6683" spans="1:2" x14ac:dyDescent="0.3">
      <c r="A6683" s="644"/>
      <c r="B6683" s="645"/>
    </row>
    <row r="6684" spans="1:2" x14ac:dyDescent="0.3">
      <c r="A6684" s="644"/>
      <c r="B6684" s="645"/>
    </row>
    <row r="6685" spans="1:2" x14ac:dyDescent="0.3">
      <c r="A6685" s="644"/>
      <c r="B6685" s="645"/>
    </row>
    <row r="6686" spans="1:2" x14ac:dyDescent="0.3">
      <c r="A6686" s="644"/>
      <c r="B6686" s="645"/>
    </row>
    <row r="6687" spans="1:2" x14ac:dyDescent="0.3">
      <c r="A6687" s="644"/>
      <c r="B6687" s="645"/>
    </row>
    <row r="6688" spans="1:2" x14ac:dyDescent="0.3">
      <c r="A6688" s="644"/>
      <c r="B6688" s="645"/>
    </row>
    <row r="6689" spans="1:2" x14ac:dyDescent="0.3">
      <c r="A6689" s="644"/>
      <c r="B6689" s="645"/>
    </row>
    <row r="6690" spans="1:2" x14ac:dyDescent="0.3">
      <c r="A6690" s="644"/>
      <c r="B6690" s="645"/>
    </row>
    <row r="6691" spans="1:2" x14ac:dyDescent="0.3">
      <c r="A6691" s="644"/>
      <c r="B6691" s="645"/>
    </row>
    <row r="6692" spans="1:2" x14ac:dyDescent="0.3">
      <c r="A6692" s="644"/>
      <c r="B6692" s="645"/>
    </row>
    <row r="6693" spans="1:2" x14ac:dyDescent="0.3">
      <c r="A6693" s="644"/>
      <c r="B6693" s="645"/>
    </row>
    <row r="6694" spans="1:2" x14ac:dyDescent="0.3">
      <c r="A6694" s="644"/>
      <c r="B6694" s="645"/>
    </row>
    <row r="6695" spans="1:2" x14ac:dyDescent="0.3">
      <c r="A6695" s="644"/>
      <c r="B6695" s="645"/>
    </row>
    <row r="6696" spans="1:2" x14ac:dyDescent="0.3">
      <c r="A6696" s="644"/>
      <c r="B6696" s="645"/>
    </row>
    <row r="6697" spans="1:2" x14ac:dyDescent="0.3">
      <c r="A6697" s="644"/>
      <c r="B6697" s="645"/>
    </row>
    <row r="6698" spans="1:2" x14ac:dyDescent="0.3">
      <c r="A6698" s="644"/>
      <c r="B6698" s="645"/>
    </row>
    <row r="6699" spans="1:2" x14ac:dyDescent="0.3">
      <c r="A6699" s="644"/>
      <c r="B6699" s="645"/>
    </row>
    <row r="6700" spans="1:2" x14ac:dyDescent="0.3">
      <c r="A6700" s="644"/>
      <c r="B6700" s="645"/>
    </row>
    <row r="6701" spans="1:2" x14ac:dyDescent="0.3">
      <c r="A6701" s="644"/>
      <c r="B6701" s="645"/>
    </row>
    <row r="6702" spans="1:2" x14ac:dyDescent="0.3">
      <c r="A6702" s="644"/>
      <c r="B6702" s="645"/>
    </row>
    <row r="6703" spans="1:2" x14ac:dyDescent="0.3">
      <c r="A6703" s="644"/>
      <c r="B6703" s="645"/>
    </row>
    <row r="6704" spans="1:2" x14ac:dyDescent="0.3">
      <c r="A6704" s="644"/>
      <c r="B6704" s="645"/>
    </row>
    <row r="6705" spans="1:2" x14ac:dyDescent="0.3">
      <c r="A6705" s="644"/>
      <c r="B6705" s="645"/>
    </row>
    <row r="6706" spans="1:2" x14ac:dyDescent="0.3">
      <c r="A6706" s="644"/>
      <c r="B6706" s="645"/>
    </row>
    <row r="6707" spans="1:2" x14ac:dyDescent="0.3">
      <c r="A6707" s="644"/>
      <c r="B6707" s="645"/>
    </row>
    <row r="6708" spans="1:2" x14ac:dyDescent="0.3">
      <c r="A6708" s="644"/>
      <c r="B6708" s="645"/>
    </row>
    <row r="6709" spans="1:2" x14ac:dyDescent="0.3">
      <c r="A6709" s="644"/>
      <c r="B6709" s="645"/>
    </row>
    <row r="6710" spans="1:2" x14ac:dyDescent="0.3">
      <c r="A6710" s="644"/>
      <c r="B6710" s="645"/>
    </row>
    <row r="6711" spans="1:2" x14ac:dyDescent="0.3">
      <c r="A6711" s="644"/>
      <c r="B6711" s="645"/>
    </row>
    <row r="6712" spans="1:2" x14ac:dyDescent="0.3">
      <c r="A6712" s="644"/>
      <c r="B6712" s="645"/>
    </row>
    <row r="6713" spans="1:2" x14ac:dyDescent="0.3">
      <c r="A6713" s="644"/>
      <c r="B6713" s="645"/>
    </row>
    <row r="6714" spans="1:2" x14ac:dyDescent="0.3">
      <c r="A6714" s="644"/>
      <c r="B6714" s="645"/>
    </row>
    <row r="6715" spans="1:2" x14ac:dyDescent="0.3">
      <c r="A6715" s="644"/>
      <c r="B6715" s="645"/>
    </row>
    <row r="6716" spans="1:2" x14ac:dyDescent="0.3">
      <c r="A6716" s="644"/>
      <c r="B6716" s="645"/>
    </row>
    <row r="6717" spans="1:2" x14ac:dyDescent="0.3">
      <c r="A6717" s="644"/>
      <c r="B6717" s="645"/>
    </row>
    <row r="6718" spans="1:2" x14ac:dyDescent="0.3">
      <c r="A6718" s="644"/>
      <c r="B6718" s="645"/>
    </row>
    <row r="6719" spans="1:2" x14ac:dyDescent="0.3">
      <c r="A6719" s="644"/>
      <c r="B6719" s="645"/>
    </row>
    <row r="6720" spans="1:2" x14ac:dyDescent="0.3">
      <c r="A6720" s="644"/>
      <c r="B6720" s="645"/>
    </row>
    <row r="6721" spans="1:2" x14ac:dyDescent="0.3">
      <c r="A6721" s="644"/>
      <c r="B6721" s="645"/>
    </row>
    <row r="6722" spans="1:2" x14ac:dyDescent="0.3">
      <c r="A6722" s="644"/>
      <c r="B6722" s="645"/>
    </row>
    <row r="6723" spans="1:2" x14ac:dyDescent="0.3">
      <c r="A6723" s="644"/>
      <c r="B6723" s="645"/>
    </row>
    <row r="6724" spans="1:2" x14ac:dyDescent="0.3">
      <c r="A6724" s="644"/>
      <c r="B6724" s="645"/>
    </row>
    <row r="6725" spans="1:2" x14ac:dyDescent="0.3">
      <c r="A6725" s="644"/>
      <c r="B6725" s="645"/>
    </row>
    <row r="6726" spans="1:2" x14ac:dyDescent="0.3">
      <c r="A6726" s="644"/>
      <c r="B6726" s="645"/>
    </row>
    <row r="6727" spans="1:2" x14ac:dyDescent="0.3">
      <c r="A6727" s="644"/>
      <c r="B6727" s="645"/>
    </row>
    <row r="6728" spans="1:2" x14ac:dyDescent="0.3">
      <c r="A6728" s="644"/>
      <c r="B6728" s="645"/>
    </row>
    <row r="6729" spans="1:2" x14ac:dyDescent="0.3">
      <c r="A6729" s="644"/>
      <c r="B6729" s="645"/>
    </row>
    <row r="6730" spans="1:2" x14ac:dyDescent="0.3">
      <c r="A6730" s="644"/>
      <c r="B6730" s="648"/>
    </row>
    <row r="6731" spans="1:2" x14ac:dyDescent="0.3">
      <c r="A6731" s="644"/>
      <c r="B6731" s="649"/>
    </row>
    <row r="6732" spans="1:2" x14ac:dyDescent="0.3">
      <c r="A6732" s="644"/>
      <c r="B6732" s="663"/>
    </row>
  </sheetData>
  <mergeCells count="4">
    <mergeCell ref="B12:I12"/>
    <mergeCell ref="B19:I24"/>
    <mergeCell ref="E120:L125"/>
    <mergeCell ref="E134:L134"/>
  </mergeCells>
  <hyperlinks>
    <hyperlink ref="Q46" r:id="rId1" xr:uid="{A101D741-59E9-4C35-B474-B1F380D00399}"/>
  </hyperlinks>
  <pageMargins left="0.7" right="0.7" top="0.75" bottom="0.75" header="0.3" footer="0.3"/>
  <pageSetup paperSize="9" orientation="portrait" r:id="rId2"/>
  <legacyDrawing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8EEF9F-E4EF-4E03-B6AF-28FB0857350D}">
  <sheetPr>
    <tabColor rgb="FF2A9D8F"/>
  </sheetPr>
  <dimension ref="B2:V40"/>
  <sheetViews>
    <sheetView topLeftCell="C1" zoomScale="85" zoomScaleNormal="85" workbookViewId="0">
      <selection activeCell="D6" sqref="D6"/>
    </sheetView>
  </sheetViews>
  <sheetFormatPr defaultRowHeight="14.5" x14ac:dyDescent="0.35"/>
  <cols>
    <col min="3" max="3" width="36.1796875" customWidth="1"/>
    <col min="4" max="4" width="21.26953125" customWidth="1"/>
    <col min="5" max="5" width="18.08984375" customWidth="1"/>
    <col min="6" max="6" width="19.08984375" customWidth="1"/>
    <col min="7" max="7" width="19.1796875" bestFit="1" customWidth="1"/>
    <col min="8" max="8" width="21.1796875" customWidth="1"/>
    <col min="9" max="9" width="21" customWidth="1"/>
    <col min="10" max="11" width="20.54296875" customWidth="1"/>
    <col min="12" max="12" width="7.7265625" bestFit="1" customWidth="1"/>
    <col min="13" max="13" width="21.54296875" customWidth="1"/>
    <col min="14" max="14" width="14.81640625" bestFit="1" customWidth="1"/>
    <col min="15" max="15" width="16.453125" bestFit="1" customWidth="1"/>
    <col min="16" max="16" width="8.7265625" customWidth="1"/>
    <col min="19" max="19" width="7.453125" bestFit="1" customWidth="1"/>
    <col min="20" max="20" width="25.26953125" customWidth="1"/>
    <col min="21" max="21" width="14.453125" bestFit="1" customWidth="1"/>
    <col min="22" max="22" width="16.08984375" bestFit="1" customWidth="1"/>
  </cols>
  <sheetData>
    <row r="2" spans="2:22" ht="14.5" customHeight="1" x14ac:dyDescent="0.35">
      <c r="B2" s="198" t="s">
        <v>978</v>
      </c>
      <c r="C2" s="198" t="s">
        <v>983</v>
      </c>
    </row>
    <row r="3" spans="2:22" ht="14.5" customHeight="1" x14ac:dyDescent="0.35">
      <c r="B3" s="198" t="s">
        <v>980</v>
      </c>
      <c r="C3" s="198" t="s">
        <v>1136</v>
      </c>
      <c r="L3" s="1053" t="s">
        <v>982</v>
      </c>
      <c r="M3" s="1054" t="s">
        <v>1403</v>
      </c>
      <c r="N3" s="845"/>
      <c r="O3" s="845"/>
      <c r="P3" s="1052"/>
      <c r="S3" s="1053" t="s">
        <v>1201</v>
      </c>
      <c r="T3" s="1054" t="s">
        <v>1275</v>
      </c>
      <c r="U3" s="845"/>
      <c r="V3" s="845"/>
    </row>
    <row r="4" spans="2:22" ht="14.5" customHeight="1" x14ac:dyDescent="0.35">
      <c r="B4" s="198" t="s">
        <v>1106</v>
      </c>
      <c r="C4" s="198" t="s">
        <v>979</v>
      </c>
    </row>
    <row r="5" spans="2:22" x14ac:dyDescent="0.35">
      <c r="M5" t="s">
        <v>1113</v>
      </c>
      <c r="N5">
        <v>6.25</v>
      </c>
      <c r="T5" t="s">
        <v>1113</v>
      </c>
      <c r="U5" s="697">
        <f>'Native vegetation'!F38</f>
        <v>0.05</v>
      </c>
    </row>
    <row r="6" spans="2:22" s="570" customFormat="1" ht="56" customHeight="1" x14ac:dyDescent="0.35">
      <c r="B6" s="1037" t="s">
        <v>1103</v>
      </c>
      <c r="C6" s="1037" t="s">
        <v>1102</v>
      </c>
      <c r="D6" s="1037" t="s">
        <v>1098</v>
      </c>
      <c r="E6" s="1037" t="s">
        <v>1099</v>
      </c>
      <c r="F6" s="1037" t="s">
        <v>1100</v>
      </c>
      <c r="G6" s="1037" t="s">
        <v>1101</v>
      </c>
      <c r="H6" s="1037" t="s">
        <v>1109</v>
      </c>
      <c r="I6" s="1037" t="s">
        <v>1104</v>
      </c>
      <c r="K6" s="570" t="s">
        <v>1123</v>
      </c>
      <c r="L6" s="1037" t="s">
        <v>1111</v>
      </c>
      <c r="M6" s="1037" t="s">
        <v>1115</v>
      </c>
      <c r="N6" s="1037" t="s">
        <v>1117</v>
      </c>
      <c r="O6" s="1037" t="s">
        <v>1118</v>
      </c>
      <c r="R6" s="570" t="s">
        <v>1123</v>
      </c>
      <c r="S6" s="1037" t="s">
        <v>1111</v>
      </c>
      <c r="T6" s="1037" t="s">
        <v>1115</v>
      </c>
      <c r="U6" s="1037" t="s">
        <v>1117</v>
      </c>
      <c r="V6" s="1037" t="s">
        <v>1118</v>
      </c>
    </row>
    <row r="7" spans="2:22" x14ac:dyDescent="0.35">
      <c r="B7">
        <v>1</v>
      </c>
      <c r="C7" t="s">
        <v>1068</v>
      </c>
      <c r="D7" s="331">
        <v>1899.0196035408701</v>
      </c>
      <c r="E7" s="331">
        <v>8522.2145586077222</v>
      </c>
      <c r="F7" s="331">
        <v>26118.165579278095</v>
      </c>
      <c r="G7" s="331">
        <v>34466.500258573302</v>
      </c>
      <c r="H7" s="745">
        <v>2824.14</v>
      </c>
      <c r="I7" s="745">
        <v>11296.57</v>
      </c>
      <c r="K7">
        <v>2025</v>
      </c>
      <c r="L7">
        <v>1</v>
      </c>
      <c r="M7" s="697">
        <f>SUM($D$37:$G$37)/30*L7</f>
        <v>430332.73363545287</v>
      </c>
      <c r="N7" s="697">
        <f>N5*'Inflation Rates'!C25*(1+Assumptions!$C$6)</f>
        <v>7.0212500000000002</v>
      </c>
      <c r="O7" s="697">
        <f>$M7*$N7</f>
        <v>3021473.7060379237</v>
      </c>
      <c r="R7">
        <v>2023</v>
      </c>
      <c r="S7">
        <v>1</v>
      </c>
      <c r="T7" s="697">
        <f>'Native vegetation'!$F$36/30*S7</f>
        <v>1859333.3333333333</v>
      </c>
      <c r="U7" s="697">
        <f>U5*'Inflation Rates'!C25*(1+Assumptions!$C$6)</f>
        <v>5.6170000000000005E-2</v>
      </c>
      <c r="V7" s="697">
        <f>$T7*$U7</f>
        <v>104438.75333333334</v>
      </c>
    </row>
    <row r="8" spans="2:22" x14ac:dyDescent="0.35">
      <c r="B8">
        <v>2</v>
      </c>
      <c r="C8" t="s">
        <v>1069</v>
      </c>
      <c r="D8" s="331">
        <v>511.00887823230289</v>
      </c>
      <c r="E8" s="331">
        <v>822.28235248377723</v>
      </c>
      <c r="F8" s="331">
        <v>3141.0165269280351</v>
      </c>
      <c r="G8" s="331">
        <v>3108.1922423558849</v>
      </c>
      <c r="H8" s="745">
        <v>1412.07</v>
      </c>
      <c r="I8" s="745">
        <v>5648.28</v>
      </c>
      <c r="J8" s="697"/>
      <c r="K8">
        <v>2026</v>
      </c>
      <c r="L8">
        <v>2</v>
      </c>
      <c r="M8" s="697">
        <f>SUM($D$37:$G$37)/30*L8</f>
        <v>860665.46727090573</v>
      </c>
      <c r="N8" s="697">
        <f>N7*(1+Assumptions!$C$6)</f>
        <v>7.1967812499999999</v>
      </c>
      <c r="O8" s="697">
        <f>$M8*$N8</f>
        <v>6194021.0973777426</v>
      </c>
      <c r="R8">
        <v>2024</v>
      </c>
      <c r="S8">
        <v>2</v>
      </c>
      <c r="T8" s="697">
        <f>'Native vegetation'!$F$36/30*S8</f>
        <v>3718666.6666666665</v>
      </c>
      <c r="U8" s="697">
        <f>U7*(1+Assumptions!$C$6)</f>
        <v>5.757425E-2</v>
      </c>
      <c r="V8" s="697">
        <f>$T8*$U8</f>
        <v>214099.44433333332</v>
      </c>
    </row>
    <row r="9" spans="2:22" x14ac:dyDescent="0.35">
      <c r="B9">
        <v>3</v>
      </c>
      <c r="C9" t="s">
        <v>1070</v>
      </c>
      <c r="D9" s="331">
        <v>53563.925837513219</v>
      </c>
      <c r="E9" s="331">
        <v>33736.892335115306</v>
      </c>
      <c r="F9" s="331">
        <v>120438.85381304979</v>
      </c>
      <c r="G9" s="331">
        <v>84934.728014321634</v>
      </c>
      <c r="H9" s="745">
        <v>1412.07</v>
      </c>
      <c r="I9" s="745">
        <v>5648.28</v>
      </c>
      <c r="J9" s="697"/>
      <c r="K9">
        <v>2027</v>
      </c>
      <c r="L9">
        <v>3</v>
      </c>
      <c r="M9" s="697">
        <f t="shared" ref="M9:M35" si="0">SUM($D$37:$G$37)/30*L9</f>
        <v>1290998.2009063587</v>
      </c>
      <c r="N9" s="697">
        <f>N8*(1+Assumptions!$C$6)</f>
        <v>7.3767007812499994</v>
      </c>
      <c r="O9" s="697">
        <f>$M9*$N9</f>
        <v>9523307.4372182805</v>
      </c>
      <c r="R9">
        <v>2025</v>
      </c>
      <c r="S9">
        <v>3</v>
      </c>
      <c r="T9" s="697">
        <f>'Native vegetation'!$F$36/30*S9</f>
        <v>5578000</v>
      </c>
      <c r="U9" s="697">
        <f>U8*(1+Assumptions!$C$6)</f>
        <v>5.9013606249999996E-2</v>
      </c>
      <c r="V9" s="697">
        <f>$T9*$U9</f>
        <v>329177.8956625</v>
      </c>
    </row>
    <row r="10" spans="2:22" x14ac:dyDescent="0.35">
      <c r="B10">
        <v>4</v>
      </c>
      <c r="C10" t="s">
        <v>1071</v>
      </c>
      <c r="D10" s="331">
        <v>213.22733846951999</v>
      </c>
      <c r="E10" s="331">
        <v>513.14963500816668</v>
      </c>
      <c r="F10" s="331">
        <v>383.26208779436371</v>
      </c>
      <c r="G10" s="331">
        <v>324.76093872794934</v>
      </c>
      <c r="H10" s="745">
        <v>1412.07</v>
      </c>
      <c r="I10" s="745">
        <v>5648.28</v>
      </c>
      <c r="J10" s="697"/>
      <c r="K10">
        <v>2028</v>
      </c>
      <c r="L10">
        <v>4</v>
      </c>
      <c r="M10" s="697">
        <f t="shared" si="0"/>
        <v>1721330.9345418115</v>
      </c>
      <c r="N10" s="697">
        <f>N9*(1+Assumptions!$C$6)</f>
        <v>7.5611183007812484</v>
      </c>
      <c r="O10" s="697">
        <f>$M10*$N10</f>
        <v>13015186.830864979</v>
      </c>
      <c r="R10">
        <v>2026</v>
      </c>
      <c r="S10">
        <v>4</v>
      </c>
      <c r="T10" s="697">
        <f>'Native vegetation'!$F$36/30*S10</f>
        <v>7437333.333333333</v>
      </c>
      <c r="U10" s="697">
        <f>U9*(1+Assumptions!$C$6)</f>
        <v>6.0488946406249994E-2</v>
      </c>
      <c r="V10" s="697">
        <f t="shared" ref="V10:V35" si="1">$T10*$U10</f>
        <v>449876.45740541659</v>
      </c>
    </row>
    <row r="11" spans="2:22" x14ac:dyDescent="0.35">
      <c r="B11">
        <v>5</v>
      </c>
      <c r="C11" t="s">
        <v>1072</v>
      </c>
      <c r="D11" s="331">
        <v>362841.89041436417</v>
      </c>
      <c r="E11" s="331">
        <v>233186.317679211</v>
      </c>
      <c r="F11" s="331">
        <v>3593595.6971296472</v>
      </c>
      <c r="G11" s="331">
        <v>1949898.3461877622</v>
      </c>
      <c r="H11" s="745">
        <v>1412.07</v>
      </c>
      <c r="I11" s="745">
        <v>5648.28</v>
      </c>
      <c r="J11" s="697"/>
      <c r="K11">
        <v>2029</v>
      </c>
      <c r="L11">
        <v>5</v>
      </c>
      <c r="M11" s="697">
        <f t="shared" si="0"/>
        <v>2151663.6681772643</v>
      </c>
      <c r="N11" s="697">
        <f>N10*(1+Assumptions!$C$6)</f>
        <v>7.750146258300779</v>
      </c>
      <c r="O11" s="697">
        <f t="shared" ref="O11:O35" si="2">$M11*$N11</f>
        <v>16675708.127045754</v>
      </c>
      <c r="R11">
        <v>2027</v>
      </c>
      <c r="S11">
        <v>5</v>
      </c>
      <c r="T11" s="697">
        <f>'Native vegetation'!$F$36/30*S11</f>
        <v>9296666.666666666</v>
      </c>
      <c r="U11" s="697">
        <f>U10*(1+Assumptions!$C$6)</f>
        <v>6.2001170066406236E-2</v>
      </c>
      <c r="V11" s="697">
        <f>$T11*$U11</f>
        <v>576404.21105068992</v>
      </c>
    </row>
    <row r="12" spans="2:22" x14ac:dyDescent="0.35">
      <c r="B12">
        <v>6</v>
      </c>
      <c r="C12" t="s">
        <v>1073</v>
      </c>
      <c r="D12" s="331">
        <v>56197.363456886829</v>
      </c>
      <c r="E12" s="331">
        <v>37109.38044593294</v>
      </c>
      <c r="F12" s="331">
        <v>1122519.411714456</v>
      </c>
      <c r="G12" s="331">
        <v>1169472.7443827239</v>
      </c>
      <c r="H12" s="745">
        <v>1412.07</v>
      </c>
      <c r="I12" s="745">
        <v>5648.28</v>
      </c>
      <c r="J12" s="697"/>
      <c r="K12">
        <v>2030</v>
      </c>
      <c r="L12">
        <v>6</v>
      </c>
      <c r="M12" s="697">
        <f t="shared" si="0"/>
        <v>2581996.4018127173</v>
      </c>
      <c r="N12" s="697">
        <f>N11*(1+Assumptions!$C$6)</f>
        <v>7.9438999147582976</v>
      </c>
      <c r="O12" s="697">
        <f t="shared" si="2"/>
        <v>20511120.996266276</v>
      </c>
      <c r="R12">
        <v>2028</v>
      </c>
      <c r="S12">
        <v>6</v>
      </c>
      <c r="T12" s="697">
        <f>'Native vegetation'!$F$36/30*S12</f>
        <v>11156000</v>
      </c>
      <c r="U12" s="697">
        <f>U11*(1+Assumptions!$C$6)</f>
        <v>6.3551199318066381E-2</v>
      </c>
      <c r="V12" s="697">
        <f t="shared" si="1"/>
        <v>708977.17959234852</v>
      </c>
    </row>
    <row r="13" spans="2:22" x14ac:dyDescent="0.35">
      <c r="B13">
        <v>7</v>
      </c>
      <c r="C13" t="s">
        <v>1074</v>
      </c>
      <c r="D13" s="331">
        <v>7639.827950479269</v>
      </c>
      <c r="E13" s="331">
        <v>1024.0142123893966</v>
      </c>
      <c r="F13" s="331">
        <v>29110.085153346168</v>
      </c>
      <c r="G13" s="331">
        <v>21624.872683785172</v>
      </c>
      <c r="H13" s="745">
        <v>1412.07</v>
      </c>
      <c r="I13" s="745">
        <v>5648.28</v>
      </c>
      <c r="J13" s="697"/>
      <c r="K13">
        <v>2031</v>
      </c>
      <c r="L13">
        <v>7</v>
      </c>
      <c r="M13" s="697">
        <f t="shared" si="0"/>
        <v>3012329.1354481699</v>
      </c>
      <c r="N13" s="697">
        <f>N12*(1+Assumptions!$C$6)</f>
        <v>8.1424974126272538</v>
      </c>
      <c r="O13" s="697">
        <f t="shared" si="2"/>
        <v>24527882.191368416</v>
      </c>
      <c r="R13">
        <v>2029</v>
      </c>
      <c r="S13">
        <v>7</v>
      </c>
      <c r="T13" s="697">
        <f>'Native vegetation'!$F$36/30*S13</f>
        <v>13015333.333333332</v>
      </c>
      <c r="U13" s="697">
        <f>U12*(1+Assumptions!$C$6)</f>
        <v>6.5139979301018031E-2</v>
      </c>
      <c r="V13" s="697">
        <f t="shared" si="1"/>
        <v>847818.54392918327</v>
      </c>
    </row>
    <row r="14" spans="2:22" x14ac:dyDescent="0.35">
      <c r="B14">
        <v>8</v>
      </c>
      <c r="C14" t="s">
        <v>1075</v>
      </c>
      <c r="D14" s="331">
        <v>55742.432478168535</v>
      </c>
      <c r="E14" s="331">
        <v>16787.266465039804</v>
      </c>
      <c r="F14" s="331">
        <v>149655.75251588173</v>
      </c>
      <c r="G14" s="331">
        <v>133607.84854090991</v>
      </c>
      <c r="H14" s="745">
        <v>1412.07</v>
      </c>
      <c r="I14" s="745">
        <v>5648.28</v>
      </c>
      <c r="J14" s="697"/>
      <c r="K14">
        <v>2032</v>
      </c>
      <c r="L14">
        <v>8</v>
      </c>
      <c r="M14" s="697">
        <f t="shared" si="0"/>
        <v>3442661.8690836229</v>
      </c>
      <c r="N14">
        <f>N13*(1+Assumptions!$C$6)</f>
        <v>8.346059847942934</v>
      </c>
      <c r="O14" s="697">
        <f t="shared" si="2"/>
        <v>28732661.995602999</v>
      </c>
      <c r="R14">
        <v>2030</v>
      </c>
      <c r="S14">
        <v>8</v>
      </c>
      <c r="T14" s="697">
        <f>'Native vegetation'!$F$36/30*S14</f>
        <v>14874666.666666666</v>
      </c>
      <c r="U14" s="697">
        <f>U13*(1+Assumptions!$C$6)</f>
        <v>6.6768478783543472E-2</v>
      </c>
      <c r="V14" s="697">
        <f t="shared" si="1"/>
        <v>993158.86574561463</v>
      </c>
    </row>
    <row r="15" spans="2:22" x14ac:dyDescent="0.35">
      <c r="B15">
        <v>9</v>
      </c>
      <c r="C15" t="s">
        <v>1076</v>
      </c>
      <c r="D15" s="331">
        <v>608.54979581696648</v>
      </c>
      <c r="E15" s="331">
        <v>958.89573302015685</v>
      </c>
      <c r="F15" s="331">
        <v>4501.8895691679363</v>
      </c>
      <c r="G15" s="331">
        <v>6880.5850894770965</v>
      </c>
      <c r="H15" s="745">
        <v>1412.07</v>
      </c>
      <c r="I15" s="745">
        <v>5648.28</v>
      </c>
      <c r="J15" s="697"/>
      <c r="K15">
        <v>2033</v>
      </c>
      <c r="L15">
        <v>9</v>
      </c>
      <c r="M15" s="697">
        <f t="shared" si="0"/>
        <v>3872994.602719076</v>
      </c>
      <c r="N15">
        <f>N14*(1+Assumptions!$C$6)</f>
        <v>8.5547113441415075</v>
      </c>
      <c r="O15" s="697">
        <f t="shared" si="2"/>
        <v>33132350.863679711</v>
      </c>
      <c r="R15">
        <v>2031</v>
      </c>
      <c r="S15">
        <v>9</v>
      </c>
      <c r="T15" s="697">
        <f>'Native vegetation'!$F$36/30*S15</f>
        <v>16734000</v>
      </c>
      <c r="U15" s="697">
        <f>U14*(1+Assumptions!$C$6)</f>
        <v>6.8437690753132052E-2</v>
      </c>
      <c r="V15" s="697">
        <f t="shared" si="1"/>
        <v>1145236.3170629118</v>
      </c>
    </row>
    <row r="16" spans="2:22" x14ac:dyDescent="0.35">
      <c r="B16">
        <v>10</v>
      </c>
      <c r="C16" t="s">
        <v>1077</v>
      </c>
      <c r="D16" s="331">
        <v>1108.1689556150939</v>
      </c>
      <c r="E16" s="331">
        <v>2291.9914313793552</v>
      </c>
      <c r="F16" s="331">
        <v>6144.3872588894446</v>
      </c>
      <c r="G16" s="331">
        <v>20251.852354116105</v>
      </c>
      <c r="H16" s="745">
        <v>1412.07</v>
      </c>
      <c r="I16" s="745">
        <v>5648.28</v>
      </c>
      <c r="J16" s="697"/>
      <c r="K16">
        <v>2034</v>
      </c>
      <c r="L16">
        <v>10</v>
      </c>
      <c r="M16" s="697">
        <f t="shared" si="0"/>
        <v>4303327.3363545286</v>
      </c>
      <c r="N16">
        <f>N15*(1+Assumptions!$C$6)</f>
        <v>8.7685791277450438</v>
      </c>
      <c r="O16" s="697">
        <f t="shared" si="2"/>
        <v>37734066.261412993</v>
      </c>
      <c r="R16">
        <v>2032</v>
      </c>
      <c r="S16">
        <v>10</v>
      </c>
      <c r="T16" s="697">
        <f>'Native vegetation'!$F$36/30*S16</f>
        <v>18593333.333333332</v>
      </c>
      <c r="U16" s="697">
        <f>U15*(1+Assumptions!$C$6)</f>
        <v>7.0148633021960352E-2</v>
      </c>
      <c r="V16" s="697">
        <f t="shared" si="1"/>
        <v>1304296.9166549828</v>
      </c>
    </row>
    <row r="17" spans="2:22" x14ac:dyDescent="0.35">
      <c r="B17">
        <v>11</v>
      </c>
      <c r="C17" t="s">
        <v>1078</v>
      </c>
      <c r="D17" s="331">
        <v>24062.842587842897</v>
      </c>
      <c r="E17" s="331">
        <v>14305.497398007912</v>
      </c>
      <c r="F17" s="331">
        <v>443166.78782905749</v>
      </c>
      <c r="G17" s="331">
        <v>323173.22713323293</v>
      </c>
      <c r="H17" s="745">
        <v>1412.07</v>
      </c>
      <c r="I17" s="745">
        <v>5648.28</v>
      </c>
      <c r="J17" s="697"/>
      <c r="K17">
        <v>2035</v>
      </c>
      <c r="L17">
        <v>11</v>
      </c>
      <c r="M17" s="697">
        <f t="shared" si="0"/>
        <v>4733660.0699899811</v>
      </c>
      <c r="N17">
        <f>N16*(1+Assumptions!$C$6)</f>
        <v>8.9877936059386698</v>
      </c>
      <c r="O17" s="697">
        <f t="shared" si="2"/>
        <v>42545159.70974315</v>
      </c>
      <c r="R17">
        <v>2033</v>
      </c>
      <c r="S17">
        <v>11</v>
      </c>
      <c r="T17" s="697">
        <f>'Native vegetation'!$F$36/30*S17</f>
        <v>20452666.666666664</v>
      </c>
      <c r="U17" s="697">
        <f>U16*(1+Assumptions!$C$6)</f>
        <v>7.1902348847509359E-2</v>
      </c>
      <c r="V17" s="697">
        <f t="shared" si="1"/>
        <v>1470594.773528493</v>
      </c>
    </row>
    <row r="18" spans="2:22" x14ac:dyDescent="0.35">
      <c r="B18">
        <v>12</v>
      </c>
      <c r="C18" t="s">
        <v>1079</v>
      </c>
      <c r="D18" s="331">
        <v>0</v>
      </c>
      <c r="E18" s="331">
        <v>0</v>
      </c>
      <c r="F18" s="331">
        <v>16.308797718200001</v>
      </c>
      <c r="G18" s="331">
        <v>88.391202281800005</v>
      </c>
      <c r="H18" s="745">
        <v>1412.07</v>
      </c>
      <c r="I18" s="745">
        <v>5648.28</v>
      </c>
      <c r="J18" s="697"/>
      <c r="K18">
        <v>2036</v>
      </c>
      <c r="L18">
        <v>12</v>
      </c>
      <c r="M18" s="697">
        <f t="shared" si="0"/>
        <v>5163992.8036254346</v>
      </c>
      <c r="N18">
        <f>N17*(1+Assumptions!$C$6)</f>
        <v>9.2124884460871357</v>
      </c>
      <c r="O18" s="697">
        <f t="shared" si="2"/>
        <v>47573224.039076433</v>
      </c>
      <c r="R18">
        <v>2034</v>
      </c>
      <c r="S18">
        <v>12</v>
      </c>
      <c r="T18" s="697">
        <f>'Native vegetation'!$F$36/30*S18</f>
        <v>22312000</v>
      </c>
      <c r="U18" s="697">
        <f>U17*(1+Assumptions!$C$6)</f>
        <v>7.3699907568697084E-2</v>
      </c>
      <c r="V18" s="697">
        <f t="shared" si="1"/>
        <v>1644392.3376727693</v>
      </c>
    </row>
    <row r="19" spans="2:22" x14ac:dyDescent="0.35">
      <c r="B19">
        <v>13</v>
      </c>
      <c r="C19" t="s">
        <v>1080</v>
      </c>
      <c r="D19" s="331">
        <v>5.8834830941099998</v>
      </c>
      <c r="E19" s="331">
        <v>21.164905438845899</v>
      </c>
      <c r="F19" s="331">
        <v>2203.7095298139234</v>
      </c>
      <c r="G19" s="331">
        <v>1243.7708821275166</v>
      </c>
      <c r="H19" s="745">
        <v>1412.07</v>
      </c>
      <c r="I19" s="745">
        <v>5648.28</v>
      </c>
      <c r="J19" s="697"/>
      <c r="K19">
        <v>2037</v>
      </c>
      <c r="L19">
        <v>13</v>
      </c>
      <c r="M19" s="697">
        <f t="shared" si="0"/>
        <v>5594325.5372608872</v>
      </c>
      <c r="N19">
        <f>N18*(1+Assumptions!$C$6)</f>
        <v>9.4428006572393137</v>
      </c>
      <c r="O19" s="697">
        <f t="shared" si="2"/>
        <v>52826100.860057786</v>
      </c>
      <c r="R19">
        <v>2035</v>
      </c>
      <c r="S19">
        <v>13</v>
      </c>
      <c r="T19" s="697">
        <f>'Native vegetation'!$F$36/30*S19</f>
        <v>24171333.333333332</v>
      </c>
      <c r="U19" s="697">
        <f>U18*(1+Assumptions!$C$6)</f>
        <v>7.5542405257914502E-2</v>
      </c>
      <c r="V19" s="697">
        <f t="shared" si="1"/>
        <v>1825960.6582908039</v>
      </c>
    </row>
    <row r="20" spans="2:22" x14ac:dyDescent="0.35">
      <c r="B20">
        <v>14</v>
      </c>
      <c r="C20" t="s">
        <v>1081</v>
      </c>
      <c r="D20" s="331">
        <v>113479.7338191507</v>
      </c>
      <c r="E20" s="331">
        <v>110552.46157696267</v>
      </c>
      <c r="F20" s="331">
        <v>238435.82378745664</v>
      </c>
      <c r="G20" s="331">
        <v>207708.40933576523</v>
      </c>
      <c r="H20" s="745">
        <v>1412.07</v>
      </c>
      <c r="I20" s="745">
        <v>5648.28</v>
      </c>
      <c r="J20" s="697"/>
      <c r="K20">
        <v>2038</v>
      </c>
      <c r="L20">
        <v>14</v>
      </c>
      <c r="M20" s="697">
        <f t="shared" si="0"/>
        <v>6024658.2708963398</v>
      </c>
      <c r="N20">
        <f>N19*(1+Assumptions!$C$6)</f>
        <v>9.6788706736702963</v>
      </c>
      <c r="O20" s="697">
        <f t="shared" si="2"/>
        <v>58311888.257063776</v>
      </c>
      <c r="R20">
        <v>2036</v>
      </c>
      <c r="S20">
        <v>14</v>
      </c>
      <c r="T20" s="697">
        <f>'Native vegetation'!$F$36/30*S20</f>
        <v>26030666.666666664</v>
      </c>
      <c r="U20" s="697">
        <f>U19*(1+Assumptions!$C$6)</f>
        <v>7.7430965389362352E-2</v>
      </c>
      <c r="V20" s="697">
        <f t="shared" si="1"/>
        <v>2015579.6497286947</v>
      </c>
    </row>
    <row r="21" spans="2:22" x14ac:dyDescent="0.35">
      <c r="B21">
        <v>15</v>
      </c>
      <c r="C21" t="s">
        <v>1082</v>
      </c>
      <c r="D21" s="331">
        <v>4670.5544904646704</v>
      </c>
      <c r="E21" s="331">
        <v>11319.509098673987</v>
      </c>
      <c r="F21" s="331">
        <v>49284.230387646945</v>
      </c>
      <c r="G21" s="331">
        <v>165955.80602321439</v>
      </c>
      <c r="H21" s="745">
        <v>1412.07</v>
      </c>
      <c r="I21" s="745">
        <v>5648.28</v>
      </c>
      <c r="J21" s="697"/>
      <c r="K21">
        <v>2039</v>
      </c>
      <c r="L21">
        <v>15</v>
      </c>
      <c r="M21" s="697">
        <f t="shared" si="0"/>
        <v>6454991.0045317933</v>
      </c>
      <c r="N21">
        <f>N20*(1+Assumptions!$C$6)</f>
        <v>9.9208424405120521</v>
      </c>
      <c r="O21" s="697">
        <f t="shared" si="2"/>
        <v>64038948.710882537</v>
      </c>
      <c r="R21">
        <v>2037</v>
      </c>
      <c r="S21">
        <v>15</v>
      </c>
      <c r="T21" s="697">
        <f>'Native vegetation'!$F$36/30*S21</f>
        <v>27890000</v>
      </c>
      <c r="U21" s="697">
        <f>U20*(1+Assumptions!$C$6)</f>
        <v>7.9366739524096411E-2</v>
      </c>
      <c r="V21" s="697">
        <f t="shared" si="1"/>
        <v>2213538.365327049</v>
      </c>
    </row>
    <row r="22" spans="2:22" x14ac:dyDescent="0.35">
      <c r="B22">
        <v>16</v>
      </c>
      <c r="C22" t="s">
        <v>1083</v>
      </c>
      <c r="D22" s="331">
        <v>15895.63584697091</v>
      </c>
      <c r="E22" s="331">
        <v>10478.009057263922</v>
      </c>
      <c r="F22" s="331">
        <v>54551.594841013626</v>
      </c>
      <c r="G22" s="331">
        <v>94181.760254751469</v>
      </c>
      <c r="H22" s="745">
        <v>847.24</v>
      </c>
      <c r="I22" s="745">
        <v>3388.97</v>
      </c>
      <c r="J22" s="697"/>
      <c r="K22">
        <v>2040</v>
      </c>
      <c r="L22">
        <v>16</v>
      </c>
      <c r="M22" s="697">
        <f t="shared" si="0"/>
        <v>6885323.7381672459</v>
      </c>
      <c r="N22">
        <f>N21*(1+Assumptions!$C$6)</f>
        <v>10.168863501524852</v>
      </c>
      <c r="O22" s="697">
        <f t="shared" si="2"/>
        <v>70015917.257231563</v>
      </c>
      <c r="R22">
        <v>2038</v>
      </c>
      <c r="S22">
        <v>16</v>
      </c>
      <c r="T22" s="697">
        <f>'Native vegetation'!$F$36/30*S22</f>
        <v>29749333.333333332</v>
      </c>
      <c r="U22" s="697">
        <f>U21*(1+Assumptions!$C$6)</f>
        <v>8.1350908012198811E-2</v>
      </c>
      <c r="V22" s="697">
        <f t="shared" si="1"/>
        <v>2420135.2794242399</v>
      </c>
    </row>
    <row r="23" spans="2:22" x14ac:dyDescent="0.35">
      <c r="B23">
        <v>17</v>
      </c>
      <c r="C23" t="s">
        <v>1084</v>
      </c>
      <c r="D23" s="331">
        <v>19590.815135425255</v>
      </c>
      <c r="E23" s="331">
        <v>56055.806681147071</v>
      </c>
      <c r="F23" s="331">
        <v>54223.253751514916</v>
      </c>
      <c r="G23" s="331">
        <v>160970.81433853859</v>
      </c>
      <c r="H23" s="745">
        <v>847.24</v>
      </c>
      <c r="I23" s="745">
        <v>3388.97</v>
      </c>
      <c r="J23" s="697"/>
      <c r="K23">
        <v>2041</v>
      </c>
      <c r="L23">
        <v>17</v>
      </c>
      <c r="M23" s="697">
        <f t="shared" si="0"/>
        <v>7315656.4718026984</v>
      </c>
      <c r="N23">
        <f>N22*(1+Assumptions!$C$6)</f>
        <v>10.423085089062972</v>
      </c>
      <c r="O23" s="697">
        <f t="shared" si="2"/>
        <v>76251709.887953743</v>
      </c>
      <c r="R23">
        <v>2039</v>
      </c>
      <c r="S23">
        <v>17</v>
      </c>
      <c r="T23" s="697">
        <f>'Native vegetation'!$F$36/30*S23</f>
        <v>31608666.666666664</v>
      </c>
      <c r="U23" s="697">
        <f>U22*(1+Assumptions!$C$6)</f>
        <v>8.3384680712503781E-2</v>
      </c>
      <c r="V23" s="697">
        <f t="shared" si="1"/>
        <v>2635678.577747961</v>
      </c>
    </row>
    <row r="24" spans="2:22" x14ac:dyDescent="0.35">
      <c r="B24">
        <v>18</v>
      </c>
      <c r="C24" t="s">
        <v>1085</v>
      </c>
      <c r="D24" s="331">
        <v>3730.9706047412637</v>
      </c>
      <c r="E24" s="331">
        <v>1040.2691924872629</v>
      </c>
      <c r="F24" s="331">
        <v>2490.1716488311331</v>
      </c>
      <c r="G24" s="331">
        <v>5558.8885539403391</v>
      </c>
      <c r="H24" s="745">
        <v>847.24</v>
      </c>
      <c r="I24" s="745">
        <v>3388.97</v>
      </c>
      <c r="J24" s="697"/>
      <c r="K24">
        <v>2042</v>
      </c>
      <c r="L24">
        <v>18</v>
      </c>
      <c r="M24" s="697">
        <f t="shared" si="0"/>
        <v>7745989.205438152</v>
      </c>
      <c r="N24">
        <f>N23*(1+Assumptions!$C$6)</f>
        <v>10.683662216289546</v>
      </c>
      <c r="O24" s="697">
        <f t="shared" si="2"/>
        <v>82755532.201926261</v>
      </c>
      <c r="R24">
        <v>2040</v>
      </c>
      <c r="S24">
        <v>18</v>
      </c>
      <c r="T24" s="697">
        <f>'Native vegetation'!$F$36/30*S24</f>
        <v>33468000</v>
      </c>
      <c r="U24" s="697">
        <f>U23*(1+Assumptions!$C$6)</f>
        <v>8.5469297730316363E-2</v>
      </c>
      <c r="V24" s="697">
        <f t="shared" si="1"/>
        <v>2860486.456438228</v>
      </c>
    </row>
    <row r="25" spans="2:22" x14ac:dyDescent="0.35">
      <c r="B25">
        <v>19</v>
      </c>
      <c r="C25" t="s">
        <v>1086</v>
      </c>
      <c r="D25" s="331">
        <v>16350.76272332703</v>
      </c>
      <c r="E25" s="331">
        <v>10372.809779232808</v>
      </c>
      <c r="F25" s="331">
        <v>625002.40688888077</v>
      </c>
      <c r="G25" s="331">
        <v>394194.02060855954</v>
      </c>
      <c r="H25" s="745">
        <v>564.83000000000004</v>
      </c>
      <c r="I25" s="745">
        <v>2259.31</v>
      </c>
      <c r="J25" s="697"/>
      <c r="K25">
        <v>2043</v>
      </c>
      <c r="L25">
        <v>19</v>
      </c>
      <c r="M25" s="697">
        <f t="shared" si="0"/>
        <v>8176321.9390736045</v>
      </c>
      <c r="N25">
        <f>N24*(1+Assumptions!$C$6)</f>
        <v>10.950753771696784</v>
      </c>
      <c r="O25" s="697">
        <f t="shared" si="2"/>
        <v>89536888.312917426</v>
      </c>
      <c r="R25">
        <v>2041</v>
      </c>
      <c r="S25">
        <v>19</v>
      </c>
      <c r="T25" s="697">
        <f>'Native vegetation'!$F$36/30*S25</f>
        <v>35327333.333333328</v>
      </c>
      <c r="U25" s="697">
        <f>U24*(1+Assumptions!$C$6)</f>
        <v>8.7606030173574267E-2</v>
      </c>
      <c r="V25" s="697">
        <f t="shared" si="1"/>
        <v>3094887.4299519155</v>
      </c>
    </row>
    <row r="26" spans="2:22" x14ac:dyDescent="0.35">
      <c r="B26">
        <v>20</v>
      </c>
      <c r="C26" t="s">
        <v>1087</v>
      </c>
      <c r="D26" s="331">
        <v>202.89999999999998</v>
      </c>
      <c r="E26" s="331">
        <v>4.015453367768</v>
      </c>
      <c r="F26" s="331">
        <v>37.136600973536105</v>
      </c>
      <c r="G26" s="331">
        <v>12.947945658695899</v>
      </c>
      <c r="H26" s="745">
        <v>564.83000000000004</v>
      </c>
      <c r="I26" s="745">
        <v>2259.31</v>
      </c>
      <c r="J26" s="697"/>
      <c r="K26">
        <v>2044</v>
      </c>
      <c r="L26">
        <v>20</v>
      </c>
      <c r="M26" s="697">
        <f t="shared" si="0"/>
        <v>8606654.6727090571</v>
      </c>
      <c r="N26">
        <f>N25*(1+Assumptions!$C$6)</f>
        <v>11.224522615989201</v>
      </c>
      <c r="O26" s="697">
        <f t="shared" si="2"/>
        <v>96605590.021831945</v>
      </c>
      <c r="R26">
        <v>2042</v>
      </c>
      <c r="S26">
        <v>20</v>
      </c>
      <c r="T26" s="697">
        <f>'Native vegetation'!$F$36/30*S26</f>
        <v>37186666.666666664</v>
      </c>
      <c r="U26" s="697">
        <f>U25*(1+Assumptions!$C$6)</f>
        <v>8.979618092791361E-2</v>
      </c>
      <c r="V26" s="697">
        <f t="shared" si="1"/>
        <v>3339220.6481060139</v>
      </c>
    </row>
    <row r="27" spans="2:22" x14ac:dyDescent="0.35">
      <c r="B27">
        <v>21</v>
      </c>
      <c r="C27" t="s">
        <v>1088</v>
      </c>
      <c r="D27" s="331">
        <v>3633.0633485592484</v>
      </c>
      <c r="E27" s="331">
        <v>2067.3490160605206</v>
      </c>
      <c r="F27" s="331">
        <v>6984.3730552797842</v>
      </c>
      <c r="G27" s="331">
        <v>20159.192905781721</v>
      </c>
      <c r="H27" s="745">
        <v>564.83000000000004</v>
      </c>
      <c r="I27" s="745">
        <v>2259.31</v>
      </c>
      <c r="J27" s="697"/>
      <c r="K27">
        <v>2045</v>
      </c>
      <c r="L27">
        <v>21</v>
      </c>
      <c r="M27" s="697">
        <f t="shared" si="0"/>
        <v>9036987.4063445106</v>
      </c>
      <c r="N27">
        <f>N26*(1+Assumptions!$C$6)</f>
        <v>11.50513568138893</v>
      </c>
      <c r="O27" s="697">
        <f t="shared" si="2"/>
        <v>103971766.26099664</v>
      </c>
      <c r="R27">
        <v>2043</v>
      </c>
      <c r="S27">
        <v>21</v>
      </c>
      <c r="T27" s="697">
        <f>'Native vegetation'!$F$36/30*S27</f>
        <v>39046000</v>
      </c>
      <c r="U27" s="697">
        <f>U26*(1+Assumptions!$C$6)</f>
        <v>9.2041085451111448E-2</v>
      </c>
      <c r="V27" s="697">
        <f t="shared" si="1"/>
        <v>3593836.2225240977</v>
      </c>
    </row>
    <row r="28" spans="2:22" x14ac:dyDescent="0.35">
      <c r="B28">
        <v>22</v>
      </c>
      <c r="C28" t="s">
        <v>1089</v>
      </c>
      <c r="D28" s="331">
        <v>3459.0945075230129</v>
      </c>
      <c r="E28" s="331">
        <v>6157.3042156603842</v>
      </c>
      <c r="F28" s="331">
        <v>12225.421830576241</v>
      </c>
      <c r="G28" s="331">
        <v>5564.1794462403595</v>
      </c>
      <c r="H28" s="745">
        <v>847.24</v>
      </c>
      <c r="I28" s="745">
        <v>3388.97</v>
      </c>
      <c r="J28" s="697"/>
      <c r="K28">
        <v>2046</v>
      </c>
      <c r="L28">
        <v>22</v>
      </c>
      <c r="M28" s="697">
        <f t="shared" si="0"/>
        <v>9467320.1399799623</v>
      </c>
      <c r="N28">
        <f>N27*(1+Assumptions!$C$6)</f>
        <v>11.792764073423653</v>
      </c>
      <c r="O28" s="697">
        <f t="shared" si="2"/>
        <v>111645872.81835589</v>
      </c>
      <c r="R28">
        <v>2044</v>
      </c>
      <c r="S28">
        <v>22</v>
      </c>
      <c r="T28" s="697">
        <f>'Native vegetation'!$F$36/30*S28</f>
        <v>40905333.333333328</v>
      </c>
      <c r="U28" s="697">
        <f>U27*(1+Assumptions!$C$6)</f>
        <v>9.4342112587389226E-2</v>
      </c>
      <c r="V28" s="697">
        <f t="shared" si="1"/>
        <v>3859095.5627580183</v>
      </c>
    </row>
    <row r="29" spans="2:22" x14ac:dyDescent="0.35">
      <c r="B29">
        <v>23</v>
      </c>
      <c r="C29" t="s">
        <v>615</v>
      </c>
      <c r="D29" s="331">
        <v>5.7535388196100001</v>
      </c>
      <c r="E29" s="331">
        <v>78.446461180390003</v>
      </c>
      <c r="F29" s="331">
        <v>4.3999999999999959</v>
      </c>
      <c r="G29" s="331">
        <v>0</v>
      </c>
      <c r="H29" s="745">
        <v>1412.07</v>
      </c>
      <c r="I29" s="745">
        <v>5648.28</v>
      </c>
      <c r="J29" s="697"/>
      <c r="K29">
        <v>2047</v>
      </c>
      <c r="L29">
        <v>23</v>
      </c>
      <c r="M29" s="697">
        <f t="shared" si="0"/>
        <v>9897652.8736154158</v>
      </c>
      <c r="N29">
        <f>N28*(1+Assumptions!$C$6)</f>
        <v>12.087583175259244</v>
      </c>
      <c r="O29" s="697">
        <f t="shared" si="2"/>
        <v>119638702.34967001</v>
      </c>
      <c r="R29">
        <v>2045</v>
      </c>
      <c r="S29">
        <v>23</v>
      </c>
      <c r="T29" s="697">
        <f>'Native vegetation'!$F$36/30*S29</f>
        <v>42764666.666666664</v>
      </c>
      <c r="U29" s="697">
        <f>U28*(1+Assumptions!$C$6)</f>
        <v>9.6700665402073949E-2</v>
      </c>
      <c r="V29" s="697">
        <f t="shared" si="1"/>
        <v>4135371.7223645584</v>
      </c>
    </row>
    <row r="30" spans="2:22" x14ac:dyDescent="0.35">
      <c r="B30" s="1038">
        <v>24</v>
      </c>
      <c r="C30" s="1038" t="s">
        <v>1095</v>
      </c>
      <c r="D30" s="331"/>
      <c r="E30" s="331"/>
      <c r="F30" s="331"/>
      <c r="G30" s="331"/>
      <c r="H30" s="745"/>
      <c r="I30" s="745"/>
      <c r="J30" s="697"/>
      <c r="K30">
        <v>2048</v>
      </c>
      <c r="L30">
        <v>24</v>
      </c>
      <c r="M30" s="697">
        <f t="shared" si="0"/>
        <v>10327985.607250869</v>
      </c>
      <c r="N30">
        <f>N29*(1+Assumptions!$C$6)</f>
        <v>12.389772754640724</v>
      </c>
      <c r="O30" s="697">
        <f t="shared" si="2"/>
        <v>127961394.68703835</v>
      </c>
      <c r="R30">
        <v>2046</v>
      </c>
      <c r="S30">
        <v>24</v>
      </c>
      <c r="T30" s="697">
        <f>'Native vegetation'!$F$36/30*S30</f>
        <v>44624000</v>
      </c>
      <c r="U30" s="697">
        <f>U29*(1+Assumptions!$C$6)</f>
        <v>9.9118182037125788E-2</v>
      </c>
      <c r="V30" s="697">
        <f t="shared" si="1"/>
        <v>4423049.755224701</v>
      </c>
    </row>
    <row r="31" spans="2:22" x14ac:dyDescent="0.35">
      <c r="B31" s="1038">
        <v>25</v>
      </c>
      <c r="C31" s="1038" t="s">
        <v>1096</v>
      </c>
      <c r="D31" s="331"/>
      <c r="E31" s="331"/>
      <c r="F31" s="331"/>
      <c r="G31" s="331"/>
      <c r="H31" s="745"/>
      <c r="I31" s="745"/>
      <c r="J31" s="697"/>
      <c r="K31">
        <v>2049</v>
      </c>
      <c r="L31">
        <v>25</v>
      </c>
      <c r="M31" s="697">
        <f t="shared" si="0"/>
        <v>10758318.340886321</v>
      </c>
      <c r="N31">
        <f>N30*(1+Assumptions!$C$6)</f>
        <v>12.69951707350674</v>
      </c>
      <c r="O31" s="697">
        <f t="shared" si="2"/>
        <v>136625447.45230654</v>
      </c>
      <c r="R31">
        <v>2047</v>
      </c>
      <c r="S31">
        <v>25</v>
      </c>
      <c r="T31" s="697">
        <f>'Native vegetation'!$F$36/30*S31</f>
        <v>46483333.333333328</v>
      </c>
      <c r="U31" s="697">
        <f>U30*(1+Assumptions!$C$6)</f>
        <v>0.10159613658805393</v>
      </c>
      <c r="V31" s="697">
        <f t="shared" si="1"/>
        <v>4722527.0824013725</v>
      </c>
    </row>
    <row r="32" spans="2:22" x14ac:dyDescent="0.35">
      <c r="B32" s="1038">
        <v>26</v>
      </c>
      <c r="C32" s="1038" t="s">
        <v>1090</v>
      </c>
      <c r="D32" s="331"/>
      <c r="E32" s="331"/>
      <c r="F32" s="331"/>
      <c r="G32" s="331"/>
      <c r="H32" s="745"/>
      <c r="I32" s="745"/>
      <c r="J32" s="697"/>
      <c r="K32">
        <v>2050</v>
      </c>
      <c r="L32">
        <v>26</v>
      </c>
      <c r="M32" s="697">
        <f t="shared" si="0"/>
        <v>11188651.074521774</v>
      </c>
      <c r="N32">
        <f>N31*(1+Assumptions!$C$6)</f>
        <v>13.017005000344408</v>
      </c>
      <c r="O32" s="697">
        <f t="shared" si="2"/>
        <v>145642726.98415878</v>
      </c>
      <c r="R32">
        <v>2048</v>
      </c>
      <c r="S32">
        <v>26</v>
      </c>
      <c r="T32" s="697">
        <f>'Native vegetation'!$F$36/30*S32</f>
        <v>48342666.666666664</v>
      </c>
      <c r="U32" s="697">
        <f>U31*(1+Assumptions!$C$6)</f>
        <v>0.10413604000275527</v>
      </c>
      <c r="V32" s="697">
        <f t="shared" si="1"/>
        <v>5034213.8698398629</v>
      </c>
    </row>
    <row r="33" spans="2:22" x14ac:dyDescent="0.35">
      <c r="B33" s="1038">
        <v>27</v>
      </c>
      <c r="C33" s="1038" t="s">
        <v>1091</v>
      </c>
      <c r="D33" s="331"/>
      <c r="E33" s="331"/>
      <c r="F33" s="331"/>
      <c r="G33" s="331"/>
      <c r="H33" s="745"/>
      <c r="I33" s="745"/>
      <c r="J33" s="697"/>
      <c r="K33">
        <v>2051</v>
      </c>
      <c r="L33">
        <v>27</v>
      </c>
      <c r="M33" s="697">
        <f t="shared" si="0"/>
        <v>11618983.808157228</v>
      </c>
      <c r="N33">
        <f>N32*(1+Assumptions!$C$6)</f>
        <v>13.342430125353017</v>
      </c>
      <c r="O33" s="697">
        <f t="shared" si="2"/>
        <v>155025479.58794591</v>
      </c>
      <c r="R33">
        <v>2049</v>
      </c>
      <c r="S33">
        <v>27</v>
      </c>
      <c r="T33" s="697">
        <f>'Native vegetation'!$F$36/30*S33</f>
        <v>50202000</v>
      </c>
      <c r="U33" s="697">
        <f>U32*(1+Assumptions!$C$6)</f>
        <v>0.10673944100282413</v>
      </c>
      <c r="V33" s="697">
        <f t="shared" si="1"/>
        <v>5358533.4172237776</v>
      </c>
    </row>
    <row r="34" spans="2:22" x14ac:dyDescent="0.35">
      <c r="B34" s="1038">
        <v>28</v>
      </c>
      <c r="C34" s="1038" t="s">
        <v>1097</v>
      </c>
      <c r="D34" s="331"/>
      <c r="E34" s="331"/>
      <c r="F34" s="331"/>
      <c r="G34" s="331"/>
      <c r="H34" s="745"/>
      <c r="I34" s="745"/>
      <c r="J34" s="697"/>
      <c r="K34">
        <v>2052</v>
      </c>
      <c r="L34">
        <v>28</v>
      </c>
      <c r="M34" s="697">
        <f t="shared" si="0"/>
        <v>12049316.54179268</v>
      </c>
      <c r="N34">
        <f>N33*(1+Assumptions!$C$6)</f>
        <v>13.675990878486841</v>
      </c>
      <c r="O34" s="697">
        <f t="shared" si="2"/>
        <v>164786343.11755729</v>
      </c>
      <c r="R34">
        <v>2050</v>
      </c>
      <c r="S34">
        <v>28</v>
      </c>
      <c r="T34" s="697">
        <f>'Native vegetation'!$F$36/30*S34</f>
        <v>52061333.333333328</v>
      </c>
      <c r="U34" s="697">
        <f>U33*(1+Assumptions!$C$6)</f>
        <v>0.10940792702789473</v>
      </c>
      <c r="V34" s="697">
        <f t="shared" si="1"/>
        <v>5695922.5583082363</v>
      </c>
    </row>
    <row r="35" spans="2:22" x14ac:dyDescent="0.35">
      <c r="B35">
        <v>29</v>
      </c>
      <c r="C35" t="s">
        <v>1092</v>
      </c>
      <c r="D35" s="331">
        <v>4687.2903707263167</v>
      </c>
      <c r="E35" s="331">
        <v>2648.3200281693216</v>
      </c>
      <c r="F35" s="331">
        <v>100078.9454030216</v>
      </c>
      <c r="G35" s="331">
        <v>52064.644198082751</v>
      </c>
      <c r="H35" s="745">
        <v>1412.07</v>
      </c>
      <c r="I35" s="745">
        <v>5648.28</v>
      </c>
      <c r="J35" s="697"/>
      <c r="K35">
        <v>2053</v>
      </c>
      <c r="L35">
        <v>29</v>
      </c>
      <c r="M35" s="697">
        <f t="shared" si="0"/>
        <v>12479649.275428133</v>
      </c>
      <c r="N35">
        <f>N34*(1+Assumptions!$C$6)</f>
        <v>14.017890650449012</v>
      </c>
      <c r="O35" s="697">
        <f t="shared" si="2"/>
        <v>174938358.8989068</v>
      </c>
      <c r="R35">
        <v>2051</v>
      </c>
      <c r="S35">
        <v>29</v>
      </c>
      <c r="T35" s="697">
        <f>'Native vegetation'!$F$36/30*S35</f>
        <v>53920666.666666664</v>
      </c>
      <c r="U35" s="697">
        <f>U34*(1+Assumptions!$C$6)</f>
        <v>0.11214312520359208</v>
      </c>
      <c r="V35" s="697">
        <f t="shared" si="1"/>
        <v>6046832.0730611542</v>
      </c>
    </row>
    <row r="36" spans="2:22" x14ac:dyDescent="0.35">
      <c r="B36">
        <v>30</v>
      </c>
      <c r="C36" t="s">
        <v>1093</v>
      </c>
      <c r="D36" s="331">
        <v>4762.3145800914544</v>
      </c>
      <c r="E36" s="331">
        <v>3541.4459654613393</v>
      </c>
      <c r="F36" s="331">
        <v>28496.676356530083</v>
      </c>
      <c r="G36" s="331">
        <v>63267.92006278137</v>
      </c>
      <c r="H36" s="745">
        <v>1412.07</v>
      </c>
      <c r="I36" s="745">
        <v>5648.28</v>
      </c>
      <c r="J36" s="697"/>
      <c r="K36">
        <v>2054</v>
      </c>
      <c r="L36">
        <v>30</v>
      </c>
      <c r="M36" s="697">
        <f>SUM($D$37:$G$37)/30*L36</f>
        <v>12909982.009063587</v>
      </c>
      <c r="N36">
        <f>N35*(1+Assumptions!$C$6)</f>
        <v>14.368337916710235</v>
      </c>
      <c r="O36" s="697">
        <f>$M36*$N36</f>
        <v>185494984.0048753</v>
      </c>
      <c r="R36">
        <v>2052</v>
      </c>
      <c r="S36">
        <v>30</v>
      </c>
      <c r="T36" s="697">
        <f>'Native vegetation'!$F$36/30*S36</f>
        <v>55780000</v>
      </c>
      <c r="U36" s="697">
        <f>U35*(1+Assumptions!$C$6)</f>
        <v>0.11494670333368187</v>
      </c>
      <c r="V36" s="697">
        <f>$T36*$U36</f>
        <v>6411727.1119527752</v>
      </c>
    </row>
    <row r="37" spans="2:22" x14ac:dyDescent="0.35">
      <c r="B37" s="1036"/>
      <c r="C37" s="1036" t="s">
        <v>1094</v>
      </c>
      <c r="D37" s="1039">
        <f>SUM(D7:D36)</f>
        <v>754863.02974582347</v>
      </c>
      <c r="E37" s="1039">
        <f>SUM(E7:E36)</f>
        <v>563594.81367730163</v>
      </c>
      <c r="F37" s="1039">
        <f>SUM(F7:F36)</f>
        <v>6672809.7620567521</v>
      </c>
      <c r="G37" s="1039">
        <f>SUM(G7:G36)</f>
        <v>4918714.4035837101</v>
      </c>
      <c r="H37" s="1039"/>
      <c r="I37" s="1039"/>
      <c r="J37" s="1044"/>
      <c r="K37" s="1044"/>
      <c r="L37" s="1039" t="s">
        <v>1094</v>
      </c>
      <c r="M37" s="1036"/>
      <c r="N37" s="1036"/>
      <c r="O37" s="1055">
        <f>SUM(O7:O36)</f>
        <v>2299259814.927371</v>
      </c>
      <c r="R37" s="1044"/>
      <c r="S37" s="1039" t="s">
        <v>1094</v>
      </c>
      <c r="T37" s="1036"/>
      <c r="U37" s="1036"/>
      <c r="V37" s="1055">
        <f>SUM(V7:V36)</f>
        <v>79475068.136645049</v>
      </c>
    </row>
    <row r="39" spans="2:22" x14ac:dyDescent="0.35">
      <c r="B39" s="1036"/>
      <c r="C39" s="1036" t="s">
        <v>1107</v>
      </c>
      <c r="D39" s="1036"/>
      <c r="E39" s="1039" cm="1">
        <f t="array" ref="E39">SUM($D$7:$D$36*$H$7:$H$36,$E$7:$E$36*$I$7:$I$36)</f>
        <v>4050115264.0921378</v>
      </c>
      <c r="U39" s="697"/>
    </row>
    <row r="40" spans="2:22" x14ac:dyDescent="0.35">
      <c r="B40" s="1036"/>
      <c r="C40" s="1036" t="s">
        <v>1108</v>
      </c>
      <c r="D40" s="1036"/>
      <c r="E40" s="1039" cm="1">
        <f t="array" ref="E40">SUM($F$7:$F$36*$H$7:$H$36,$G$7:$G$36*$I$7:$I$36)</f>
        <v>34825207377.276161</v>
      </c>
    </row>
  </sheetData>
  <pageMargins left="0.7" right="0.7" top="0.75" bottom="0.75" header="0.3" footer="0.3"/>
  <pageSetup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612537-9F8E-4227-9051-8F7656B2C4B5}">
  <sheetPr>
    <tabColor rgb="FFB3565B"/>
  </sheetPr>
  <dimension ref="A1:AE105"/>
  <sheetViews>
    <sheetView topLeftCell="A53" zoomScale="70" zoomScaleNormal="70" workbookViewId="0">
      <selection activeCell="G117" sqref="G117"/>
    </sheetView>
  </sheetViews>
  <sheetFormatPr defaultColWidth="21.453125" defaultRowHeight="14.5" x14ac:dyDescent="0.35"/>
  <cols>
    <col min="1" max="1" width="10.81640625" customWidth="1"/>
  </cols>
  <sheetData>
    <row r="1" spans="1:31" ht="14.5" customHeight="1" x14ac:dyDescent="0.35">
      <c r="A1">
        <v>2054</v>
      </c>
      <c r="B1" s="1674" t="s">
        <v>689</v>
      </c>
      <c r="C1" s="1674"/>
      <c r="D1" s="1674"/>
      <c r="E1" s="1674"/>
      <c r="F1" s="198"/>
      <c r="G1" s="1674" t="s">
        <v>633</v>
      </c>
      <c r="H1" s="1674"/>
      <c r="I1" s="1674"/>
      <c r="J1" s="1674"/>
      <c r="K1" s="198"/>
      <c r="L1" s="1674" t="s">
        <v>713</v>
      </c>
      <c r="M1" s="1674"/>
      <c r="N1" s="1674"/>
      <c r="O1" s="1674"/>
      <c r="P1" s="198"/>
      <c r="Q1" s="1674" t="s">
        <v>0</v>
      </c>
      <c r="R1" s="1674"/>
      <c r="S1" s="1674"/>
      <c r="T1" s="1674"/>
      <c r="V1" s="198" t="s">
        <v>1335</v>
      </c>
      <c r="W1" s="198"/>
      <c r="X1" s="198"/>
      <c r="Y1" s="198"/>
      <c r="Z1" s="198" t="s">
        <v>1356</v>
      </c>
    </row>
    <row r="2" spans="1:31" x14ac:dyDescent="0.35">
      <c r="A2" s="719" t="s">
        <v>847</v>
      </c>
      <c r="B2" s="731">
        <v>2000</v>
      </c>
      <c r="C2" s="731">
        <v>2024</v>
      </c>
      <c r="D2" s="732" t="s">
        <v>848</v>
      </c>
      <c r="E2" s="1282" t="s">
        <v>1330</v>
      </c>
      <c r="F2" s="734"/>
      <c r="G2" s="731">
        <v>2000</v>
      </c>
      <c r="H2" s="731">
        <v>2024</v>
      </c>
      <c r="I2" s="732" t="s">
        <v>848</v>
      </c>
      <c r="J2" s="1282" t="s">
        <v>1330</v>
      </c>
      <c r="K2" s="734"/>
      <c r="L2" s="731">
        <v>2000</v>
      </c>
      <c r="M2" s="731">
        <v>2024</v>
      </c>
      <c r="N2" s="732" t="s">
        <v>848</v>
      </c>
      <c r="O2" s="1282" t="s">
        <v>1330</v>
      </c>
      <c r="P2" s="734"/>
      <c r="Q2" s="731">
        <v>2000</v>
      </c>
      <c r="R2" s="731">
        <v>2024</v>
      </c>
      <c r="S2" s="732" t="s">
        <v>848</v>
      </c>
      <c r="T2" s="1282" t="s">
        <v>1330</v>
      </c>
      <c r="V2" s="1283" t="s">
        <v>1331</v>
      </c>
      <c r="W2" s="1282" t="s">
        <v>1332</v>
      </c>
      <c r="X2" s="1282" t="s">
        <v>1333</v>
      </c>
      <c r="Z2" s="1302">
        <v>0.71499999999999997</v>
      </c>
    </row>
    <row r="3" spans="1:31" x14ac:dyDescent="0.35">
      <c r="A3" s="733" t="s">
        <v>852</v>
      </c>
      <c r="B3" s="734">
        <v>0</v>
      </c>
      <c r="C3" s="1059">
        <v>260</v>
      </c>
      <c r="D3" s="735">
        <f>(C3-B3)/(C$2-B$2)</f>
        <v>10.833333333333334</v>
      </c>
      <c r="E3" s="735">
        <f>C3+(D3*($A$1-$C$2))</f>
        <v>585</v>
      </c>
      <c r="F3" s="734"/>
      <c r="G3" s="734">
        <v>454</v>
      </c>
      <c r="H3" s="1059">
        <v>577</v>
      </c>
      <c r="I3" s="735">
        <f t="shared" ref="I3:I9" si="0">(H3-G3)/(H$2-G$2)</f>
        <v>5.125</v>
      </c>
      <c r="J3" s="735">
        <f>H3+(I3*($A$1-$H$2))</f>
        <v>730.75</v>
      </c>
      <c r="K3" s="734"/>
      <c r="L3" s="734">
        <v>543</v>
      </c>
      <c r="M3" s="1059">
        <v>579</v>
      </c>
      <c r="N3" s="735">
        <f t="shared" ref="N3:N10" si="1">(M3-L3)/(M$2-L$2)</f>
        <v>1.5</v>
      </c>
      <c r="O3" s="735">
        <f>M3+(N3*($A$1-$M$2))</f>
        <v>624</v>
      </c>
      <c r="P3" s="734"/>
      <c r="Q3" s="734">
        <f>L3+G3</f>
        <v>997</v>
      </c>
      <c r="R3" s="734">
        <f>C3+H3+M3</f>
        <v>1416</v>
      </c>
      <c r="S3" s="735">
        <f t="shared" ref="S3:S9" si="2">(R3-Q3)/(R$2-Q$2)</f>
        <v>17.458333333333332</v>
      </c>
      <c r="T3" s="735">
        <f>R3+(S3*($A$1-$R$2))</f>
        <v>1939.75</v>
      </c>
      <c r="V3" t="s">
        <v>852</v>
      </c>
      <c r="W3" s="1284">
        <v>48890</v>
      </c>
      <c r="X3" s="1284">
        <v>116042.98630136986</v>
      </c>
    </row>
    <row r="4" spans="1:31" x14ac:dyDescent="0.35">
      <c r="A4" s="733" t="s">
        <v>853</v>
      </c>
      <c r="B4" s="734">
        <v>0</v>
      </c>
      <c r="C4" s="1059">
        <v>25</v>
      </c>
      <c r="D4" s="735">
        <f>(C4-B4)/(C$2-B$2)</f>
        <v>1.0416666666666667</v>
      </c>
      <c r="E4" s="735">
        <f>C4+(D4*($A$1-$C$2))</f>
        <v>56.25</v>
      </c>
      <c r="F4" s="734"/>
      <c r="G4" s="734">
        <v>11</v>
      </c>
      <c r="H4" s="1059">
        <v>26</v>
      </c>
      <c r="I4" s="735">
        <f t="shared" si="0"/>
        <v>0.625</v>
      </c>
      <c r="J4" s="735">
        <f t="shared" ref="J4:J8" si="3">H4+(I4*($A$1-$H$2))</f>
        <v>44.75</v>
      </c>
      <c r="K4" s="734"/>
      <c r="L4" s="734">
        <v>13</v>
      </c>
      <c r="M4" s="1059">
        <v>22</v>
      </c>
      <c r="N4" s="735">
        <f t="shared" si="1"/>
        <v>0.375</v>
      </c>
      <c r="O4" s="735">
        <f t="shared" ref="O4:O9" si="4">M4+(N4*($A$1-$M$2))</f>
        <v>33.25</v>
      </c>
      <c r="P4" s="734"/>
      <c r="Q4" s="734">
        <f>L4+G4</f>
        <v>24</v>
      </c>
      <c r="R4" s="734">
        <f t="shared" ref="R4:R9" si="5">C4+H4+M4</f>
        <v>73</v>
      </c>
      <c r="S4" s="735">
        <f t="shared" si="2"/>
        <v>2.0416666666666665</v>
      </c>
      <c r="T4" s="735">
        <f t="shared" ref="T4:T9" si="6">R4+(S4*($A$1-$R$2))</f>
        <v>134.25</v>
      </c>
      <c r="V4" t="s">
        <v>853</v>
      </c>
      <c r="W4" s="1284">
        <v>196650</v>
      </c>
      <c r="X4" s="1284">
        <v>1939989.4857142856</v>
      </c>
    </row>
    <row r="5" spans="1:31" x14ac:dyDescent="0.35">
      <c r="A5" s="733" t="s">
        <v>854</v>
      </c>
      <c r="B5" s="734">
        <v>0</v>
      </c>
      <c r="C5" s="1059">
        <v>18</v>
      </c>
      <c r="D5" s="735">
        <f t="shared" ref="D5:D9" si="7">(C5-B5)/(C$2-B$2)</f>
        <v>0.75</v>
      </c>
      <c r="E5" s="735">
        <f t="shared" ref="E5:E9" si="8">C5+(D5*($A$1-$C$2))</f>
        <v>40.5</v>
      </c>
      <c r="F5" s="734"/>
      <c r="G5" s="734">
        <v>12</v>
      </c>
      <c r="H5" s="1059">
        <v>11</v>
      </c>
      <c r="I5" s="735">
        <f t="shared" si="0"/>
        <v>-4.1666666666666664E-2</v>
      </c>
      <c r="J5" s="735">
        <f t="shared" si="3"/>
        <v>9.75</v>
      </c>
      <c r="K5" s="734"/>
      <c r="L5" s="734">
        <v>10</v>
      </c>
      <c r="M5" s="1059">
        <v>17</v>
      </c>
      <c r="N5" s="735">
        <f t="shared" si="1"/>
        <v>0.29166666666666669</v>
      </c>
      <c r="O5" s="735">
        <f t="shared" si="4"/>
        <v>25.75</v>
      </c>
      <c r="P5" s="734"/>
      <c r="Q5" s="734">
        <f t="shared" ref="Q5:Q9" si="9">L5+G5</f>
        <v>22</v>
      </c>
      <c r="R5" s="734">
        <f t="shared" si="5"/>
        <v>46</v>
      </c>
      <c r="S5" s="735">
        <f t="shared" si="2"/>
        <v>1</v>
      </c>
      <c r="T5" s="735">
        <f t="shared" si="6"/>
        <v>76</v>
      </c>
      <c r="V5" t="s">
        <v>854</v>
      </c>
      <c r="W5" s="1284">
        <v>479853.5</v>
      </c>
      <c r="X5" s="1284">
        <v>1042740.5</v>
      </c>
    </row>
    <row r="6" spans="1:31" x14ac:dyDescent="0.35">
      <c r="A6" s="733" t="s">
        <v>855</v>
      </c>
      <c r="B6" s="734">
        <v>0</v>
      </c>
      <c r="C6" s="1059">
        <v>26</v>
      </c>
      <c r="D6" s="735">
        <f t="shared" si="7"/>
        <v>1.0833333333333333</v>
      </c>
      <c r="E6" s="735">
        <f t="shared" si="8"/>
        <v>58.5</v>
      </c>
      <c r="F6" s="734"/>
      <c r="G6" s="734">
        <v>10</v>
      </c>
      <c r="H6" s="1059">
        <v>32</v>
      </c>
      <c r="I6" s="735">
        <f t="shared" si="0"/>
        <v>0.91666666666666663</v>
      </c>
      <c r="J6" s="735">
        <f t="shared" si="3"/>
        <v>59.5</v>
      </c>
      <c r="K6" s="734"/>
      <c r="L6" s="734">
        <v>31</v>
      </c>
      <c r="M6" s="1059">
        <v>29</v>
      </c>
      <c r="N6" s="735">
        <f t="shared" si="1"/>
        <v>-8.3333333333333329E-2</v>
      </c>
      <c r="O6" s="735">
        <f t="shared" si="4"/>
        <v>26.5</v>
      </c>
      <c r="P6" s="734"/>
      <c r="Q6" s="734">
        <f t="shared" si="9"/>
        <v>41</v>
      </c>
      <c r="R6" s="734">
        <f t="shared" si="5"/>
        <v>87</v>
      </c>
      <c r="S6" s="735">
        <f t="shared" si="2"/>
        <v>1.9166666666666667</v>
      </c>
      <c r="T6" s="735">
        <f t="shared" si="6"/>
        <v>144.5</v>
      </c>
      <c r="V6" t="s">
        <v>855</v>
      </c>
      <c r="W6" s="1284">
        <v>702680</v>
      </c>
      <c r="X6" s="1284">
        <v>1853756.0666666667</v>
      </c>
    </row>
    <row r="7" spans="1:31" x14ac:dyDescent="0.35">
      <c r="A7" s="733" t="s">
        <v>856</v>
      </c>
      <c r="B7" s="734">
        <v>0</v>
      </c>
      <c r="C7" s="1059">
        <v>16</v>
      </c>
      <c r="D7" s="735">
        <f t="shared" si="7"/>
        <v>0.66666666666666663</v>
      </c>
      <c r="E7" s="735">
        <f t="shared" si="8"/>
        <v>36</v>
      </c>
      <c r="F7" s="734"/>
      <c r="G7" s="734">
        <v>28</v>
      </c>
      <c r="H7" s="1059">
        <v>71</v>
      </c>
      <c r="I7" s="735">
        <f t="shared" si="0"/>
        <v>1.7916666666666667</v>
      </c>
      <c r="J7" s="735">
        <f t="shared" si="3"/>
        <v>124.75</v>
      </c>
      <c r="K7" s="734"/>
      <c r="L7" s="734">
        <v>45</v>
      </c>
      <c r="M7" s="1059">
        <v>76</v>
      </c>
      <c r="N7" s="735">
        <f t="shared" si="1"/>
        <v>1.2916666666666667</v>
      </c>
      <c r="O7" s="735">
        <f t="shared" si="4"/>
        <v>114.75</v>
      </c>
      <c r="P7" s="734"/>
      <c r="Q7" s="734">
        <f t="shared" si="9"/>
        <v>73</v>
      </c>
      <c r="R7" s="734">
        <f t="shared" si="5"/>
        <v>163</v>
      </c>
      <c r="S7" s="735">
        <f t="shared" si="2"/>
        <v>3.75</v>
      </c>
      <c r="T7" s="735">
        <f t="shared" si="6"/>
        <v>275.5</v>
      </c>
      <c r="V7" t="s">
        <v>856</v>
      </c>
      <c r="W7" s="1284">
        <v>3134840</v>
      </c>
      <c r="X7" s="1284">
        <v>3181905.076923077</v>
      </c>
    </row>
    <row r="8" spans="1:31" x14ac:dyDescent="0.35">
      <c r="A8" s="733" t="s">
        <v>857</v>
      </c>
      <c r="B8" s="734">
        <v>0</v>
      </c>
      <c r="C8" s="1059">
        <v>9</v>
      </c>
      <c r="D8" s="735">
        <f t="shared" si="7"/>
        <v>0.375</v>
      </c>
      <c r="E8" s="735">
        <f t="shared" si="8"/>
        <v>20.25</v>
      </c>
      <c r="F8" s="734"/>
      <c r="G8" s="734">
        <v>19</v>
      </c>
      <c r="H8" s="1059">
        <v>46</v>
      </c>
      <c r="I8" s="735">
        <f t="shared" si="0"/>
        <v>1.125</v>
      </c>
      <c r="J8" s="735">
        <f t="shared" si="3"/>
        <v>79.75</v>
      </c>
      <c r="K8" s="734"/>
      <c r="L8" s="734">
        <v>39</v>
      </c>
      <c r="M8" s="1059">
        <v>55</v>
      </c>
      <c r="N8" s="735">
        <f t="shared" si="1"/>
        <v>0.66666666666666663</v>
      </c>
      <c r="O8" s="735">
        <f t="shared" si="4"/>
        <v>75</v>
      </c>
      <c r="P8" s="734"/>
      <c r="Q8" s="734">
        <f t="shared" si="9"/>
        <v>58</v>
      </c>
      <c r="R8" s="734">
        <f t="shared" si="5"/>
        <v>110</v>
      </c>
      <c r="S8" s="735">
        <f t="shared" si="2"/>
        <v>2.1666666666666665</v>
      </c>
      <c r="T8" s="735">
        <f t="shared" si="6"/>
        <v>175</v>
      </c>
      <c r="V8" t="s">
        <v>857</v>
      </c>
      <c r="W8" s="1284">
        <v>648951</v>
      </c>
      <c r="X8" s="1284">
        <v>2904236.3333333335</v>
      </c>
    </row>
    <row r="9" spans="1:31" x14ac:dyDescent="0.35">
      <c r="A9" s="738" t="s">
        <v>6</v>
      </c>
      <c r="B9" s="739">
        <v>0</v>
      </c>
      <c r="C9" s="739">
        <v>42</v>
      </c>
      <c r="D9" s="740">
        <f t="shared" si="7"/>
        <v>1.75</v>
      </c>
      <c r="E9" s="735">
        <f t="shared" si="8"/>
        <v>94.5</v>
      </c>
      <c r="F9" s="734"/>
      <c r="G9" s="739">
        <v>0</v>
      </c>
      <c r="H9" s="739">
        <v>42</v>
      </c>
      <c r="I9" s="740">
        <f t="shared" si="0"/>
        <v>1.75</v>
      </c>
      <c r="J9" s="735">
        <f>H9+(I9*($A$1-$H$2))</f>
        <v>94.5</v>
      </c>
      <c r="K9" s="734"/>
      <c r="L9" s="739">
        <v>4</v>
      </c>
      <c r="M9" s="739">
        <v>15</v>
      </c>
      <c r="N9" s="740">
        <f t="shared" si="1"/>
        <v>0.45833333333333331</v>
      </c>
      <c r="O9" s="735">
        <f t="shared" si="4"/>
        <v>28.75</v>
      </c>
      <c r="P9" s="734"/>
      <c r="Q9" s="739">
        <f t="shared" si="9"/>
        <v>4</v>
      </c>
      <c r="R9" s="739">
        <f t="shared" si="5"/>
        <v>99</v>
      </c>
      <c r="S9" s="740">
        <f t="shared" si="2"/>
        <v>3.9583333333333335</v>
      </c>
      <c r="T9" s="735">
        <f t="shared" si="6"/>
        <v>217.75</v>
      </c>
      <c r="V9" s="746" t="s">
        <v>1385</v>
      </c>
      <c r="W9" s="1285">
        <v>116788</v>
      </c>
      <c r="X9" s="1285">
        <v>297045.48148148146</v>
      </c>
    </row>
    <row r="10" spans="1:31" x14ac:dyDescent="0.35">
      <c r="A10" s="741" t="s">
        <v>0</v>
      </c>
      <c r="B10" s="1060">
        <f>SUM(B3:B9)</f>
        <v>0</v>
      </c>
      <c r="C10" s="1060">
        <f>SUM(C3:C9)</f>
        <v>396</v>
      </c>
      <c r="D10" s="743">
        <f>(C10-B10)/(C$2-B$2)</f>
        <v>16.5</v>
      </c>
      <c r="E10" s="1286">
        <f>SUM(E3:E9)</f>
        <v>891</v>
      </c>
      <c r="F10" s="734"/>
      <c r="G10" s="1060">
        <f>SUM(G3:G9)</f>
        <v>534</v>
      </c>
      <c r="H10" s="1060">
        <f>SUM(H3:H9)</f>
        <v>805</v>
      </c>
      <c r="I10" s="743">
        <f>(H10-G10)/(H$2-G$2)</f>
        <v>11.291666666666666</v>
      </c>
      <c r="J10" s="1287">
        <f>SUM(J3:J9)</f>
        <v>1143.75</v>
      </c>
      <c r="K10" s="734"/>
      <c r="L10" s="1060">
        <f>SUM(L3:L9)</f>
        <v>685</v>
      </c>
      <c r="M10" s="1060">
        <f>SUM(M3:M9)</f>
        <v>793</v>
      </c>
      <c r="N10" s="743">
        <f t="shared" si="1"/>
        <v>4.5</v>
      </c>
      <c r="O10" s="1287">
        <f>SUM(O3:O9)</f>
        <v>928</v>
      </c>
      <c r="P10" s="734"/>
      <c r="Q10" s="742">
        <f>B10+L10+G10</f>
        <v>1219</v>
      </c>
      <c r="R10" s="742">
        <f>C10+M10+H10</f>
        <v>1994</v>
      </c>
      <c r="S10" s="743">
        <f>D10+N10+I10</f>
        <v>32.291666666666664</v>
      </c>
      <c r="T10" s="1288">
        <f>E10+O10+J10</f>
        <v>2962.75</v>
      </c>
      <c r="W10" s="1289">
        <f>SUM(W3:W9)</f>
        <v>5328652.5</v>
      </c>
      <c r="X10" s="1289">
        <f>SUM(X3:X9)</f>
        <v>11335715.930420214</v>
      </c>
    </row>
    <row r="11" spans="1:31" x14ac:dyDescent="0.35">
      <c r="V11" t="s">
        <v>1386</v>
      </c>
    </row>
    <row r="12" spans="1:31" x14ac:dyDescent="0.35">
      <c r="A12" s="741" t="s">
        <v>1334</v>
      </c>
    </row>
    <row r="13" spans="1:31" s="198" customFormat="1" x14ac:dyDescent="0.35">
      <c r="A13" s="1334" t="s">
        <v>849</v>
      </c>
      <c r="B13" s="1334">
        <v>2025</v>
      </c>
      <c r="C13" s="1334">
        <v>2026</v>
      </c>
      <c r="D13" s="1334">
        <v>2027</v>
      </c>
      <c r="E13" s="1334">
        <v>2028</v>
      </c>
      <c r="F13" s="1334">
        <v>2029</v>
      </c>
      <c r="G13" s="1334">
        <v>2030</v>
      </c>
      <c r="H13" s="1334">
        <v>2031</v>
      </c>
      <c r="I13" s="1334">
        <v>2032</v>
      </c>
      <c r="J13" s="1334">
        <v>2033</v>
      </c>
      <c r="K13" s="1334">
        <v>2034</v>
      </c>
      <c r="L13" s="1334">
        <v>2035</v>
      </c>
      <c r="M13" s="1334">
        <v>2036</v>
      </c>
      <c r="N13" s="1334">
        <v>2037</v>
      </c>
      <c r="O13" s="1334">
        <v>2038</v>
      </c>
      <c r="P13" s="1334">
        <v>2039</v>
      </c>
      <c r="Q13" s="1334">
        <v>2040</v>
      </c>
      <c r="R13" s="1334">
        <v>2041</v>
      </c>
      <c r="S13" s="1334">
        <v>2042</v>
      </c>
      <c r="T13" s="1334">
        <v>2043</v>
      </c>
      <c r="U13" s="1334">
        <v>2044</v>
      </c>
      <c r="V13" s="1334">
        <v>2045</v>
      </c>
      <c r="W13" s="1334">
        <v>2046</v>
      </c>
      <c r="X13" s="1334">
        <v>2047</v>
      </c>
      <c r="Y13" s="1334">
        <v>2048</v>
      </c>
      <c r="Z13" s="1334">
        <v>2049</v>
      </c>
      <c r="AA13" s="1334">
        <v>2050</v>
      </c>
      <c r="AB13" s="1334">
        <v>2051</v>
      </c>
      <c r="AC13" s="1334">
        <v>2052</v>
      </c>
      <c r="AD13" s="1334">
        <v>2053</v>
      </c>
      <c r="AE13" s="1334">
        <v>2054</v>
      </c>
    </row>
    <row r="14" spans="1:31" x14ac:dyDescent="0.35">
      <c r="A14" s="736" t="s">
        <v>852</v>
      </c>
      <c r="B14" s="737">
        <f t="shared" ref="B14:AE14" si="10">$C3+$D3*(B$13-$C$2)</f>
        <v>270.83333333333331</v>
      </c>
      <c r="C14" s="737">
        <f t="shared" si="10"/>
        <v>281.66666666666669</v>
      </c>
      <c r="D14" s="737">
        <f t="shared" si="10"/>
        <v>292.5</v>
      </c>
      <c r="E14" s="737">
        <f t="shared" si="10"/>
        <v>303.33333333333331</v>
      </c>
      <c r="F14" s="737">
        <f t="shared" si="10"/>
        <v>314.16666666666669</v>
      </c>
      <c r="G14" s="737">
        <f t="shared" si="10"/>
        <v>325</v>
      </c>
      <c r="H14" s="737">
        <f t="shared" si="10"/>
        <v>335.83333333333337</v>
      </c>
      <c r="I14" s="737">
        <f t="shared" si="10"/>
        <v>346.66666666666669</v>
      </c>
      <c r="J14" s="737">
        <f t="shared" si="10"/>
        <v>357.5</v>
      </c>
      <c r="K14" s="737">
        <f t="shared" si="10"/>
        <v>368.33333333333337</v>
      </c>
      <c r="L14" s="737">
        <f t="shared" si="10"/>
        <v>379.16666666666669</v>
      </c>
      <c r="M14" s="737">
        <f t="shared" si="10"/>
        <v>390</v>
      </c>
      <c r="N14" s="737">
        <f t="shared" si="10"/>
        <v>400.83333333333337</v>
      </c>
      <c r="O14" s="737">
        <f t="shared" si="10"/>
        <v>411.66666666666669</v>
      </c>
      <c r="P14" s="737">
        <f t="shared" si="10"/>
        <v>422.5</v>
      </c>
      <c r="Q14" s="737">
        <f t="shared" si="10"/>
        <v>433.33333333333337</v>
      </c>
      <c r="R14" s="737">
        <f t="shared" si="10"/>
        <v>444.16666666666669</v>
      </c>
      <c r="S14" s="737">
        <f t="shared" si="10"/>
        <v>455</v>
      </c>
      <c r="T14" s="737">
        <f t="shared" si="10"/>
        <v>465.83333333333337</v>
      </c>
      <c r="U14" s="737">
        <f t="shared" si="10"/>
        <v>476.66666666666669</v>
      </c>
      <c r="V14" s="737">
        <f t="shared" si="10"/>
        <v>487.5</v>
      </c>
      <c r="W14" s="737">
        <f t="shared" si="10"/>
        <v>498.33333333333337</v>
      </c>
      <c r="X14" s="737">
        <f t="shared" si="10"/>
        <v>509.16666666666669</v>
      </c>
      <c r="Y14" s="737">
        <f t="shared" si="10"/>
        <v>520</v>
      </c>
      <c r="Z14" s="737">
        <f t="shared" si="10"/>
        <v>530.83333333333337</v>
      </c>
      <c r="AA14" s="737">
        <f t="shared" si="10"/>
        <v>541.66666666666674</v>
      </c>
      <c r="AB14" s="737">
        <f t="shared" si="10"/>
        <v>552.5</v>
      </c>
      <c r="AC14" s="737">
        <f t="shared" si="10"/>
        <v>563.33333333333337</v>
      </c>
      <c r="AD14" s="737">
        <f t="shared" si="10"/>
        <v>574.16666666666674</v>
      </c>
      <c r="AE14" s="737">
        <f t="shared" si="10"/>
        <v>585</v>
      </c>
    </row>
    <row r="15" spans="1:31" x14ac:dyDescent="0.35">
      <c r="A15" s="736" t="s">
        <v>853</v>
      </c>
      <c r="B15" s="737">
        <f t="shared" ref="B15:AE15" si="11">$C4+$D4*(B$13-$C$2)</f>
        <v>26.041666666666668</v>
      </c>
      <c r="C15" s="737">
        <f t="shared" si="11"/>
        <v>27.083333333333332</v>
      </c>
      <c r="D15" s="737">
        <f t="shared" si="11"/>
        <v>28.125</v>
      </c>
      <c r="E15" s="737">
        <f t="shared" si="11"/>
        <v>29.166666666666668</v>
      </c>
      <c r="F15" s="737">
        <f t="shared" si="11"/>
        <v>30.208333333333336</v>
      </c>
      <c r="G15" s="737">
        <f t="shared" si="11"/>
        <v>31.25</v>
      </c>
      <c r="H15" s="737">
        <f t="shared" si="11"/>
        <v>32.291666666666664</v>
      </c>
      <c r="I15" s="737">
        <f t="shared" si="11"/>
        <v>33.333333333333336</v>
      </c>
      <c r="J15" s="737">
        <f t="shared" si="11"/>
        <v>34.375</v>
      </c>
      <c r="K15" s="737">
        <f t="shared" si="11"/>
        <v>35.416666666666671</v>
      </c>
      <c r="L15" s="737">
        <f t="shared" si="11"/>
        <v>36.458333333333336</v>
      </c>
      <c r="M15" s="737">
        <f t="shared" si="11"/>
        <v>37.5</v>
      </c>
      <c r="N15" s="737">
        <f t="shared" si="11"/>
        <v>38.541666666666671</v>
      </c>
      <c r="O15" s="737">
        <f t="shared" si="11"/>
        <v>39.583333333333336</v>
      </c>
      <c r="P15" s="737">
        <f t="shared" si="11"/>
        <v>40.625</v>
      </c>
      <c r="Q15" s="737">
        <f t="shared" si="11"/>
        <v>41.666666666666671</v>
      </c>
      <c r="R15" s="737">
        <f t="shared" si="11"/>
        <v>42.708333333333336</v>
      </c>
      <c r="S15" s="737">
        <f t="shared" si="11"/>
        <v>43.75</v>
      </c>
      <c r="T15" s="737">
        <f t="shared" si="11"/>
        <v>44.791666666666671</v>
      </c>
      <c r="U15" s="737">
        <f t="shared" si="11"/>
        <v>45.833333333333336</v>
      </c>
      <c r="V15" s="737">
        <f t="shared" si="11"/>
        <v>46.875</v>
      </c>
      <c r="W15" s="737">
        <f t="shared" si="11"/>
        <v>47.916666666666671</v>
      </c>
      <c r="X15" s="737">
        <f t="shared" si="11"/>
        <v>48.958333333333336</v>
      </c>
      <c r="Y15" s="737">
        <f t="shared" si="11"/>
        <v>50</v>
      </c>
      <c r="Z15" s="737">
        <f t="shared" si="11"/>
        <v>51.041666666666671</v>
      </c>
      <c r="AA15" s="737">
        <f t="shared" si="11"/>
        <v>52.083333333333336</v>
      </c>
      <c r="AB15" s="737">
        <f t="shared" si="11"/>
        <v>53.125</v>
      </c>
      <c r="AC15" s="737">
        <f t="shared" si="11"/>
        <v>54.166666666666671</v>
      </c>
      <c r="AD15" s="737">
        <f t="shared" si="11"/>
        <v>55.208333333333336</v>
      </c>
      <c r="AE15" s="737">
        <f t="shared" si="11"/>
        <v>56.25</v>
      </c>
    </row>
    <row r="16" spans="1:31" x14ac:dyDescent="0.35">
      <c r="A16" s="736" t="s">
        <v>854</v>
      </c>
      <c r="B16" s="737">
        <f t="shared" ref="B16:AE16" si="12">$C5+$D5*(B$13-$C$2)</f>
        <v>18.75</v>
      </c>
      <c r="C16" s="737">
        <f t="shared" si="12"/>
        <v>19.5</v>
      </c>
      <c r="D16" s="737">
        <f t="shared" si="12"/>
        <v>20.25</v>
      </c>
      <c r="E16" s="737">
        <f t="shared" si="12"/>
        <v>21</v>
      </c>
      <c r="F16" s="737">
        <f t="shared" si="12"/>
        <v>21.75</v>
      </c>
      <c r="G16" s="737">
        <f t="shared" si="12"/>
        <v>22.5</v>
      </c>
      <c r="H16" s="737">
        <f t="shared" si="12"/>
        <v>23.25</v>
      </c>
      <c r="I16" s="737">
        <f t="shared" si="12"/>
        <v>24</v>
      </c>
      <c r="J16" s="737">
        <f t="shared" si="12"/>
        <v>24.75</v>
      </c>
      <c r="K16" s="737">
        <f t="shared" si="12"/>
        <v>25.5</v>
      </c>
      <c r="L16" s="737">
        <f t="shared" si="12"/>
        <v>26.25</v>
      </c>
      <c r="M16" s="737">
        <f t="shared" si="12"/>
        <v>27</v>
      </c>
      <c r="N16" s="737">
        <f t="shared" si="12"/>
        <v>27.75</v>
      </c>
      <c r="O16" s="737">
        <f t="shared" si="12"/>
        <v>28.5</v>
      </c>
      <c r="P16" s="737">
        <f t="shared" si="12"/>
        <v>29.25</v>
      </c>
      <c r="Q16" s="737">
        <f t="shared" si="12"/>
        <v>30</v>
      </c>
      <c r="R16" s="737">
        <f t="shared" si="12"/>
        <v>30.75</v>
      </c>
      <c r="S16" s="737">
        <f t="shared" si="12"/>
        <v>31.5</v>
      </c>
      <c r="T16" s="737">
        <f t="shared" si="12"/>
        <v>32.25</v>
      </c>
      <c r="U16" s="737">
        <f t="shared" si="12"/>
        <v>33</v>
      </c>
      <c r="V16" s="737">
        <f t="shared" si="12"/>
        <v>33.75</v>
      </c>
      <c r="W16" s="737">
        <f t="shared" si="12"/>
        <v>34.5</v>
      </c>
      <c r="X16" s="737">
        <f t="shared" si="12"/>
        <v>35.25</v>
      </c>
      <c r="Y16" s="737">
        <f t="shared" si="12"/>
        <v>36</v>
      </c>
      <c r="Z16" s="737">
        <f t="shared" si="12"/>
        <v>36.75</v>
      </c>
      <c r="AA16" s="737">
        <f t="shared" si="12"/>
        <v>37.5</v>
      </c>
      <c r="AB16" s="737">
        <f t="shared" si="12"/>
        <v>38.25</v>
      </c>
      <c r="AC16" s="737">
        <f t="shared" si="12"/>
        <v>39</v>
      </c>
      <c r="AD16" s="737">
        <f t="shared" si="12"/>
        <v>39.75</v>
      </c>
      <c r="AE16" s="737">
        <f t="shared" si="12"/>
        <v>40.5</v>
      </c>
    </row>
    <row r="17" spans="1:31" x14ac:dyDescent="0.35">
      <c r="A17" s="736" t="s">
        <v>855</v>
      </c>
      <c r="B17" s="737">
        <f t="shared" ref="B17:AE17" si="13">$C6+$D6*(B$13-$C$2)</f>
        <v>27.083333333333332</v>
      </c>
      <c r="C17" s="737">
        <f t="shared" si="13"/>
        <v>28.166666666666668</v>
      </c>
      <c r="D17" s="737">
        <f t="shared" si="13"/>
        <v>29.25</v>
      </c>
      <c r="E17" s="737">
        <f t="shared" si="13"/>
        <v>30.333333333333332</v>
      </c>
      <c r="F17" s="737">
        <f t="shared" si="13"/>
        <v>31.416666666666664</v>
      </c>
      <c r="G17" s="737">
        <f t="shared" si="13"/>
        <v>32.5</v>
      </c>
      <c r="H17" s="737">
        <f t="shared" si="13"/>
        <v>33.583333333333336</v>
      </c>
      <c r="I17" s="737">
        <f t="shared" si="13"/>
        <v>34.666666666666664</v>
      </c>
      <c r="J17" s="737">
        <f t="shared" si="13"/>
        <v>35.75</v>
      </c>
      <c r="K17" s="737">
        <f t="shared" si="13"/>
        <v>36.833333333333329</v>
      </c>
      <c r="L17" s="737">
        <f t="shared" si="13"/>
        <v>37.916666666666664</v>
      </c>
      <c r="M17" s="737">
        <f t="shared" si="13"/>
        <v>39</v>
      </c>
      <c r="N17" s="737">
        <f t="shared" si="13"/>
        <v>40.083333333333329</v>
      </c>
      <c r="O17" s="737">
        <f t="shared" si="13"/>
        <v>41.166666666666664</v>
      </c>
      <c r="P17" s="737">
        <f t="shared" si="13"/>
        <v>42.25</v>
      </c>
      <c r="Q17" s="737">
        <f t="shared" si="13"/>
        <v>43.333333333333329</v>
      </c>
      <c r="R17" s="737">
        <f t="shared" si="13"/>
        <v>44.416666666666664</v>
      </c>
      <c r="S17" s="737">
        <f t="shared" si="13"/>
        <v>45.5</v>
      </c>
      <c r="T17" s="737">
        <f t="shared" si="13"/>
        <v>46.583333333333329</v>
      </c>
      <c r="U17" s="737">
        <f t="shared" si="13"/>
        <v>47.666666666666664</v>
      </c>
      <c r="V17" s="737">
        <f t="shared" si="13"/>
        <v>48.75</v>
      </c>
      <c r="W17" s="737">
        <f t="shared" si="13"/>
        <v>49.833333333333329</v>
      </c>
      <c r="X17" s="737">
        <f t="shared" si="13"/>
        <v>50.916666666666664</v>
      </c>
      <c r="Y17" s="737">
        <f t="shared" si="13"/>
        <v>52</v>
      </c>
      <c r="Z17" s="737">
        <f t="shared" si="13"/>
        <v>53.083333333333329</v>
      </c>
      <c r="AA17" s="737">
        <f t="shared" si="13"/>
        <v>54.166666666666664</v>
      </c>
      <c r="AB17" s="737">
        <f t="shared" si="13"/>
        <v>55.25</v>
      </c>
      <c r="AC17" s="737">
        <f t="shared" si="13"/>
        <v>56.333333333333329</v>
      </c>
      <c r="AD17" s="737">
        <f t="shared" si="13"/>
        <v>57.416666666666664</v>
      </c>
      <c r="AE17" s="737">
        <f t="shared" si="13"/>
        <v>58.5</v>
      </c>
    </row>
    <row r="18" spans="1:31" x14ac:dyDescent="0.35">
      <c r="A18" s="736" t="s">
        <v>856</v>
      </c>
      <c r="B18" s="737">
        <f t="shared" ref="B18:AE18" si="14">$C7+$D7*(B$13-$C$2)</f>
        <v>16.666666666666668</v>
      </c>
      <c r="C18" s="737">
        <f t="shared" si="14"/>
        <v>17.333333333333332</v>
      </c>
      <c r="D18" s="737">
        <f t="shared" si="14"/>
        <v>18</v>
      </c>
      <c r="E18" s="737">
        <f t="shared" si="14"/>
        <v>18.666666666666668</v>
      </c>
      <c r="F18" s="737">
        <f t="shared" si="14"/>
        <v>19.333333333333332</v>
      </c>
      <c r="G18" s="737">
        <f t="shared" si="14"/>
        <v>20</v>
      </c>
      <c r="H18" s="737">
        <f t="shared" si="14"/>
        <v>20.666666666666664</v>
      </c>
      <c r="I18" s="737">
        <f t="shared" si="14"/>
        <v>21.333333333333332</v>
      </c>
      <c r="J18" s="737">
        <f t="shared" si="14"/>
        <v>22</v>
      </c>
      <c r="K18" s="737">
        <f t="shared" si="14"/>
        <v>22.666666666666664</v>
      </c>
      <c r="L18" s="737">
        <f t="shared" si="14"/>
        <v>23.333333333333332</v>
      </c>
      <c r="M18" s="737">
        <f t="shared" si="14"/>
        <v>24</v>
      </c>
      <c r="N18" s="737">
        <f t="shared" si="14"/>
        <v>24.666666666666664</v>
      </c>
      <c r="O18" s="737">
        <f t="shared" si="14"/>
        <v>25.333333333333332</v>
      </c>
      <c r="P18" s="737">
        <f t="shared" si="14"/>
        <v>26</v>
      </c>
      <c r="Q18" s="737">
        <f t="shared" si="14"/>
        <v>26.666666666666664</v>
      </c>
      <c r="R18" s="737">
        <f t="shared" si="14"/>
        <v>27.333333333333332</v>
      </c>
      <c r="S18" s="737">
        <f t="shared" si="14"/>
        <v>28</v>
      </c>
      <c r="T18" s="737">
        <f t="shared" si="14"/>
        <v>28.666666666666664</v>
      </c>
      <c r="U18" s="737">
        <f t="shared" si="14"/>
        <v>29.333333333333332</v>
      </c>
      <c r="V18" s="737">
        <f t="shared" si="14"/>
        <v>30</v>
      </c>
      <c r="W18" s="737">
        <f t="shared" si="14"/>
        <v>30.666666666666664</v>
      </c>
      <c r="X18" s="737">
        <f t="shared" si="14"/>
        <v>31.333333333333332</v>
      </c>
      <c r="Y18" s="737">
        <f t="shared" si="14"/>
        <v>32</v>
      </c>
      <c r="Z18" s="737">
        <f t="shared" si="14"/>
        <v>32.666666666666664</v>
      </c>
      <c r="AA18" s="737">
        <f t="shared" si="14"/>
        <v>33.333333333333329</v>
      </c>
      <c r="AB18" s="737">
        <f t="shared" si="14"/>
        <v>34</v>
      </c>
      <c r="AC18" s="737">
        <f t="shared" si="14"/>
        <v>34.666666666666664</v>
      </c>
      <c r="AD18" s="737">
        <f t="shared" si="14"/>
        <v>35.333333333333329</v>
      </c>
      <c r="AE18" s="737">
        <f t="shared" si="14"/>
        <v>36</v>
      </c>
    </row>
    <row r="19" spans="1:31" x14ac:dyDescent="0.35">
      <c r="A19" s="736" t="s">
        <v>857</v>
      </c>
      <c r="B19" s="737">
        <f t="shared" ref="B19:AE19" si="15">$C8+$D8*(B$13-$C$2)</f>
        <v>9.375</v>
      </c>
      <c r="C19" s="737">
        <f t="shared" si="15"/>
        <v>9.75</v>
      </c>
      <c r="D19" s="737">
        <f t="shared" si="15"/>
        <v>10.125</v>
      </c>
      <c r="E19" s="737">
        <f t="shared" si="15"/>
        <v>10.5</v>
      </c>
      <c r="F19" s="737">
        <f t="shared" si="15"/>
        <v>10.875</v>
      </c>
      <c r="G19" s="737">
        <f t="shared" si="15"/>
        <v>11.25</v>
      </c>
      <c r="H19" s="737">
        <f t="shared" si="15"/>
        <v>11.625</v>
      </c>
      <c r="I19" s="737">
        <f t="shared" si="15"/>
        <v>12</v>
      </c>
      <c r="J19" s="737">
        <f t="shared" si="15"/>
        <v>12.375</v>
      </c>
      <c r="K19" s="737">
        <f t="shared" si="15"/>
        <v>12.75</v>
      </c>
      <c r="L19" s="737">
        <f t="shared" si="15"/>
        <v>13.125</v>
      </c>
      <c r="M19" s="737">
        <f t="shared" si="15"/>
        <v>13.5</v>
      </c>
      <c r="N19" s="737">
        <f t="shared" si="15"/>
        <v>13.875</v>
      </c>
      <c r="O19" s="737">
        <f t="shared" si="15"/>
        <v>14.25</v>
      </c>
      <c r="P19" s="737">
        <f t="shared" si="15"/>
        <v>14.625</v>
      </c>
      <c r="Q19" s="737">
        <f t="shared" si="15"/>
        <v>15</v>
      </c>
      <c r="R19" s="737">
        <f t="shared" si="15"/>
        <v>15.375</v>
      </c>
      <c r="S19" s="737">
        <f t="shared" si="15"/>
        <v>15.75</v>
      </c>
      <c r="T19" s="737">
        <f t="shared" si="15"/>
        <v>16.125</v>
      </c>
      <c r="U19" s="737">
        <f t="shared" si="15"/>
        <v>16.5</v>
      </c>
      <c r="V19" s="737">
        <f t="shared" si="15"/>
        <v>16.875</v>
      </c>
      <c r="W19" s="737">
        <f t="shared" si="15"/>
        <v>17.25</v>
      </c>
      <c r="X19" s="737">
        <f t="shared" si="15"/>
        <v>17.625</v>
      </c>
      <c r="Y19" s="737">
        <f t="shared" si="15"/>
        <v>18</v>
      </c>
      <c r="Z19" s="737">
        <f t="shared" si="15"/>
        <v>18.375</v>
      </c>
      <c r="AA19" s="737">
        <f t="shared" si="15"/>
        <v>18.75</v>
      </c>
      <c r="AB19" s="737">
        <f t="shared" si="15"/>
        <v>19.125</v>
      </c>
      <c r="AC19" s="737">
        <f t="shared" si="15"/>
        <v>19.5</v>
      </c>
      <c r="AD19" s="737">
        <f t="shared" si="15"/>
        <v>19.875</v>
      </c>
      <c r="AE19" s="737">
        <f t="shared" si="15"/>
        <v>20.25</v>
      </c>
    </row>
    <row r="20" spans="1:31" x14ac:dyDescent="0.35">
      <c r="A20" s="736" t="s">
        <v>6</v>
      </c>
      <c r="B20" s="737">
        <f t="shared" ref="B20:AE20" si="16">$C9+$D9*(B$13-$C$2)</f>
        <v>43.75</v>
      </c>
      <c r="C20" s="737">
        <f t="shared" si="16"/>
        <v>45.5</v>
      </c>
      <c r="D20" s="737">
        <f t="shared" si="16"/>
        <v>47.25</v>
      </c>
      <c r="E20" s="737">
        <f t="shared" si="16"/>
        <v>49</v>
      </c>
      <c r="F20" s="737">
        <f t="shared" si="16"/>
        <v>50.75</v>
      </c>
      <c r="G20" s="737">
        <f t="shared" si="16"/>
        <v>52.5</v>
      </c>
      <c r="H20" s="737">
        <f t="shared" si="16"/>
        <v>54.25</v>
      </c>
      <c r="I20" s="737">
        <f t="shared" si="16"/>
        <v>56</v>
      </c>
      <c r="J20" s="737">
        <f t="shared" si="16"/>
        <v>57.75</v>
      </c>
      <c r="K20" s="737">
        <f t="shared" si="16"/>
        <v>59.5</v>
      </c>
      <c r="L20" s="737">
        <f t="shared" si="16"/>
        <v>61.25</v>
      </c>
      <c r="M20" s="737">
        <f t="shared" si="16"/>
        <v>63</v>
      </c>
      <c r="N20" s="737">
        <f t="shared" si="16"/>
        <v>64.75</v>
      </c>
      <c r="O20" s="737">
        <f t="shared" si="16"/>
        <v>66.5</v>
      </c>
      <c r="P20" s="737">
        <f t="shared" si="16"/>
        <v>68.25</v>
      </c>
      <c r="Q20" s="737">
        <f t="shared" si="16"/>
        <v>70</v>
      </c>
      <c r="R20" s="737">
        <f t="shared" si="16"/>
        <v>71.75</v>
      </c>
      <c r="S20" s="737">
        <f t="shared" si="16"/>
        <v>73.5</v>
      </c>
      <c r="T20" s="737">
        <f t="shared" si="16"/>
        <v>75.25</v>
      </c>
      <c r="U20" s="737">
        <f t="shared" si="16"/>
        <v>77</v>
      </c>
      <c r="V20" s="737">
        <f t="shared" si="16"/>
        <v>78.75</v>
      </c>
      <c r="W20" s="737">
        <f t="shared" si="16"/>
        <v>80.5</v>
      </c>
      <c r="X20" s="737">
        <f t="shared" si="16"/>
        <v>82.25</v>
      </c>
      <c r="Y20" s="737">
        <f t="shared" si="16"/>
        <v>84</v>
      </c>
      <c r="Z20" s="737">
        <f t="shared" si="16"/>
        <v>85.75</v>
      </c>
      <c r="AA20" s="737">
        <f t="shared" si="16"/>
        <v>87.5</v>
      </c>
      <c r="AB20" s="737">
        <f t="shared" si="16"/>
        <v>89.25</v>
      </c>
      <c r="AC20" s="737">
        <f t="shared" si="16"/>
        <v>91</v>
      </c>
      <c r="AD20" s="737">
        <f t="shared" si="16"/>
        <v>92.75</v>
      </c>
      <c r="AE20" s="737">
        <f t="shared" si="16"/>
        <v>94.5</v>
      </c>
    </row>
    <row r="21" spans="1:31" x14ac:dyDescent="0.35">
      <c r="A21" s="736" t="s">
        <v>0</v>
      </c>
      <c r="B21" s="744">
        <f>SUM(B14:B20)</f>
        <v>412.5</v>
      </c>
      <c r="C21" s="744">
        <f t="shared" ref="C21:AD21" si="17">SUM(C14:C20)</f>
        <v>429</v>
      </c>
      <c r="D21" s="744">
        <f t="shared" si="17"/>
        <v>445.5</v>
      </c>
      <c r="E21" s="744">
        <f t="shared" si="17"/>
        <v>462</v>
      </c>
      <c r="F21" s="744">
        <f t="shared" si="17"/>
        <v>478.5</v>
      </c>
      <c r="G21" s="744">
        <f t="shared" si="17"/>
        <v>495</v>
      </c>
      <c r="H21" s="744">
        <f t="shared" si="17"/>
        <v>511.50000000000006</v>
      </c>
      <c r="I21" s="744">
        <f t="shared" si="17"/>
        <v>528</v>
      </c>
      <c r="J21" s="744">
        <f t="shared" si="17"/>
        <v>544.5</v>
      </c>
      <c r="K21" s="744">
        <f t="shared" si="17"/>
        <v>561</v>
      </c>
      <c r="L21" s="744">
        <f t="shared" si="17"/>
        <v>577.5</v>
      </c>
      <c r="M21" s="744">
        <f t="shared" si="17"/>
        <v>594</v>
      </c>
      <c r="N21" s="744">
        <f t="shared" si="17"/>
        <v>610.5</v>
      </c>
      <c r="O21" s="744">
        <f t="shared" si="17"/>
        <v>627</v>
      </c>
      <c r="P21" s="744">
        <f t="shared" si="17"/>
        <v>643.5</v>
      </c>
      <c r="Q21" s="744">
        <f t="shared" si="17"/>
        <v>660</v>
      </c>
      <c r="R21" s="744">
        <f t="shared" si="17"/>
        <v>676.5</v>
      </c>
      <c r="S21" s="744">
        <f t="shared" si="17"/>
        <v>693</v>
      </c>
      <c r="T21" s="744">
        <f t="shared" si="17"/>
        <v>709.5</v>
      </c>
      <c r="U21" s="744">
        <f t="shared" si="17"/>
        <v>726</v>
      </c>
      <c r="V21" s="744">
        <f t="shared" si="17"/>
        <v>742.5</v>
      </c>
      <c r="W21" s="744">
        <f t="shared" si="17"/>
        <v>759</v>
      </c>
      <c r="X21" s="744">
        <f t="shared" si="17"/>
        <v>775.5</v>
      </c>
      <c r="Y21" s="744">
        <f t="shared" si="17"/>
        <v>792</v>
      </c>
      <c r="Z21" s="744">
        <f t="shared" si="17"/>
        <v>808.5</v>
      </c>
      <c r="AA21" s="744">
        <f t="shared" si="17"/>
        <v>825.00000000000011</v>
      </c>
      <c r="AB21" s="744">
        <f t="shared" si="17"/>
        <v>841.5</v>
      </c>
      <c r="AC21" s="744">
        <f t="shared" si="17"/>
        <v>858</v>
      </c>
      <c r="AD21" s="744">
        <f t="shared" si="17"/>
        <v>874.50000000000011</v>
      </c>
      <c r="AE21" s="744">
        <f>SUM(AE14:AE20)</f>
        <v>891</v>
      </c>
    </row>
    <row r="23" spans="1:31" s="198" customFormat="1" x14ac:dyDescent="0.35">
      <c r="A23" s="1334" t="s">
        <v>850</v>
      </c>
      <c r="B23" s="1334">
        <v>2025</v>
      </c>
      <c r="C23" s="1334">
        <v>2026</v>
      </c>
      <c r="D23" s="1334">
        <v>2027</v>
      </c>
      <c r="E23" s="1334">
        <v>2028</v>
      </c>
      <c r="F23" s="1334">
        <v>2029</v>
      </c>
      <c r="G23" s="1334">
        <v>2030</v>
      </c>
      <c r="H23" s="1334">
        <v>2031</v>
      </c>
      <c r="I23" s="1334">
        <v>2032</v>
      </c>
      <c r="J23" s="1334">
        <v>2033</v>
      </c>
      <c r="K23" s="1334">
        <v>2034</v>
      </c>
      <c r="L23" s="1334">
        <v>2035</v>
      </c>
      <c r="M23" s="1334">
        <v>2036</v>
      </c>
      <c r="N23" s="1334">
        <v>2037</v>
      </c>
      <c r="O23" s="1334">
        <v>2038</v>
      </c>
      <c r="P23" s="1334">
        <v>2039</v>
      </c>
      <c r="Q23" s="1334">
        <v>2040</v>
      </c>
      <c r="R23" s="1334">
        <v>2041</v>
      </c>
      <c r="S23" s="1334">
        <v>2042</v>
      </c>
      <c r="T23" s="1334">
        <v>2043</v>
      </c>
      <c r="U23" s="1334">
        <v>2044</v>
      </c>
      <c r="V23" s="1334">
        <v>2045</v>
      </c>
      <c r="W23" s="1334">
        <v>2046</v>
      </c>
      <c r="X23" s="1334">
        <v>2047</v>
      </c>
      <c r="Y23" s="1334">
        <v>2048</v>
      </c>
      <c r="Z23" s="1334">
        <v>2049</v>
      </c>
      <c r="AA23" s="1334">
        <v>2050</v>
      </c>
      <c r="AB23" s="1334">
        <v>2051</v>
      </c>
      <c r="AC23" s="1334">
        <v>2052</v>
      </c>
      <c r="AD23" s="1334">
        <v>2053</v>
      </c>
      <c r="AE23" s="1334">
        <v>2054</v>
      </c>
    </row>
    <row r="24" spans="1:31" x14ac:dyDescent="0.35">
      <c r="A24" s="736" t="s">
        <v>852</v>
      </c>
      <c r="B24" s="737">
        <f t="shared" ref="B24:AE24" si="18">$H3+$I3*(B$23-$H$2)</f>
        <v>582.125</v>
      </c>
      <c r="C24" s="737">
        <f t="shared" si="18"/>
        <v>587.25</v>
      </c>
      <c r="D24" s="737">
        <f t="shared" si="18"/>
        <v>592.375</v>
      </c>
      <c r="E24" s="737">
        <f t="shared" si="18"/>
        <v>597.5</v>
      </c>
      <c r="F24" s="737">
        <f t="shared" si="18"/>
        <v>602.625</v>
      </c>
      <c r="G24" s="737">
        <f t="shared" si="18"/>
        <v>607.75</v>
      </c>
      <c r="H24" s="737">
        <f t="shared" si="18"/>
        <v>612.875</v>
      </c>
      <c r="I24" s="737">
        <f t="shared" si="18"/>
        <v>618</v>
      </c>
      <c r="J24" s="737">
        <f t="shared" si="18"/>
        <v>623.125</v>
      </c>
      <c r="K24" s="737">
        <f t="shared" si="18"/>
        <v>628.25</v>
      </c>
      <c r="L24" s="737">
        <f t="shared" si="18"/>
        <v>633.375</v>
      </c>
      <c r="M24" s="737">
        <f t="shared" si="18"/>
        <v>638.5</v>
      </c>
      <c r="N24" s="737">
        <f t="shared" si="18"/>
        <v>643.625</v>
      </c>
      <c r="O24" s="737">
        <f t="shared" si="18"/>
        <v>648.75</v>
      </c>
      <c r="P24" s="737">
        <f t="shared" si="18"/>
        <v>653.875</v>
      </c>
      <c r="Q24" s="737">
        <f t="shared" si="18"/>
        <v>659</v>
      </c>
      <c r="R24" s="737">
        <f t="shared" si="18"/>
        <v>664.125</v>
      </c>
      <c r="S24" s="737">
        <f t="shared" si="18"/>
        <v>669.25</v>
      </c>
      <c r="T24" s="737">
        <f t="shared" si="18"/>
        <v>674.375</v>
      </c>
      <c r="U24" s="737">
        <f t="shared" si="18"/>
        <v>679.5</v>
      </c>
      <c r="V24" s="737">
        <f t="shared" si="18"/>
        <v>684.625</v>
      </c>
      <c r="W24" s="737">
        <f t="shared" si="18"/>
        <v>689.75</v>
      </c>
      <c r="X24" s="737">
        <f t="shared" si="18"/>
        <v>694.875</v>
      </c>
      <c r="Y24" s="737">
        <f t="shared" si="18"/>
        <v>700</v>
      </c>
      <c r="Z24" s="737">
        <f t="shared" si="18"/>
        <v>705.125</v>
      </c>
      <c r="AA24" s="737">
        <f t="shared" si="18"/>
        <v>710.25</v>
      </c>
      <c r="AB24" s="737">
        <f t="shared" si="18"/>
        <v>715.375</v>
      </c>
      <c r="AC24" s="737">
        <f t="shared" si="18"/>
        <v>720.5</v>
      </c>
      <c r="AD24" s="737">
        <f t="shared" si="18"/>
        <v>725.625</v>
      </c>
      <c r="AE24" s="737">
        <f t="shared" si="18"/>
        <v>730.75</v>
      </c>
    </row>
    <row r="25" spans="1:31" x14ac:dyDescent="0.35">
      <c r="A25" s="736" t="s">
        <v>853</v>
      </c>
      <c r="B25" s="737">
        <f t="shared" ref="B25:AE25" si="19">$H4+$I4*(B$23-$H$2)</f>
        <v>26.625</v>
      </c>
      <c r="C25" s="737">
        <f t="shared" si="19"/>
        <v>27.25</v>
      </c>
      <c r="D25" s="737">
        <f t="shared" si="19"/>
        <v>27.875</v>
      </c>
      <c r="E25" s="737">
        <f t="shared" si="19"/>
        <v>28.5</v>
      </c>
      <c r="F25" s="737">
        <f t="shared" si="19"/>
        <v>29.125</v>
      </c>
      <c r="G25" s="737">
        <f t="shared" si="19"/>
        <v>29.75</v>
      </c>
      <c r="H25" s="737">
        <f t="shared" si="19"/>
        <v>30.375</v>
      </c>
      <c r="I25" s="737">
        <f t="shared" si="19"/>
        <v>31</v>
      </c>
      <c r="J25" s="737">
        <f t="shared" si="19"/>
        <v>31.625</v>
      </c>
      <c r="K25" s="737">
        <f t="shared" si="19"/>
        <v>32.25</v>
      </c>
      <c r="L25" s="737">
        <f t="shared" si="19"/>
        <v>32.875</v>
      </c>
      <c r="M25" s="737">
        <f t="shared" si="19"/>
        <v>33.5</v>
      </c>
      <c r="N25" s="737">
        <f t="shared" si="19"/>
        <v>34.125</v>
      </c>
      <c r="O25" s="737">
        <f t="shared" si="19"/>
        <v>34.75</v>
      </c>
      <c r="P25" s="737">
        <f t="shared" si="19"/>
        <v>35.375</v>
      </c>
      <c r="Q25" s="737">
        <f t="shared" si="19"/>
        <v>36</v>
      </c>
      <c r="R25" s="737">
        <f t="shared" si="19"/>
        <v>36.625</v>
      </c>
      <c r="S25" s="737">
        <f t="shared" si="19"/>
        <v>37.25</v>
      </c>
      <c r="T25" s="737">
        <f t="shared" si="19"/>
        <v>37.875</v>
      </c>
      <c r="U25" s="737">
        <f t="shared" si="19"/>
        <v>38.5</v>
      </c>
      <c r="V25" s="737">
        <f t="shared" si="19"/>
        <v>39.125</v>
      </c>
      <c r="W25" s="737">
        <f t="shared" si="19"/>
        <v>39.75</v>
      </c>
      <c r="X25" s="737">
        <f t="shared" si="19"/>
        <v>40.375</v>
      </c>
      <c r="Y25" s="737">
        <f t="shared" si="19"/>
        <v>41</v>
      </c>
      <c r="Z25" s="737">
        <f t="shared" si="19"/>
        <v>41.625</v>
      </c>
      <c r="AA25" s="737">
        <f t="shared" si="19"/>
        <v>42.25</v>
      </c>
      <c r="AB25" s="737">
        <f t="shared" si="19"/>
        <v>42.875</v>
      </c>
      <c r="AC25" s="737">
        <f t="shared" si="19"/>
        <v>43.5</v>
      </c>
      <c r="AD25" s="737">
        <f t="shared" si="19"/>
        <v>44.125</v>
      </c>
      <c r="AE25" s="737">
        <f t="shared" si="19"/>
        <v>44.75</v>
      </c>
    </row>
    <row r="26" spans="1:31" x14ac:dyDescent="0.35">
      <c r="A26" s="736" t="s">
        <v>854</v>
      </c>
      <c r="B26" s="737">
        <f t="shared" ref="B26:AE26" si="20">$H5+$I5*(B$23-$H$2)</f>
        <v>10.958333333333334</v>
      </c>
      <c r="C26" s="737">
        <f t="shared" si="20"/>
        <v>10.916666666666666</v>
      </c>
      <c r="D26" s="737">
        <f t="shared" si="20"/>
        <v>10.875</v>
      </c>
      <c r="E26" s="737">
        <f t="shared" si="20"/>
        <v>10.833333333333334</v>
      </c>
      <c r="F26" s="737">
        <f t="shared" si="20"/>
        <v>10.791666666666666</v>
      </c>
      <c r="G26" s="737">
        <f t="shared" si="20"/>
        <v>10.75</v>
      </c>
      <c r="H26" s="737">
        <f t="shared" si="20"/>
        <v>10.708333333333334</v>
      </c>
      <c r="I26" s="737">
        <f t="shared" si="20"/>
        <v>10.666666666666666</v>
      </c>
      <c r="J26" s="737">
        <f t="shared" si="20"/>
        <v>10.625</v>
      </c>
      <c r="K26" s="737">
        <f t="shared" si="20"/>
        <v>10.583333333333334</v>
      </c>
      <c r="L26" s="737">
        <f t="shared" si="20"/>
        <v>10.541666666666666</v>
      </c>
      <c r="M26" s="737">
        <f t="shared" si="20"/>
        <v>10.5</v>
      </c>
      <c r="N26" s="737">
        <f t="shared" si="20"/>
        <v>10.458333333333334</v>
      </c>
      <c r="O26" s="737">
        <f t="shared" si="20"/>
        <v>10.416666666666666</v>
      </c>
      <c r="P26" s="737">
        <f t="shared" si="20"/>
        <v>10.375</v>
      </c>
      <c r="Q26" s="737">
        <f t="shared" si="20"/>
        <v>10.333333333333334</v>
      </c>
      <c r="R26" s="737">
        <f t="shared" si="20"/>
        <v>10.291666666666666</v>
      </c>
      <c r="S26" s="737">
        <f t="shared" si="20"/>
        <v>10.25</v>
      </c>
      <c r="T26" s="737">
        <f t="shared" si="20"/>
        <v>10.208333333333334</v>
      </c>
      <c r="U26" s="737">
        <f t="shared" si="20"/>
        <v>10.166666666666666</v>
      </c>
      <c r="V26" s="737">
        <f t="shared" si="20"/>
        <v>10.125</v>
      </c>
      <c r="W26" s="737">
        <f t="shared" si="20"/>
        <v>10.083333333333334</v>
      </c>
      <c r="X26" s="737">
        <f t="shared" si="20"/>
        <v>10.041666666666666</v>
      </c>
      <c r="Y26" s="737">
        <f t="shared" si="20"/>
        <v>10</v>
      </c>
      <c r="Z26" s="737">
        <f t="shared" si="20"/>
        <v>9.9583333333333339</v>
      </c>
      <c r="AA26" s="737">
        <f t="shared" si="20"/>
        <v>9.9166666666666661</v>
      </c>
      <c r="AB26" s="737">
        <f t="shared" si="20"/>
        <v>9.875</v>
      </c>
      <c r="AC26" s="737">
        <f t="shared" si="20"/>
        <v>9.8333333333333339</v>
      </c>
      <c r="AD26" s="737">
        <f t="shared" si="20"/>
        <v>9.7916666666666661</v>
      </c>
      <c r="AE26" s="737">
        <f t="shared" si="20"/>
        <v>9.75</v>
      </c>
    </row>
    <row r="27" spans="1:31" x14ac:dyDescent="0.35">
      <c r="A27" s="736" t="s">
        <v>855</v>
      </c>
      <c r="B27" s="737">
        <f t="shared" ref="B27:AE27" si="21">$H6+$I6*(B$23-$H$2)</f>
        <v>32.916666666666664</v>
      </c>
      <c r="C27" s="737">
        <f t="shared" si="21"/>
        <v>33.833333333333336</v>
      </c>
      <c r="D27" s="737">
        <f t="shared" si="21"/>
        <v>34.75</v>
      </c>
      <c r="E27" s="737">
        <f t="shared" si="21"/>
        <v>35.666666666666664</v>
      </c>
      <c r="F27" s="737">
        <f t="shared" si="21"/>
        <v>36.583333333333336</v>
      </c>
      <c r="G27" s="737">
        <f t="shared" si="21"/>
        <v>37.5</v>
      </c>
      <c r="H27" s="737">
        <f t="shared" si="21"/>
        <v>38.416666666666664</v>
      </c>
      <c r="I27" s="737">
        <f t="shared" si="21"/>
        <v>39.333333333333336</v>
      </c>
      <c r="J27" s="737">
        <f t="shared" si="21"/>
        <v>40.25</v>
      </c>
      <c r="K27" s="737">
        <f t="shared" si="21"/>
        <v>41.166666666666664</v>
      </c>
      <c r="L27" s="737">
        <f t="shared" si="21"/>
        <v>42.083333333333329</v>
      </c>
      <c r="M27" s="737">
        <f t="shared" si="21"/>
        <v>43</v>
      </c>
      <c r="N27" s="737">
        <f t="shared" si="21"/>
        <v>43.916666666666664</v>
      </c>
      <c r="O27" s="737">
        <f t="shared" si="21"/>
        <v>44.833333333333329</v>
      </c>
      <c r="P27" s="737">
        <f t="shared" si="21"/>
        <v>45.75</v>
      </c>
      <c r="Q27" s="737">
        <f t="shared" si="21"/>
        <v>46.666666666666664</v>
      </c>
      <c r="R27" s="737">
        <f t="shared" si="21"/>
        <v>47.583333333333329</v>
      </c>
      <c r="S27" s="737">
        <f t="shared" si="21"/>
        <v>48.5</v>
      </c>
      <c r="T27" s="737">
        <f t="shared" si="21"/>
        <v>49.416666666666664</v>
      </c>
      <c r="U27" s="737">
        <f t="shared" si="21"/>
        <v>50.333333333333329</v>
      </c>
      <c r="V27" s="737">
        <f t="shared" si="21"/>
        <v>51.25</v>
      </c>
      <c r="W27" s="737">
        <f t="shared" si="21"/>
        <v>52.166666666666664</v>
      </c>
      <c r="X27" s="737">
        <f t="shared" si="21"/>
        <v>53.083333333333329</v>
      </c>
      <c r="Y27" s="737">
        <f t="shared" si="21"/>
        <v>54</v>
      </c>
      <c r="Z27" s="737">
        <f t="shared" si="21"/>
        <v>54.916666666666664</v>
      </c>
      <c r="AA27" s="737">
        <f t="shared" si="21"/>
        <v>55.833333333333329</v>
      </c>
      <c r="AB27" s="737">
        <f t="shared" si="21"/>
        <v>56.75</v>
      </c>
      <c r="AC27" s="737">
        <f t="shared" si="21"/>
        <v>57.666666666666664</v>
      </c>
      <c r="AD27" s="737">
        <f t="shared" si="21"/>
        <v>58.583333333333329</v>
      </c>
      <c r="AE27" s="737">
        <f t="shared" si="21"/>
        <v>59.5</v>
      </c>
    </row>
    <row r="28" spans="1:31" x14ac:dyDescent="0.35">
      <c r="A28" s="736" t="s">
        <v>856</v>
      </c>
      <c r="B28" s="737">
        <f t="shared" ref="B28:AE28" si="22">$H7+$I7*(B$23-$H$2)</f>
        <v>72.791666666666671</v>
      </c>
      <c r="C28" s="737">
        <f t="shared" si="22"/>
        <v>74.583333333333329</v>
      </c>
      <c r="D28" s="737">
        <f t="shared" si="22"/>
        <v>76.375</v>
      </c>
      <c r="E28" s="737">
        <f t="shared" si="22"/>
        <v>78.166666666666671</v>
      </c>
      <c r="F28" s="737">
        <f t="shared" si="22"/>
        <v>79.958333333333329</v>
      </c>
      <c r="G28" s="737">
        <f t="shared" si="22"/>
        <v>81.75</v>
      </c>
      <c r="H28" s="737">
        <f t="shared" si="22"/>
        <v>83.541666666666671</v>
      </c>
      <c r="I28" s="737">
        <f t="shared" si="22"/>
        <v>85.333333333333329</v>
      </c>
      <c r="J28" s="737">
        <f t="shared" si="22"/>
        <v>87.125</v>
      </c>
      <c r="K28" s="737">
        <f t="shared" si="22"/>
        <v>88.916666666666671</v>
      </c>
      <c r="L28" s="737">
        <f t="shared" si="22"/>
        <v>90.708333333333343</v>
      </c>
      <c r="M28" s="737">
        <f t="shared" si="22"/>
        <v>92.5</v>
      </c>
      <c r="N28" s="737">
        <f t="shared" si="22"/>
        <v>94.291666666666671</v>
      </c>
      <c r="O28" s="737">
        <f t="shared" si="22"/>
        <v>96.083333333333343</v>
      </c>
      <c r="P28" s="737">
        <f t="shared" si="22"/>
        <v>97.875</v>
      </c>
      <c r="Q28" s="737">
        <f t="shared" si="22"/>
        <v>99.666666666666671</v>
      </c>
      <c r="R28" s="737">
        <f t="shared" si="22"/>
        <v>101.45833333333334</v>
      </c>
      <c r="S28" s="737">
        <f t="shared" si="22"/>
        <v>103.25</v>
      </c>
      <c r="T28" s="737">
        <f t="shared" si="22"/>
        <v>105.04166666666667</v>
      </c>
      <c r="U28" s="737">
        <f t="shared" si="22"/>
        <v>106.83333333333334</v>
      </c>
      <c r="V28" s="737">
        <f t="shared" si="22"/>
        <v>108.625</v>
      </c>
      <c r="W28" s="737">
        <f t="shared" si="22"/>
        <v>110.41666666666667</v>
      </c>
      <c r="X28" s="737">
        <f t="shared" si="22"/>
        <v>112.20833333333334</v>
      </c>
      <c r="Y28" s="737">
        <f t="shared" si="22"/>
        <v>114</v>
      </c>
      <c r="Z28" s="737">
        <f t="shared" si="22"/>
        <v>115.79166666666667</v>
      </c>
      <c r="AA28" s="737">
        <f t="shared" si="22"/>
        <v>117.58333333333334</v>
      </c>
      <c r="AB28" s="737">
        <f t="shared" si="22"/>
        <v>119.375</v>
      </c>
      <c r="AC28" s="737">
        <f t="shared" si="22"/>
        <v>121.16666666666667</v>
      </c>
      <c r="AD28" s="737">
        <f t="shared" si="22"/>
        <v>122.95833333333334</v>
      </c>
      <c r="AE28" s="737">
        <f t="shared" si="22"/>
        <v>124.75</v>
      </c>
    </row>
    <row r="29" spans="1:31" x14ac:dyDescent="0.35">
      <c r="A29" s="736" t="s">
        <v>857</v>
      </c>
      <c r="B29" s="737">
        <f t="shared" ref="B29:AE29" si="23">$H8+$I8*(B$23-$H$2)</f>
        <v>47.125</v>
      </c>
      <c r="C29" s="737">
        <f t="shared" si="23"/>
        <v>48.25</v>
      </c>
      <c r="D29" s="737">
        <f t="shared" si="23"/>
        <v>49.375</v>
      </c>
      <c r="E29" s="737">
        <f t="shared" si="23"/>
        <v>50.5</v>
      </c>
      <c r="F29" s="737">
        <f t="shared" si="23"/>
        <v>51.625</v>
      </c>
      <c r="G29" s="737">
        <f t="shared" si="23"/>
        <v>52.75</v>
      </c>
      <c r="H29" s="737">
        <f t="shared" si="23"/>
        <v>53.875</v>
      </c>
      <c r="I29" s="737">
        <f t="shared" si="23"/>
        <v>55</v>
      </c>
      <c r="J29" s="737">
        <f t="shared" si="23"/>
        <v>56.125</v>
      </c>
      <c r="K29" s="737">
        <f t="shared" si="23"/>
        <v>57.25</v>
      </c>
      <c r="L29" s="737">
        <f t="shared" si="23"/>
        <v>58.375</v>
      </c>
      <c r="M29" s="737">
        <f t="shared" si="23"/>
        <v>59.5</v>
      </c>
      <c r="N29" s="737">
        <f t="shared" si="23"/>
        <v>60.625</v>
      </c>
      <c r="O29" s="737">
        <f t="shared" si="23"/>
        <v>61.75</v>
      </c>
      <c r="P29" s="737">
        <f t="shared" si="23"/>
        <v>62.875</v>
      </c>
      <c r="Q29" s="737">
        <f t="shared" si="23"/>
        <v>64</v>
      </c>
      <c r="R29" s="737">
        <f t="shared" si="23"/>
        <v>65.125</v>
      </c>
      <c r="S29" s="737">
        <f t="shared" si="23"/>
        <v>66.25</v>
      </c>
      <c r="T29" s="737">
        <f t="shared" si="23"/>
        <v>67.375</v>
      </c>
      <c r="U29" s="737">
        <f t="shared" si="23"/>
        <v>68.5</v>
      </c>
      <c r="V29" s="737">
        <f t="shared" si="23"/>
        <v>69.625</v>
      </c>
      <c r="W29" s="737">
        <f t="shared" si="23"/>
        <v>70.75</v>
      </c>
      <c r="X29" s="737">
        <f t="shared" si="23"/>
        <v>71.875</v>
      </c>
      <c r="Y29" s="737">
        <f t="shared" si="23"/>
        <v>73</v>
      </c>
      <c r="Z29" s="737">
        <f t="shared" si="23"/>
        <v>74.125</v>
      </c>
      <c r="AA29" s="737">
        <f t="shared" si="23"/>
        <v>75.25</v>
      </c>
      <c r="AB29" s="737">
        <f t="shared" si="23"/>
        <v>76.375</v>
      </c>
      <c r="AC29" s="737">
        <f t="shared" si="23"/>
        <v>77.5</v>
      </c>
      <c r="AD29" s="737">
        <f t="shared" si="23"/>
        <v>78.625</v>
      </c>
      <c r="AE29" s="737">
        <f t="shared" si="23"/>
        <v>79.75</v>
      </c>
    </row>
    <row r="30" spans="1:31" x14ac:dyDescent="0.35">
      <c r="A30" s="736" t="s">
        <v>6</v>
      </c>
      <c r="B30" s="737">
        <f t="shared" ref="B30:AE30" si="24">$H9+$I9*(B$23-$H$2)</f>
        <v>43.75</v>
      </c>
      <c r="C30" s="737">
        <f t="shared" si="24"/>
        <v>45.5</v>
      </c>
      <c r="D30" s="737">
        <f t="shared" si="24"/>
        <v>47.25</v>
      </c>
      <c r="E30" s="737">
        <f t="shared" si="24"/>
        <v>49</v>
      </c>
      <c r="F30" s="737">
        <f t="shared" si="24"/>
        <v>50.75</v>
      </c>
      <c r="G30" s="737">
        <f t="shared" si="24"/>
        <v>52.5</v>
      </c>
      <c r="H30" s="737">
        <f t="shared" si="24"/>
        <v>54.25</v>
      </c>
      <c r="I30" s="737">
        <f t="shared" si="24"/>
        <v>56</v>
      </c>
      <c r="J30" s="737">
        <f t="shared" si="24"/>
        <v>57.75</v>
      </c>
      <c r="K30" s="737">
        <f t="shared" si="24"/>
        <v>59.5</v>
      </c>
      <c r="L30" s="737">
        <f t="shared" si="24"/>
        <v>61.25</v>
      </c>
      <c r="M30" s="737">
        <f t="shared" si="24"/>
        <v>63</v>
      </c>
      <c r="N30" s="737">
        <f t="shared" si="24"/>
        <v>64.75</v>
      </c>
      <c r="O30" s="737">
        <f t="shared" si="24"/>
        <v>66.5</v>
      </c>
      <c r="P30" s="737">
        <f t="shared" si="24"/>
        <v>68.25</v>
      </c>
      <c r="Q30" s="737">
        <f t="shared" si="24"/>
        <v>70</v>
      </c>
      <c r="R30" s="737">
        <f t="shared" si="24"/>
        <v>71.75</v>
      </c>
      <c r="S30" s="737">
        <f t="shared" si="24"/>
        <v>73.5</v>
      </c>
      <c r="T30" s="737">
        <f t="shared" si="24"/>
        <v>75.25</v>
      </c>
      <c r="U30" s="737">
        <f t="shared" si="24"/>
        <v>77</v>
      </c>
      <c r="V30" s="737">
        <f t="shared" si="24"/>
        <v>78.75</v>
      </c>
      <c r="W30" s="737">
        <f t="shared" si="24"/>
        <v>80.5</v>
      </c>
      <c r="X30" s="737">
        <f t="shared" si="24"/>
        <v>82.25</v>
      </c>
      <c r="Y30" s="737">
        <f t="shared" si="24"/>
        <v>84</v>
      </c>
      <c r="Z30" s="737">
        <f t="shared" si="24"/>
        <v>85.75</v>
      </c>
      <c r="AA30" s="737">
        <f t="shared" si="24"/>
        <v>87.5</v>
      </c>
      <c r="AB30" s="737">
        <f t="shared" si="24"/>
        <v>89.25</v>
      </c>
      <c r="AC30" s="737">
        <f t="shared" si="24"/>
        <v>91</v>
      </c>
      <c r="AD30" s="737">
        <f t="shared" si="24"/>
        <v>92.75</v>
      </c>
      <c r="AE30" s="737">
        <f t="shared" si="24"/>
        <v>94.5</v>
      </c>
    </row>
    <row r="31" spans="1:31" x14ac:dyDescent="0.35">
      <c r="A31" s="736" t="s">
        <v>0</v>
      </c>
      <c r="B31" s="744">
        <f>SUM(B24:B30)</f>
        <v>816.29166666666663</v>
      </c>
      <c r="C31" s="744">
        <f t="shared" ref="C31:AE31" si="25">SUM(C24:C30)</f>
        <v>827.58333333333337</v>
      </c>
      <c r="D31" s="744">
        <f t="shared" si="25"/>
        <v>838.875</v>
      </c>
      <c r="E31" s="744">
        <f t="shared" si="25"/>
        <v>850.16666666666663</v>
      </c>
      <c r="F31" s="744">
        <f t="shared" si="25"/>
        <v>861.45833333333337</v>
      </c>
      <c r="G31" s="744">
        <f t="shared" si="25"/>
        <v>872.75</v>
      </c>
      <c r="H31" s="744">
        <f t="shared" si="25"/>
        <v>884.04166666666663</v>
      </c>
      <c r="I31" s="744">
        <f t="shared" si="25"/>
        <v>895.33333333333337</v>
      </c>
      <c r="J31" s="744">
        <f t="shared" si="25"/>
        <v>906.625</v>
      </c>
      <c r="K31" s="744">
        <f t="shared" si="25"/>
        <v>917.91666666666663</v>
      </c>
      <c r="L31" s="744">
        <f t="shared" si="25"/>
        <v>929.20833333333337</v>
      </c>
      <c r="M31" s="744">
        <f t="shared" si="25"/>
        <v>940.5</v>
      </c>
      <c r="N31" s="744">
        <f t="shared" si="25"/>
        <v>951.79166666666663</v>
      </c>
      <c r="O31" s="744">
        <f t="shared" si="25"/>
        <v>963.08333333333337</v>
      </c>
      <c r="P31" s="744">
        <f t="shared" si="25"/>
        <v>974.375</v>
      </c>
      <c r="Q31" s="744">
        <f t="shared" si="25"/>
        <v>985.66666666666663</v>
      </c>
      <c r="R31" s="744">
        <f t="shared" si="25"/>
        <v>996.95833333333337</v>
      </c>
      <c r="S31" s="744">
        <f t="shared" si="25"/>
        <v>1008.25</v>
      </c>
      <c r="T31" s="744">
        <f t="shared" si="25"/>
        <v>1019.5416666666666</v>
      </c>
      <c r="U31" s="744">
        <f t="shared" si="25"/>
        <v>1030.8333333333335</v>
      </c>
      <c r="V31" s="744">
        <f t="shared" si="25"/>
        <v>1042.125</v>
      </c>
      <c r="W31" s="744">
        <f t="shared" si="25"/>
        <v>1053.4166666666665</v>
      </c>
      <c r="X31" s="744">
        <f t="shared" si="25"/>
        <v>1064.7083333333335</v>
      </c>
      <c r="Y31" s="744">
        <f t="shared" si="25"/>
        <v>1076</v>
      </c>
      <c r="Z31" s="744">
        <f t="shared" si="25"/>
        <v>1087.2916666666665</v>
      </c>
      <c r="AA31" s="744">
        <f t="shared" si="25"/>
        <v>1098.5833333333335</v>
      </c>
      <c r="AB31" s="744">
        <f t="shared" si="25"/>
        <v>1109.875</v>
      </c>
      <c r="AC31" s="744">
        <f t="shared" si="25"/>
        <v>1121.1666666666665</v>
      </c>
      <c r="AD31" s="744">
        <f t="shared" si="25"/>
        <v>1132.4583333333335</v>
      </c>
      <c r="AE31" s="744">
        <f t="shared" si="25"/>
        <v>1143.75</v>
      </c>
    </row>
    <row r="33" spans="1:31" s="198" customFormat="1" x14ac:dyDescent="0.35">
      <c r="A33" s="1334" t="s">
        <v>851</v>
      </c>
      <c r="B33" s="1334">
        <v>2025</v>
      </c>
      <c r="C33" s="1334">
        <v>2026</v>
      </c>
      <c r="D33" s="1334">
        <v>2027</v>
      </c>
      <c r="E33" s="1334">
        <v>2028</v>
      </c>
      <c r="F33" s="1334">
        <v>2029</v>
      </c>
      <c r="G33" s="1334">
        <v>2030</v>
      </c>
      <c r="H33" s="1334">
        <v>2031</v>
      </c>
      <c r="I33" s="1334">
        <v>2032</v>
      </c>
      <c r="J33" s="1334">
        <v>2033</v>
      </c>
      <c r="K33" s="1334">
        <v>2034</v>
      </c>
      <c r="L33" s="1334">
        <v>2035</v>
      </c>
      <c r="M33" s="1334">
        <v>2036</v>
      </c>
      <c r="N33" s="1334">
        <v>2037</v>
      </c>
      <c r="O33" s="1334">
        <v>2038</v>
      </c>
      <c r="P33" s="1334">
        <v>2039</v>
      </c>
      <c r="Q33" s="1334">
        <v>2040</v>
      </c>
      <c r="R33" s="1334">
        <v>2041</v>
      </c>
      <c r="S33" s="1334">
        <v>2042</v>
      </c>
      <c r="T33" s="1334">
        <v>2043</v>
      </c>
      <c r="U33" s="1334">
        <v>2044</v>
      </c>
      <c r="V33" s="1334">
        <v>2045</v>
      </c>
      <c r="W33" s="1334">
        <v>2046</v>
      </c>
      <c r="X33" s="1334">
        <v>2047</v>
      </c>
      <c r="Y33" s="1334">
        <v>2048</v>
      </c>
      <c r="Z33" s="1334">
        <v>2049</v>
      </c>
      <c r="AA33" s="1334">
        <v>2050</v>
      </c>
      <c r="AB33" s="1334">
        <v>2051</v>
      </c>
      <c r="AC33" s="1334">
        <v>2052</v>
      </c>
      <c r="AD33" s="1334">
        <v>2053</v>
      </c>
      <c r="AE33" s="1334">
        <v>2054</v>
      </c>
    </row>
    <row r="34" spans="1:31" x14ac:dyDescent="0.35">
      <c r="A34" s="736" t="s">
        <v>852</v>
      </c>
      <c r="B34" s="737">
        <f t="shared" ref="B34:AE34" si="26">$M3+$N3*(B$33-$M$2)</f>
        <v>580.5</v>
      </c>
      <c r="C34" s="737">
        <f t="shared" si="26"/>
        <v>582</v>
      </c>
      <c r="D34" s="737">
        <f t="shared" si="26"/>
        <v>583.5</v>
      </c>
      <c r="E34" s="737">
        <f t="shared" si="26"/>
        <v>585</v>
      </c>
      <c r="F34" s="737">
        <f t="shared" si="26"/>
        <v>586.5</v>
      </c>
      <c r="G34" s="737">
        <f t="shared" si="26"/>
        <v>588</v>
      </c>
      <c r="H34" s="737">
        <f t="shared" si="26"/>
        <v>589.5</v>
      </c>
      <c r="I34" s="737">
        <f t="shared" si="26"/>
        <v>591</v>
      </c>
      <c r="J34" s="737">
        <f t="shared" si="26"/>
        <v>592.5</v>
      </c>
      <c r="K34" s="737">
        <f t="shared" si="26"/>
        <v>594</v>
      </c>
      <c r="L34" s="737">
        <f t="shared" si="26"/>
        <v>595.5</v>
      </c>
      <c r="M34" s="737">
        <f t="shared" si="26"/>
        <v>597</v>
      </c>
      <c r="N34" s="737">
        <f t="shared" si="26"/>
        <v>598.5</v>
      </c>
      <c r="O34" s="737">
        <f t="shared" si="26"/>
        <v>600</v>
      </c>
      <c r="P34" s="737">
        <f t="shared" si="26"/>
        <v>601.5</v>
      </c>
      <c r="Q34" s="737">
        <f t="shared" si="26"/>
        <v>603</v>
      </c>
      <c r="R34" s="737">
        <f t="shared" si="26"/>
        <v>604.5</v>
      </c>
      <c r="S34" s="737">
        <f t="shared" si="26"/>
        <v>606</v>
      </c>
      <c r="T34" s="737">
        <f t="shared" si="26"/>
        <v>607.5</v>
      </c>
      <c r="U34" s="737">
        <f t="shared" si="26"/>
        <v>609</v>
      </c>
      <c r="V34" s="737">
        <f t="shared" si="26"/>
        <v>610.5</v>
      </c>
      <c r="W34" s="737">
        <f t="shared" si="26"/>
        <v>612</v>
      </c>
      <c r="X34" s="737">
        <f t="shared" si="26"/>
        <v>613.5</v>
      </c>
      <c r="Y34" s="737">
        <f t="shared" si="26"/>
        <v>615</v>
      </c>
      <c r="Z34" s="737">
        <f t="shared" si="26"/>
        <v>616.5</v>
      </c>
      <c r="AA34" s="737">
        <f t="shared" si="26"/>
        <v>618</v>
      </c>
      <c r="AB34" s="737">
        <f t="shared" si="26"/>
        <v>619.5</v>
      </c>
      <c r="AC34" s="737">
        <f t="shared" si="26"/>
        <v>621</v>
      </c>
      <c r="AD34" s="737">
        <f t="shared" si="26"/>
        <v>622.5</v>
      </c>
      <c r="AE34" s="737">
        <f t="shared" si="26"/>
        <v>624</v>
      </c>
    </row>
    <row r="35" spans="1:31" x14ac:dyDescent="0.35">
      <c r="A35" s="736" t="s">
        <v>853</v>
      </c>
      <c r="B35" s="737">
        <f t="shared" ref="B35:AE35" si="27">$M4+$N4*(B$33-$M$2)</f>
        <v>22.375</v>
      </c>
      <c r="C35" s="737">
        <f t="shared" si="27"/>
        <v>22.75</v>
      </c>
      <c r="D35" s="737">
        <f t="shared" si="27"/>
        <v>23.125</v>
      </c>
      <c r="E35" s="737">
        <f t="shared" si="27"/>
        <v>23.5</v>
      </c>
      <c r="F35" s="737">
        <f t="shared" si="27"/>
        <v>23.875</v>
      </c>
      <c r="G35" s="737">
        <f t="shared" si="27"/>
        <v>24.25</v>
      </c>
      <c r="H35" s="737">
        <f t="shared" si="27"/>
        <v>24.625</v>
      </c>
      <c r="I35" s="737">
        <f t="shared" si="27"/>
        <v>25</v>
      </c>
      <c r="J35" s="737">
        <f t="shared" si="27"/>
        <v>25.375</v>
      </c>
      <c r="K35" s="737">
        <f t="shared" si="27"/>
        <v>25.75</v>
      </c>
      <c r="L35" s="737">
        <f t="shared" si="27"/>
        <v>26.125</v>
      </c>
      <c r="M35" s="737">
        <f t="shared" si="27"/>
        <v>26.5</v>
      </c>
      <c r="N35" s="737">
        <f t="shared" si="27"/>
        <v>26.875</v>
      </c>
      <c r="O35" s="737">
        <f t="shared" si="27"/>
        <v>27.25</v>
      </c>
      <c r="P35" s="737">
        <f t="shared" si="27"/>
        <v>27.625</v>
      </c>
      <c r="Q35" s="737">
        <f t="shared" si="27"/>
        <v>28</v>
      </c>
      <c r="R35" s="737">
        <f t="shared" si="27"/>
        <v>28.375</v>
      </c>
      <c r="S35" s="737">
        <f t="shared" si="27"/>
        <v>28.75</v>
      </c>
      <c r="T35" s="737">
        <f t="shared" si="27"/>
        <v>29.125</v>
      </c>
      <c r="U35" s="737">
        <f t="shared" si="27"/>
        <v>29.5</v>
      </c>
      <c r="V35" s="737">
        <f t="shared" si="27"/>
        <v>29.875</v>
      </c>
      <c r="W35" s="737">
        <f t="shared" si="27"/>
        <v>30.25</v>
      </c>
      <c r="X35" s="737">
        <f t="shared" si="27"/>
        <v>30.625</v>
      </c>
      <c r="Y35" s="737">
        <f t="shared" si="27"/>
        <v>31</v>
      </c>
      <c r="Z35" s="737">
        <f t="shared" si="27"/>
        <v>31.375</v>
      </c>
      <c r="AA35" s="737">
        <f t="shared" si="27"/>
        <v>31.75</v>
      </c>
      <c r="AB35" s="737">
        <f t="shared" si="27"/>
        <v>32.125</v>
      </c>
      <c r="AC35" s="737">
        <f t="shared" si="27"/>
        <v>32.5</v>
      </c>
      <c r="AD35" s="737">
        <f t="shared" si="27"/>
        <v>32.875</v>
      </c>
      <c r="AE35" s="737">
        <f t="shared" si="27"/>
        <v>33.25</v>
      </c>
    </row>
    <row r="36" spans="1:31" x14ac:dyDescent="0.35">
      <c r="A36" s="736" t="s">
        <v>854</v>
      </c>
      <c r="B36" s="737">
        <f t="shared" ref="B36:AE36" si="28">$M5+$N5*(B$33-$M$2)</f>
        <v>17.291666666666668</v>
      </c>
      <c r="C36" s="737">
        <f t="shared" si="28"/>
        <v>17.583333333333332</v>
      </c>
      <c r="D36" s="737">
        <f t="shared" si="28"/>
        <v>17.875</v>
      </c>
      <c r="E36" s="737">
        <f t="shared" si="28"/>
        <v>18.166666666666668</v>
      </c>
      <c r="F36" s="737">
        <f t="shared" si="28"/>
        <v>18.458333333333332</v>
      </c>
      <c r="G36" s="737">
        <f t="shared" si="28"/>
        <v>18.75</v>
      </c>
      <c r="H36" s="737">
        <f t="shared" si="28"/>
        <v>19.041666666666668</v>
      </c>
      <c r="I36" s="737">
        <f t="shared" si="28"/>
        <v>19.333333333333332</v>
      </c>
      <c r="J36" s="737">
        <f t="shared" si="28"/>
        <v>19.625</v>
      </c>
      <c r="K36" s="737">
        <f t="shared" si="28"/>
        <v>19.916666666666668</v>
      </c>
      <c r="L36" s="737">
        <f t="shared" si="28"/>
        <v>20.208333333333332</v>
      </c>
      <c r="M36" s="737">
        <f t="shared" si="28"/>
        <v>20.5</v>
      </c>
      <c r="N36" s="737">
        <f t="shared" si="28"/>
        <v>20.791666666666668</v>
      </c>
      <c r="O36" s="737">
        <f t="shared" si="28"/>
        <v>21.083333333333336</v>
      </c>
      <c r="P36" s="737">
        <f t="shared" si="28"/>
        <v>21.375</v>
      </c>
      <c r="Q36" s="737">
        <f t="shared" si="28"/>
        <v>21.666666666666668</v>
      </c>
      <c r="R36" s="737">
        <f t="shared" si="28"/>
        <v>21.958333333333336</v>
      </c>
      <c r="S36" s="737">
        <f t="shared" si="28"/>
        <v>22.25</v>
      </c>
      <c r="T36" s="737">
        <f t="shared" si="28"/>
        <v>22.541666666666668</v>
      </c>
      <c r="U36" s="737">
        <f t="shared" si="28"/>
        <v>22.833333333333336</v>
      </c>
      <c r="V36" s="737">
        <f t="shared" si="28"/>
        <v>23.125</v>
      </c>
      <c r="W36" s="737">
        <f t="shared" si="28"/>
        <v>23.416666666666668</v>
      </c>
      <c r="X36" s="737">
        <f t="shared" si="28"/>
        <v>23.708333333333336</v>
      </c>
      <c r="Y36" s="737">
        <f t="shared" si="28"/>
        <v>24</v>
      </c>
      <c r="Z36" s="737">
        <f t="shared" si="28"/>
        <v>24.291666666666668</v>
      </c>
      <c r="AA36" s="737">
        <f t="shared" si="28"/>
        <v>24.583333333333336</v>
      </c>
      <c r="AB36" s="737">
        <f t="shared" si="28"/>
        <v>24.875</v>
      </c>
      <c r="AC36" s="737">
        <f t="shared" si="28"/>
        <v>25.166666666666668</v>
      </c>
      <c r="AD36" s="737">
        <f t="shared" si="28"/>
        <v>25.458333333333336</v>
      </c>
      <c r="AE36" s="737">
        <f t="shared" si="28"/>
        <v>25.75</v>
      </c>
    </row>
    <row r="37" spans="1:31" x14ac:dyDescent="0.35">
      <c r="A37" s="736" t="s">
        <v>855</v>
      </c>
      <c r="B37" s="737">
        <f t="shared" ref="B37:AE37" si="29">$M6+$N6*(B$33-$M$2)</f>
        <v>28.916666666666668</v>
      </c>
      <c r="C37" s="737">
        <f t="shared" si="29"/>
        <v>28.833333333333332</v>
      </c>
      <c r="D37" s="737">
        <f t="shared" si="29"/>
        <v>28.75</v>
      </c>
      <c r="E37" s="737">
        <f t="shared" si="29"/>
        <v>28.666666666666668</v>
      </c>
      <c r="F37" s="737">
        <f t="shared" si="29"/>
        <v>28.583333333333332</v>
      </c>
      <c r="G37" s="737">
        <f t="shared" si="29"/>
        <v>28.5</v>
      </c>
      <c r="H37" s="737">
        <f t="shared" si="29"/>
        <v>28.416666666666668</v>
      </c>
      <c r="I37" s="737">
        <f t="shared" si="29"/>
        <v>28.333333333333332</v>
      </c>
      <c r="J37" s="737">
        <f t="shared" si="29"/>
        <v>28.25</v>
      </c>
      <c r="K37" s="737">
        <f t="shared" si="29"/>
        <v>28.166666666666668</v>
      </c>
      <c r="L37" s="737">
        <f t="shared" si="29"/>
        <v>28.083333333333332</v>
      </c>
      <c r="M37" s="737">
        <f t="shared" si="29"/>
        <v>28</v>
      </c>
      <c r="N37" s="737">
        <f t="shared" si="29"/>
        <v>27.916666666666668</v>
      </c>
      <c r="O37" s="737">
        <f t="shared" si="29"/>
        <v>27.833333333333332</v>
      </c>
      <c r="P37" s="737">
        <f t="shared" si="29"/>
        <v>27.75</v>
      </c>
      <c r="Q37" s="737">
        <f t="shared" si="29"/>
        <v>27.666666666666668</v>
      </c>
      <c r="R37" s="737">
        <f t="shared" si="29"/>
        <v>27.583333333333332</v>
      </c>
      <c r="S37" s="737">
        <f t="shared" si="29"/>
        <v>27.5</v>
      </c>
      <c r="T37" s="737">
        <f t="shared" si="29"/>
        <v>27.416666666666668</v>
      </c>
      <c r="U37" s="737">
        <f t="shared" si="29"/>
        <v>27.333333333333332</v>
      </c>
      <c r="V37" s="737">
        <f t="shared" si="29"/>
        <v>27.25</v>
      </c>
      <c r="W37" s="737">
        <f t="shared" si="29"/>
        <v>27.166666666666668</v>
      </c>
      <c r="X37" s="737">
        <f t="shared" si="29"/>
        <v>27.083333333333332</v>
      </c>
      <c r="Y37" s="737">
        <f t="shared" si="29"/>
        <v>27</v>
      </c>
      <c r="Z37" s="737">
        <f t="shared" si="29"/>
        <v>26.916666666666668</v>
      </c>
      <c r="AA37" s="737">
        <f t="shared" si="29"/>
        <v>26.833333333333332</v>
      </c>
      <c r="AB37" s="737">
        <f t="shared" si="29"/>
        <v>26.75</v>
      </c>
      <c r="AC37" s="737">
        <f t="shared" si="29"/>
        <v>26.666666666666668</v>
      </c>
      <c r="AD37" s="737">
        <f t="shared" si="29"/>
        <v>26.583333333333332</v>
      </c>
      <c r="AE37" s="737">
        <f t="shared" si="29"/>
        <v>26.5</v>
      </c>
    </row>
    <row r="38" spans="1:31" x14ac:dyDescent="0.35">
      <c r="A38" s="736" t="s">
        <v>856</v>
      </c>
      <c r="B38" s="737">
        <f t="shared" ref="B38:AE38" si="30">$M7+$N7*(B$33-$M$2)</f>
        <v>77.291666666666671</v>
      </c>
      <c r="C38" s="737">
        <f t="shared" si="30"/>
        <v>78.583333333333329</v>
      </c>
      <c r="D38" s="737">
        <f t="shared" si="30"/>
        <v>79.875</v>
      </c>
      <c r="E38" s="737">
        <f t="shared" si="30"/>
        <v>81.166666666666671</v>
      </c>
      <c r="F38" s="737">
        <f t="shared" si="30"/>
        <v>82.458333333333329</v>
      </c>
      <c r="G38" s="737">
        <f t="shared" si="30"/>
        <v>83.75</v>
      </c>
      <c r="H38" s="737">
        <f t="shared" si="30"/>
        <v>85.041666666666671</v>
      </c>
      <c r="I38" s="737">
        <f t="shared" si="30"/>
        <v>86.333333333333329</v>
      </c>
      <c r="J38" s="737">
        <f t="shared" si="30"/>
        <v>87.625</v>
      </c>
      <c r="K38" s="737">
        <f t="shared" si="30"/>
        <v>88.916666666666671</v>
      </c>
      <c r="L38" s="737">
        <f t="shared" si="30"/>
        <v>90.208333333333329</v>
      </c>
      <c r="M38" s="737">
        <f t="shared" si="30"/>
        <v>91.5</v>
      </c>
      <c r="N38" s="737">
        <f t="shared" si="30"/>
        <v>92.791666666666671</v>
      </c>
      <c r="O38" s="737">
        <f t="shared" si="30"/>
        <v>94.083333333333343</v>
      </c>
      <c r="P38" s="737">
        <f t="shared" si="30"/>
        <v>95.375</v>
      </c>
      <c r="Q38" s="737">
        <f t="shared" si="30"/>
        <v>96.666666666666671</v>
      </c>
      <c r="R38" s="737">
        <f t="shared" si="30"/>
        <v>97.958333333333343</v>
      </c>
      <c r="S38" s="737">
        <f t="shared" si="30"/>
        <v>99.25</v>
      </c>
      <c r="T38" s="737">
        <f t="shared" si="30"/>
        <v>100.54166666666667</v>
      </c>
      <c r="U38" s="737">
        <f t="shared" si="30"/>
        <v>101.83333333333334</v>
      </c>
      <c r="V38" s="737">
        <f t="shared" si="30"/>
        <v>103.125</v>
      </c>
      <c r="W38" s="737">
        <f t="shared" si="30"/>
        <v>104.41666666666667</v>
      </c>
      <c r="X38" s="737">
        <f t="shared" si="30"/>
        <v>105.70833333333334</v>
      </c>
      <c r="Y38" s="737">
        <f t="shared" si="30"/>
        <v>107</v>
      </c>
      <c r="Z38" s="737">
        <f t="shared" si="30"/>
        <v>108.29166666666667</v>
      </c>
      <c r="AA38" s="737">
        <f t="shared" si="30"/>
        <v>109.58333333333334</v>
      </c>
      <c r="AB38" s="737">
        <f t="shared" si="30"/>
        <v>110.875</v>
      </c>
      <c r="AC38" s="737">
        <f t="shared" si="30"/>
        <v>112.16666666666667</v>
      </c>
      <c r="AD38" s="737">
        <f t="shared" si="30"/>
        <v>113.45833333333334</v>
      </c>
      <c r="AE38" s="737">
        <f t="shared" si="30"/>
        <v>114.75</v>
      </c>
    </row>
    <row r="39" spans="1:31" x14ac:dyDescent="0.35">
      <c r="A39" s="736" t="s">
        <v>857</v>
      </c>
      <c r="B39" s="737">
        <f t="shared" ref="B39:AE39" si="31">$M8+$N8*(B$33-$M$2)</f>
        <v>55.666666666666664</v>
      </c>
      <c r="C39" s="737">
        <f t="shared" si="31"/>
        <v>56.333333333333336</v>
      </c>
      <c r="D39" s="737">
        <f t="shared" si="31"/>
        <v>57</v>
      </c>
      <c r="E39" s="737">
        <f t="shared" si="31"/>
        <v>57.666666666666664</v>
      </c>
      <c r="F39" s="737">
        <f t="shared" si="31"/>
        <v>58.333333333333336</v>
      </c>
      <c r="G39" s="737">
        <f t="shared" si="31"/>
        <v>59</v>
      </c>
      <c r="H39" s="737">
        <f t="shared" si="31"/>
        <v>59.666666666666664</v>
      </c>
      <c r="I39" s="737">
        <f t="shared" si="31"/>
        <v>60.333333333333336</v>
      </c>
      <c r="J39" s="737">
        <f t="shared" si="31"/>
        <v>61</v>
      </c>
      <c r="K39" s="737">
        <f t="shared" si="31"/>
        <v>61.666666666666664</v>
      </c>
      <c r="L39" s="737">
        <f t="shared" si="31"/>
        <v>62.333333333333336</v>
      </c>
      <c r="M39" s="737">
        <f t="shared" si="31"/>
        <v>63</v>
      </c>
      <c r="N39" s="737">
        <f t="shared" si="31"/>
        <v>63.666666666666664</v>
      </c>
      <c r="O39" s="737">
        <f t="shared" si="31"/>
        <v>64.333333333333329</v>
      </c>
      <c r="P39" s="737">
        <f t="shared" si="31"/>
        <v>65</v>
      </c>
      <c r="Q39" s="737">
        <f t="shared" si="31"/>
        <v>65.666666666666671</v>
      </c>
      <c r="R39" s="737">
        <f t="shared" si="31"/>
        <v>66.333333333333329</v>
      </c>
      <c r="S39" s="737">
        <f t="shared" si="31"/>
        <v>67</v>
      </c>
      <c r="T39" s="737">
        <f t="shared" si="31"/>
        <v>67.666666666666671</v>
      </c>
      <c r="U39" s="737">
        <f t="shared" si="31"/>
        <v>68.333333333333329</v>
      </c>
      <c r="V39" s="737">
        <f t="shared" si="31"/>
        <v>69</v>
      </c>
      <c r="W39" s="737">
        <f t="shared" si="31"/>
        <v>69.666666666666671</v>
      </c>
      <c r="X39" s="737">
        <f t="shared" si="31"/>
        <v>70.333333333333329</v>
      </c>
      <c r="Y39" s="737">
        <f t="shared" si="31"/>
        <v>71</v>
      </c>
      <c r="Z39" s="737">
        <f t="shared" si="31"/>
        <v>71.666666666666657</v>
      </c>
      <c r="AA39" s="737">
        <f t="shared" si="31"/>
        <v>72.333333333333329</v>
      </c>
      <c r="AB39" s="737">
        <f t="shared" si="31"/>
        <v>73</v>
      </c>
      <c r="AC39" s="737">
        <f t="shared" si="31"/>
        <v>73.666666666666657</v>
      </c>
      <c r="AD39" s="737">
        <f t="shared" si="31"/>
        <v>74.333333333333329</v>
      </c>
      <c r="AE39" s="737">
        <f t="shared" si="31"/>
        <v>75</v>
      </c>
    </row>
    <row r="40" spans="1:31" x14ac:dyDescent="0.35">
      <c r="A40" s="736" t="s">
        <v>6</v>
      </c>
      <c r="B40" s="737">
        <f t="shared" ref="B40:AE40" si="32">$M9+$N9*(B$33-$M$2)</f>
        <v>15.458333333333334</v>
      </c>
      <c r="C40" s="737">
        <f t="shared" si="32"/>
        <v>15.916666666666666</v>
      </c>
      <c r="D40" s="737">
        <f t="shared" si="32"/>
        <v>16.375</v>
      </c>
      <c r="E40" s="737">
        <f t="shared" si="32"/>
        <v>16.833333333333332</v>
      </c>
      <c r="F40" s="737">
        <f t="shared" si="32"/>
        <v>17.291666666666668</v>
      </c>
      <c r="G40" s="737">
        <f t="shared" si="32"/>
        <v>17.75</v>
      </c>
      <c r="H40" s="737">
        <f t="shared" si="32"/>
        <v>18.208333333333332</v>
      </c>
      <c r="I40" s="737">
        <f t="shared" si="32"/>
        <v>18.666666666666668</v>
      </c>
      <c r="J40" s="737">
        <f t="shared" si="32"/>
        <v>19.125</v>
      </c>
      <c r="K40" s="737">
        <f t="shared" si="32"/>
        <v>19.583333333333332</v>
      </c>
      <c r="L40" s="737">
        <f t="shared" si="32"/>
        <v>20.041666666666664</v>
      </c>
      <c r="M40" s="737">
        <f t="shared" si="32"/>
        <v>20.5</v>
      </c>
      <c r="N40" s="737">
        <f t="shared" si="32"/>
        <v>20.958333333333332</v>
      </c>
      <c r="O40" s="737">
        <f t="shared" si="32"/>
        <v>21.416666666666664</v>
      </c>
      <c r="P40" s="737">
        <f t="shared" si="32"/>
        <v>21.875</v>
      </c>
      <c r="Q40" s="737">
        <f t="shared" si="32"/>
        <v>22.333333333333332</v>
      </c>
      <c r="R40" s="737">
        <f t="shared" si="32"/>
        <v>22.791666666666664</v>
      </c>
      <c r="S40" s="737">
        <f t="shared" si="32"/>
        <v>23.25</v>
      </c>
      <c r="T40" s="737">
        <f t="shared" si="32"/>
        <v>23.708333333333332</v>
      </c>
      <c r="U40" s="737">
        <f t="shared" si="32"/>
        <v>24.166666666666664</v>
      </c>
      <c r="V40" s="737">
        <f t="shared" si="32"/>
        <v>24.625</v>
      </c>
      <c r="W40" s="737">
        <f t="shared" si="32"/>
        <v>25.083333333333332</v>
      </c>
      <c r="X40" s="737">
        <f t="shared" si="32"/>
        <v>25.541666666666664</v>
      </c>
      <c r="Y40" s="737">
        <f t="shared" si="32"/>
        <v>26</v>
      </c>
      <c r="Z40" s="737">
        <f t="shared" si="32"/>
        <v>26.458333333333332</v>
      </c>
      <c r="AA40" s="737">
        <f t="shared" si="32"/>
        <v>26.916666666666664</v>
      </c>
      <c r="AB40" s="737">
        <f t="shared" si="32"/>
        <v>27.375</v>
      </c>
      <c r="AC40" s="737">
        <f t="shared" si="32"/>
        <v>27.833333333333332</v>
      </c>
      <c r="AD40" s="737">
        <f t="shared" si="32"/>
        <v>28.291666666666664</v>
      </c>
      <c r="AE40" s="737">
        <f t="shared" si="32"/>
        <v>28.75</v>
      </c>
    </row>
    <row r="41" spans="1:31" x14ac:dyDescent="0.35">
      <c r="A41" s="736" t="s">
        <v>0</v>
      </c>
      <c r="B41" s="744">
        <f>SUM(B34:B40)</f>
        <v>797.49999999999989</v>
      </c>
      <c r="C41" s="744">
        <f t="shared" ref="C41:AD41" si="33">SUM(C34:C40)</f>
        <v>802.00000000000011</v>
      </c>
      <c r="D41" s="744">
        <f t="shared" si="33"/>
        <v>806.5</v>
      </c>
      <c r="E41" s="744">
        <f t="shared" si="33"/>
        <v>810.99999999999989</v>
      </c>
      <c r="F41" s="744">
        <f t="shared" si="33"/>
        <v>815.50000000000011</v>
      </c>
      <c r="G41" s="744">
        <f t="shared" si="33"/>
        <v>820</v>
      </c>
      <c r="H41" s="744">
        <f t="shared" si="33"/>
        <v>824.49999999999989</v>
      </c>
      <c r="I41" s="744">
        <f t="shared" si="33"/>
        <v>829.00000000000011</v>
      </c>
      <c r="J41" s="744">
        <f t="shared" si="33"/>
        <v>833.5</v>
      </c>
      <c r="K41" s="744">
        <f t="shared" si="33"/>
        <v>837.99999999999989</v>
      </c>
      <c r="L41" s="744">
        <f t="shared" si="33"/>
        <v>842.50000000000011</v>
      </c>
      <c r="M41" s="744">
        <f t="shared" si="33"/>
        <v>847</v>
      </c>
      <c r="N41" s="744">
        <f t="shared" si="33"/>
        <v>851.49999999999989</v>
      </c>
      <c r="O41" s="744">
        <f t="shared" si="33"/>
        <v>856.00000000000011</v>
      </c>
      <c r="P41" s="744">
        <f t="shared" si="33"/>
        <v>860.5</v>
      </c>
      <c r="Q41" s="744">
        <f t="shared" si="33"/>
        <v>864.99999999999989</v>
      </c>
      <c r="R41" s="744">
        <f t="shared" si="33"/>
        <v>869.50000000000011</v>
      </c>
      <c r="S41" s="744">
        <f t="shared" si="33"/>
        <v>874</v>
      </c>
      <c r="T41" s="744">
        <f t="shared" si="33"/>
        <v>878.49999999999989</v>
      </c>
      <c r="U41" s="744">
        <f t="shared" si="33"/>
        <v>883.00000000000011</v>
      </c>
      <c r="V41" s="744">
        <f t="shared" si="33"/>
        <v>887.5</v>
      </c>
      <c r="W41" s="744">
        <f t="shared" si="33"/>
        <v>891.99999999999989</v>
      </c>
      <c r="X41" s="744">
        <f t="shared" si="33"/>
        <v>896.50000000000011</v>
      </c>
      <c r="Y41" s="744">
        <f t="shared" si="33"/>
        <v>901</v>
      </c>
      <c r="Z41" s="744">
        <f t="shared" si="33"/>
        <v>905.49999999999989</v>
      </c>
      <c r="AA41" s="744">
        <f t="shared" si="33"/>
        <v>910.00000000000011</v>
      </c>
      <c r="AB41" s="744">
        <f t="shared" si="33"/>
        <v>914.5</v>
      </c>
      <c r="AC41" s="744">
        <f t="shared" si="33"/>
        <v>918.99999999999989</v>
      </c>
      <c r="AD41" s="744">
        <f t="shared" si="33"/>
        <v>923.50000000000011</v>
      </c>
      <c r="AE41" s="744">
        <f>SUM(AE34:AE40)</f>
        <v>928</v>
      </c>
    </row>
    <row r="43" spans="1:31" s="198" customFormat="1" x14ac:dyDescent="0.35">
      <c r="A43" s="1334" t="s">
        <v>0</v>
      </c>
      <c r="B43" s="1334">
        <v>2025</v>
      </c>
      <c r="C43" s="1334">
        <v>2026</v>
      </c>
      <c r="D43" s="1334">
        <v>2027</v>
      </c>
      <c r="E43" s="1334">
        <v>2028</v>
      </c>
      <c r="F43" s="1334">
        <v>2029</v>
      </c>
      <c r="G43" s="1334">
        <v>2030</v>
      </c>
      <c r="H43" s="1334">
        <v>2031</v>
      </c>
      <c r="I43" s="1334">
        <v>2032</v>
      </c>
      <c r="J43" s="1334">
        <v>2033</v>
      </c>
      <c r="K43" s="1334">
        <v>2034</v>
      </c>
      <c r="L43" s="1334">
        <v>2035</v>
      </c>
      <c r="M43" s="1334">
        <v>2036</v>
      </c>
      <c r="N43" s="1334">
        <v>2037</v>
      </c>
      <c r="O43" s="1334">
        <v>2038</v>
      </c>
      <c r="P43" s="1334">
        <v>2039</v>
      </c>
      <c r="Q43" s="1334">
        <v>2040</v>
      </c>
      <c r="R43" s="1334">
        <v>2041</v>
      </c>
      <c r="S43" s="1334">
        <v>2042</v>
      </c>
      <c r="T43" s="1334">
        <v>2043</v>
      </c>
      <c r="U43" s="1334">
        <v>2044</v>
      </c>
      <c r="V43" s="1334">
        <v>2045</v>
      </c>
      <c r="W43" s="1334">
        <v>2046</v>
      </c>
      <c r="X43" s="1334">
        <v>2047</v>
      </c>
      <c r="Y43" s="1334">
        <v>2048</v>
      </c>
      <c r="Z43" s="1334">
        <v>2049</v>
      </c>
      <c r="AA43" s="1334">
        <v>2050</v>
      </c>
      <c r="AB43" s="1334">
        <v>2051</v>
      </c>
      <c r="AC43" s="1334">
        <v>2052</v>
      </c>
      <c r="AD43" s="1334">
        <v>2053</v>
      </c>
      <c r="AE43" s="1334">
        <v>2054</v>
      </c>
    </row>
    <row r="44" spans="1:31" x14ac:dyDescent="0.35">
      <c r="A44" s="736" t="s">
        <v>852</v>
      </c>
      <c r="B44" s="737">
        <f t="shared" ref="B44:AE44" si="34">B14+B24+B34</f>
        <v>1433.4583333333333</v>
      </c>
      <c r="C44" s="737">
        <f t="shared" si="34"/>
        <v>1450.9166666666667</v>
      </c>
      <c r="D44" s="737">
        <f t="shared" si="34"/>
        <v>1468.375</v>
      </c>
      <c r="E44" s="737">
        <f t="shared" si="34"/>
        <v>1485.8333333333333</v>
      </c>
      <c r="F44" s="737">
        <f t="shared" si="34"/>
        <v>1503.2916666666667</v>
      </c>
      <c r="G44" s="737">
        <f t="shared" si="34"/>
        <v>1520.75</v>
      </c>
      <c r="H44" s="737">
        <f t="shared" si="34"/>
        <v>1538.2083333333335</v>
      </c>
      <c r="I44" s="737">
        <f t="shared" si="34"/>
        <v>1555.6666666666667</v>
      </c>
      <c r="J44" s="737">
        <f t="shared" si="34"/>
        <v>1573.125</v>
      </c>
      <c r="K44" s="737">
        <f t="shared" si="34"/>
        <v>1590.5833333333335</v>
      </c>
      <c r="L44" s="737">
        <f t="shared" si="34"/>
        <v>1608.0416666666667</v>
      </c>
      <c r="M44" s="737">
        <f t="shared" si="34"/>
        <v>1625.5</v>
      </c>
      <c r="N44" s="737">
        <f t="shared" si="34"/>
        <v>1642.9583333333335</v>
      </c>
      <c r="O44" s="737">
        <f t="shared" si="34"/>
        <v>1660.4166666666667</v>
      </c>
      <c r="P44" s="737">
        <f t="shared" si="34"/>
        <v>1677.875</v>
      </c>
      <c r="Q44" s="737">
        <f t="shared" si="34"/>
        <v>1695.3333333333335</v>
      </c>
      <c r="R44" s="737">
        <f t="shared" si="34"/>
        <v>1712.7916666666667</v>
      </c>
      <c r="S44" s="737">
        <f t="shared" si="34"/>
        <v>1730.25</v>
      </c>
      <c r="T44" s="737">
        <f t="shared" si="34"/>
        <v>1747.7083333333335</v>
      </c>
      <c r="U44" s="737">
        <f t="shared" si="34"/>
        <v>1765.1666666666667</v>
      </c>
      <c r="V44" s="737">
        <f t="shared" si="34"/>
        <v>1782.625</v>
      </c>
      <c r="W44" s="737">
        <f t="shared" si="34"/>
        <v>1800.0833333333335</v>
      </c>
      <c r="X44" s="737">
        <f t="shared" si="34"/>
        <v>1817.5416666666667</v>
      </c>
      <c r="Y44" s="737">
        <f t="shared" si="34"/>
        <v>1835</v>
      </c>
      <c r="Z44" s="737">
        <f t="shared" si="34"/>
        <v>1852.4583333333335</v>
      </c>
      <c r="AA44" s="737">
        <f t="shared" si="34"/>
        <v>1869.9166666666667</v>
      </c>
      <c r="AB44" s="737">
        <f t="shared" si="34"/>
        <v>1887.375</v>
      </c>
      <c r="AC44" s="737">
        <f t="shared" si="34"/>
        <v>1904.8333333333335</v>
      </c>
      <c r="AD44" s="737">
        <f t="shared" si="34"/>
        <v>1922.2916666666667</v>
      </c>
      <c r="AE44" s="737">
        <f t="shared" si="34"/>
        <v>1939.75</v>
      </c>
    </row>
    <row r="45" spans="1:31" x14ac:dyDescent="0.35">
      <c r="A45" s="736" t="s">
        <v>853</v>
      </c>
      <c r="B45" s="737">
        <f t="shared" ref="B45:AE45" si="35">B15+B25+B35</f>
        <v>75.041666666666671</v>
      </c>
      <c r="C45" s="737">
        <f t="shared" si="35"/>
        <v>77.083333333333329</v>
      </c>
      <c r="D45" s="737">
        <f t="shared" si="35"/>
        <v>79.125</v>
      </c>
      <c r="E45" s="737">
        <f t="shared" si="35"/>
        <v>81.166666666666671</v>
      </c>
      <c r="F45" s="737">
        <f t="shared" si="35"/>
        <v>83.208333333333343</v>
      </c>
      <c r="G45" s="737">
        <f t="shared" si="35"/>
        <v>85.25</v>
      </c>
      <c r="H45" s="737">
        <f t="shared" si="35"/>
        <v>87.291666666666657</v>
      </c>
      <c r="I45" s="737">
        <f t="shared" si="35"/>
        <v>89.333333333333343</v>
      </c>
      <c r="J45" s="737">
        <f t="shared" si="35"/>
        <v>91.375</v>
      </c>
      <c r="K45" s="737">
        <f t="shared" si="35"/>
        <v>93.416666666666671</v>
      </c>
      <c r="L45" s="737">
        <f t="shared" si="35"/>
        <v>95.458333333333343</v>
      </c>
      <c r="M45" s="737">
        <f t="shared" si="35"/>
        <v>97.5</v>
      </c>
      <c r="N45" s="737">
        <f t="shared" si="35"/>
        <v>99.541666666666671</v>
      </c>
      <c r="O45" s="737">
        <f t="shared" si="35"/>
        <v>101.58333333333334</v>
      </c>
      <c r="P45" s="737">
        <f t="shared" si="35"/>
        <v>103.625</v>
      </c>
      <c r="Q45" s="737">
        <f t="shared" si="35"/>
        <v>105.66666666666667</v>
      </c>
      <c r="R45" s="737">
        <f t="shared" si="35"/>
        <v>107.70833333333334</v>
      </c>
      <c r="S45" s="737">
        <f t="shared" si="35"/>
        <v>109.75</v>
      </c>
      <c r="T45" s="737">
        <f t="shared" si="35"/>
        <v>111.79166666666667</v>
      </c>
      <c r="U45" s="737">
        <f t="shared" si="35"/>
        <v>113.83333333333334</v>
      </c>
      <c r="V45" s="737">
        <f t="shared" si="35"/>
        <v>115.875</v>
      </c>
      <c r="W45" s="737">
        <f t="shared" si="35"/>
        <v>117.91666666666667</v>
      </c>
      <c r="X45" s="737">
        <f t="shared" si="35"/>
        <v>119.95833333333334</v>
      </c>
      <c r="Y45" s="737">
        <f t="shared" si="35"/>
        <v>122</v>
      </c>
      <c r="Z45" s="737">
        <f t="shared" si="35"/>
        <v>124.04166666666667</v>
      </c>
      <c r="AA45" s="737">
        <f t="shared" si="35"/>
        <v>126.08333333333334</v>
      </c>
      <c r="AB45" s="737">
        <f t="shared" si="35"/>
        <v>128.125</v>
      </c>
      <c r="AC45" s="737">
        <f t="shared" si="35"/>
        <v>130.16666666666669</v>
      </c>
      <c r="AD45" s="737">
        <f t="shared" si="35"/>
        <v>132.20833333333334</v>
      </c>
      <c r="AE45" s="737">
        <f t="shared" si="35"/>
        <v>134.25</v>
      </c>
    </row>
    <row r="46" spans="1:31" x14ac:dyDescent="0.35">
      <c r="A46" s="736" t="s">
        <v>854</v>
      </c>
      <c r="B46" s="737">
        <f t="shared" ref="B46:AE46" si="36">B16+B26+B36</f>
        <v>47</v>
      </c>
      <c r="C46" s="737">
        <f t="shared" si="36"/>
        <v>48</v>
      </c>
      <c r="D46" s="737">
        <f t="shared" si="36"/>
        <v>49</v>
      </c>
      <c r="E46" s="737">
        <f t="shared" si="36"/>
        <v>50</v>
      </c>
      <c r="F46" s="737">
        <f t="shared" si="36"/>
        <v>51</v>
      </c>
      <c r="G46" s="737">
        <f t="shared" si="36"/>
        <v>52</v>
      </c>
      <c r="H46" s="737">
        <f t="shared" si="36"/>
        <v>53</v>
      </c>
      <c r="I46" s="737">
        <f t="shared" si="36"/>
        <v>54</v>
      </c>
      <c r="J46" s="737">
        <f t="shared" si="36"/>
        <v>55</v>
      </c>
      <c r="K46" s="737">
        <f t="shared" si="36"/>
        <v>56</v>
      </c>
      <c r="L46" s="737">
        <f t="shared" si="36"/>
        <v>57</v>
      </c>
      <c r="M46" s="737">
        <f t="shared" si="36"/>
        <v>58</v>
      </c>
      <c r="N46" s="737">
        <f t="shared" si="36"/>
        <v>59</v>
      </c>
      <c r="O46" s="737">
        <f t="shared" si="36"/>
        <v>60</v>
      </c>
      <c r="P46" s="737">
        <f t="shared" si="36"/>
        <v>61</v>
      </c>
      <c r="Q46" s="737">
        <f t="shared" si="36"/>
        <v>62</v>
      </c>
      <c r="R46" s="737">
        <f t="shared" si="36"/>
        <v>63</v>
      </c>
      <c r="S46" s="737">
        <f t="shared" si="36"/>
        <v>64</v>
      </c>
      <c r="T46" s="737">
        <f t="shared" si="36"/>
        <v>65</v>
      </c>
      <c r="U46" s="737">
        <f t="shared" si="36"/>
        <v>66</v>
      </c>
      <c r="V46" s="737">
        <f t="shared" si="36"/>
        <v>67</v>
      </c>
      <c r="W46" s="737">
        <f t="shared" si="36"/>
        <v>68</v>
      </c>
      <c r="X46" s="737">
        <f t="shared" si="36"/>
        <v>69</v>
      </c>
      <c r="Y46" s="737">
        <f t="shared" si="36"/>
        <v>70</v>
      </c>
      <c r="Z46" s="737">
        <f t="shared" si="36"/>
        <v>71</v>
      </c>
      <c r="AA46" s="737">
        <f t="shared" si="36"/>
        <v>72</v>
      </c>
      <c r="AB46" s="737">
        <f t="shared" si="36"/>
        <v>73</v>
      </c>
      <c r="AC46" s="737">
        <f t="shared" si="36"/>
        <v>74</v>
      </c>
      <c r="AD46" s="737">
        <f t="shared" si="36"/>
        <v>75</v>
      </c>
      <c r="AE46" s="737">
        <f t="shared" si="36"/>
        <v>76</v>
      </c>
    </row>
    <row r="47" spans="1:31" x14ac:dyDescent="0.35">
      <c r="A47" s="736" t="s">
        <v>855</v>
      </c>
      <c r="B47" s="737">
        <f t="shared" ref="B47:AE47" si="37">B17+B27+B37</f>
        <v>88.916666666666671</v>
      </c>
      <c r="C47" s="737">
        <f t="shared" si="37"/>
        <v>90.833333333333329</v>
      </c>
      <c r="D47" s="737">
        <f t="shared" si="37"/>
        <v>92.75</v>
      </c>
      <c r="E47" s="737">
        <f t="shared" si="37"/>
        <v>94.666666666666671</v>
      </c>
      <c r="F47" s="737">
        <f t="shared" si="37"/>
        <v>96.583333333333329</v>
      </c>
      <c r="G47" s="737">
        <f t="shared" si="37"/>
        <v>98.5</v>
      </c>
      <c r="H47" s="737">
        <f t="shared" si="37"/>
        <v>100.41666666666667</v>
      </c>
      <c r="I47" s="737">
        <f t="shared" si="37"/>
        <v>102.33333333333333</v>
      </c>
      <c r="J47" s="737">
        <f t="shared" si="37"/>
        <v>104.25</v>
      </c>
      <c r="K47" s="737">
        <f t="shared" si="37"/>
        <v>106.16666666666667</v>
      </c>
      <c r="L47" s="737">
        <f t="shared" si="37"/>
        <v>108.08333333333333</v>
      </c>
      <c r="M47" s="737">
        <f t="shared" si="37"/>
        <v>110</v>
      </c>
      <c r="N47" s="737">
        <f t="shared" si="37"/>
        <v>111.91666666666667</v>
      </c>
      <c r="O47" s="737">
        <f t="shared" si="37"/>
        <v>113.83333333333333</v>
      </c>
      <c r="P47" s="737">
        <f t="shared" si="37"/>
        <v>115.75</v>
      </c>
      <c r="Q47" s="737">
        <f t="shared" si="37"/>
        <v>117.66666666666667</v>
      </c>
      <c r="R47" s="737">
        <f t="shared" si="37"/>
        <v>119.58333333333333</v>
      </c>
      <c r="S47" s="737">
        <f t="shared" si="37"/>
        <v>121.5</v>
      </c>
      <c r="T47" s="737">
        <f t="shared" si="37"/>
        <v>123.41666666666667</v>
      </c>
      <c r="U47" s="737">
        <f t="shared" si="37"/>
        <v>125.33333333333333</v>
      </c>
      <c r="V47" s="737">
        <f t="shared" si="37"/>
        <v>127.25</v>
      </c>
      <c r="W47" s="737">
        <f t="shared" si="37"/>
        <v>129.16666666666666</v>
      </c>
      <c r="X47" s="737">
        <f t="shared" si="37"/>
        <v>131.08333333333334</v>
      </c>
      <c r="Y47" s="737">
        <f t="shared" si="37"/>
        <v>133</v>
      </c>
      <c r="Z47" s="737">
        <f t="shared" si="37"/>
        <v>134.91666666666666</v>
      </c>
      <c r="AA47" s="737">
        <f t="shared" si="37"/>
        <v>136.83333333333334</v>
      </c>
      <c r="AB47" s="737">
        <f t="shared" si="37"/>
        <v>138.75</v>
      </c>
      <c r="AC47" s="737">
        <f t="shared" si="37"/>
        <v>140.66666666666666</v>
      </c>
      <c r="AD47" s="737">
        <f t="shared" si="37"/>
        <v>142.58333333333334</v>
      </c>
      <c r="AE47" s="737">
        <f t="shared" si="37"/>
        <v>144.5</v>
      </c>
    </row>
    <row r="48" spans="1:31" x14ac:dyDescent="0.35">
      <c r="A48" s="736" t="s">
        <v>856</v>
      </c>
      <c r="B48" s="737">
        <f t="shared" ref="B48:AE48" si="38">B18+B28+B38</f>
        <v>166.75</v>
      </c>
      <c r="C48" s="737">
        <f t="shared" si="38"/>
        <v>170.5</v>
      </c>
      <c r="D48" s="737">
        <f t="shared" si="38"/>
        <v>174.25</v>
      </c>
      <c r="E48" s="737">
        <f t="shared" si="38"/>
        <v>178</v>
      </c>
      <c r="F48" s="737">
        <f t="shared" si="38"/>
        <v>181.75</v>
      </c>
      <c r="G48" s="737">
        <f t="shared" si="38"/>
        <v>185.5</v>
      </c>
      <c r="H48" s="737">
        <f t="shared" si="38"/>
        <v>189.25</v>
      </c>
      <c r="I48" s="737">
        <f t="shared" si="38"/>
        <v>193</v>
      </c>
      <c r="J48" s="737">
        <f t="shared" si="38"/>
        <v>196.75</v>
      </c>
      <c r="K48" s="737">
        <f t="shared" si="38"/>
        <v>200.5</v>
      </c>
      <c r="L48" s="737">
        <f t="shared" si="38"/>
        <v>204.25</v>
      </c>
      <c r="M48" s="737">
        <f t="shared" si="38"/>
        <v>208</v>
      </c>
      <c r="N48" s="737">
        <f t="shared" si="38"/>
        <v>211.75</v>
      </c>
      <c r="O48" s="737">
        <f t="shared" si="38"/>
        <v>215.5</v>
      </c>
      <c r="P48" s="737">
        <f t="shared" si="38"/>
        <v>219.25</v>
      </c>
      <c r="Q48" s="737">
        <f t="shared" si="38"/>
        <v>223</v>
      </c>
      <c r="R48" s="737">
        <f t="shared" si="38"/>
        <v>226.75000000000003</v>
      </c>
      <c r="S48" s="737">
        <f t="shared" si="38"/>
        <v>230.5</v>
      </c>
      <c r="T48" s="737">
        <f t="shared" si="38"/>
        <v>234.25</v>
      </c>
      <c r="U48" s="737">
        <f t="shared" si="38"/>
        <v>238.00000000000003</v>
      </c>
      <c r="V48" s="737">
        <f t="shared" si="38"/>
        <v>241.75</v>
      </c>
      <c r="W48" s="737">
        <f t="shared" si="38"/>
        <v>245.5</v>
      </c>
      <c r="X48" s="737">
        <f t="shared" si="38"/>
        <v>249.25000000000003</v>
      </c>
      <c r="Y48" s="737">
        <f t="shared" si="38"/>
        <v>253</v>
      </c>
      <c r="Z48" s="737">
        <f t="shared" si="38"/>
        <v>256.75</v>
      </c>
      <c r="AA48" s="737">
        <f t="shared" si="38"/>
        <v>260.5</v>
      </c>
      <c r="AB48" s="737">
        <f t="shared" si="38"/>
        <v>264.25</v>
      </c>
      <c r="AC48" s="737">
        <f t="shared" si="38"/>
        <v>268</v>
      </c>
      <c r="AD48" s="737">
        <f t="shared" si="38"/>
        <v>271.75</v>
      </c>
      <c r="AE48" s="737">
        <f t="shared" si="38"/>
        <v>275.5</v>
      </c>
    </row>
    <row r="49" spans="1:31" x14ac:dyDescent="0.35">
      <c r="A49" s="736" t="s">
        <v>857</v>
      </c>
      <c r="B49" s="737">
        <f t="shared" ref="B49:AE49" si="39">B19+B29+B39</f>
        <v>112.16666666666666</v>
      </c>
      <c r="C49" s="737">
        <f t="shared" si="39"/>
        <v>114.33333333333334</v>
      </c>
      <c r="D49" s="737">
        <f t="shared" si="39"/>
        <v>116.5</v>
      </c>
      <c r="E49" s="737">
        <f t="shared" si="39"/>
        <v>118.66666666666666</v>
      </c>
      <c r="F49" s="737">
        <f t="shared" si="39"/>
        <v>120.83333333333334</v>
      </c>
      <c r="G49" s="737">
        <f t="shared" si="39"/>
        <v>123</v>
      </c>
      <c r="H49" s="737">
        <f t="shared" si="39"/>
        <v>125.16666666666666</v>
      </c>
      <c r="I49" s="737">
        <f t="shared" si="39"/>
        <v>127.33333333333334</v>
      </c>
      <c r="J49" s="737">
        <f t="shared" si="39"/>
        <v>129.5</v>
      </c>
      <c r="K49" s="737">
        <f t="shared" si="39"/>
        <v>131.66666666666666</v>
      </c>
      <c r="L49" s="737">
        <f t="shared" si="39"/>
        <v>133.83333333333334</v>
      </c>
      <c r="M49" s="737">
        <f t="shared" si="39"/>
        <v>136</v>
      </c>
      <c r="N49" s="737">
        <f t="shared" si="39"/>
        <v>138.16666666666666</v>
      </c>
      <c r="O49" s="737">
        <f t="shared" si="39"/>
        <v>140.33333333333331</v>
      </c>
      <c r="P49" s="737">
        <f t="shared" si="39"/>
        <v>142.5</v>
      </c>
      <c r="Q49" s="737">
        <f t="shared" si="39"/>
        <v>144.66666666666669</v>
      </c>
      <c r="R49" s="737">
        <f t="shared" si="39"/>
        <v>146.83333333333331</v>
      </c>
      <c r="S49" s="737">
        <f t="shared" si="39"/>
        <v>149</v>
      </c>
      <c r="T49" s="737">
        <f t="shared" si="39"/>
        <v>151.16666666666669</v>
      </c>
      <c r="U49" s="737">
        <f t="shared" si="39"/>
        <v>153.33333333333331</v>
      </c>
      <c r="V49" s="737">
        <f t="shared" si="39"/>
        <v>155.5</v>
      </c>
      <c r="W49" s="737">
        <f t="shared" si="39"/>
        <v>157.66666666666669</v>
      </c>
      <c r="X49" s="737">
        <f t="shared" si="39"/>
        <v>159.83333333333331</v>
      </c>
      <c r="Y49" s="737">
        <f t="shared" si="39"/>
        <v>162</v>
      </c>
      <c r="Z49" s="737">
        <f t="shared" si="39"/>
        <v>164.16666666666666</v>
      </c>
      <c r="AA49" s="737">
        <f t="shared" si="39"/>
        <v>166.33333333333331</v>
      </c>
      <c r="AB49" s="737">
        <f t="shared" si="39"/>
        <v>168.5</v>
      </c>
      <c r="AC49" s="737">
        <f t="shared" si="39"/>
        <v>170.66666666666666</v>
      </c>
      <c r="AD49" s="737">
        <f t="shared" si="39"/>
        <v>172.83333333333331</v>
      </c>
      <c r="AE49" s="737">
        <f t="shared" si="39"/>
        <v>175</v>
      </c>
    </row>
    <row r="50" spans="1:31" x14ac:dyDescent="0.35">
      <c r="A50" s="736" t="s">
        <v>6</v>
      </c>
      <c r="B50" s="737">
        <f t="shared" ref="B50:AE50" si="40">B20+B30+B40</f>
        <v>102.95833333333333</v>
      </c>
      <c r="C50" s="737">
        <f t="shared" si="40"/>
        <v>106.91666666666667</v>
      </c>
      <c r="D50" s="737">
        <f t="shared" si="40"/>
        <v>110.875</v>
      </c>
      <c r="E50" s="737">
        <f t="shared" si="40"/>
        <v>114.83333333333333</v>
      </c>
      <c r="F50" s="737">
        <f t="shared" si="40"/>
        <v>118.79166666666667</v>
      </c>
      <c r="G50" s="737">
        <f t="shared" si="40"/>
        <v>122.75</v>
      </c>
      <c r="H50" s="737">
        <f t="shared" si="40"/>
        <v>126.70833333333333</v>
      </c>
      <c r="I50" s="737">
        <f t="shared" si="40"/>
        <v>130.66666666666666</v>
      </c>
      <c r="J50" s="737">
        <f t="shared" si="40"/>
        <v>134.625</v>
      </c>
      <c r="K50" s="737">
        <f t="shared" si="40"/>
        <v>138.58333333333334</v>
      </c>
      <c r="L50" s="737">
        <f t="shared" si="40"/>
        <v>142.54166666666666</v>
      </c>
      <c r="M50" s="737">
        <f t="shared" si="40"/>
        <v>146.5</v>
      </c>
      <c r="N50" s="737">
        <f t="shared" si="40"/>
        <v>150.45833333333334</v>
      </c>
      <c r="O50" s="737">
        <f t="shared" si="40"/>
        <v>154.41666666666666</v>
      </c>
      <c r="P50" s="737">
        <f t="shared" si="40"/>
        <v>158.375</v>
      </c>
      <c r="Q50" s="737">
        <f t="shared" si="40"/>
        <v>162.33333333333334</v>
      </c>
      <c r="R50" s="737">
        <f t="shared" si="40"/>
        <v>166.29166666666666</v>
      </c>
      <c r="S50" s="737">
        <f t="shared" si="40"/>
        <v>170.25</v>
      </c>
      <c r="T50" s="737">
        <f t="shared" si="40"/>
        <v>174.20833333333334</v>
      </c>
      <c r="U50" s="737">
        <f t="shared" si="40"/>
        <v>178.16666666666666</v>
      </c>
      <c r="V50" s="737">
        <f t="shared" si="40"/>
        <v>182.125</v>
      </c>
      <c r="W50" s="737">
        <f t="shared" si="40"/>
        <v>186.08333333333334</v>
      </c>
      <c r="X50" s="737">
        <f t="shared" si="40"/>
        <v>190.04166666666666</v>
      </c>
      <c r="Y50" s="737">
        <f t="shared" si="40"/>
        <v>194</v>
      </c>
      <c r="Z50" s="737">
        <f t="shared" si="40"/>
        <v>197.95833333333334</v>
      </c>
      <c r="AA50" s="737">
        <f t="shared" si="40"/>
        <v>201.91666666666666</v>
      </c>
      <c r="AB50" s="737">
        <f t="shared" si="40"/>
        <v>205.875</v>
      </c>
      <c r="AC50" s="737">
        <f t="shared" si="40"/>
        <v>209.83333333333334</v>
      </c>
      <c r="AD50" s="737">
        <f t="shared" si="40"/>
        <v>213.79166666666666</v>
      </c>
      <c r="AE50" s="737">
        <f t="shared" si="40"/>
        <v>217.75</v>
      </c>
    </row>
    <row r="51" spans="1:31" x14ac:dyDescent="0.35">
      <c r="A51" s="736" t="s">
        <v>0</v>
      </c>
      <c r="B51" s="744">
        <f>SUM(B44:B50)</f>
        <v>2026.2916666666667</v>
      </c>
      <c r="C51" s="744">
        <f t="shared" ref="C51:AD51" si="41">SUM(C44:C50)</f>
        <v>2058.583333333333</v>
      </c>
      <c r="D51" s="744">
        <f t="shared" si="41"/>
        <v>2090.875</v>
      </c>
      <c r="E51" s="744">
        <f t="shared" si="41"/>
        <v>2123.166666666667</v>
      </c>
      <c r="F51" s="744">
        <f t="shared" si="41"/>
        <v>2155.458333333333</v>
      </c>
      <c r="G51" s="744">
        <f t="shared" si="41"/>
        <v>2187.75</v>
      </c>
      <c r="H51" s="744">
        <f t="shared" si="41"/>
        <v>2220.041666666667</v>
      </c>
      <c r="I51" s="744">
        <f t="shared" si="41"/>
        <v>2252.333333333333</v>
      </c>
      <c r="J51" s="744">
        <f t="shared" si="41"/>
        <v>2284.625</v>
      </c>
      <c r="K51" s="744">
        <f t="shared" si="41"/>
        <v>2316.916666666667</v>
      </c>
      <c r="L51" s="744">
        <f t="shared" si="41"/>
        <v>2349.208333333333</v>
      </c>
      <c r="M51" s="744">
        <f t="shared" si="41"/>
        <v>2381.5</v>
      </c>
      <c r="N51" s="744">
        <f t="shared" si="41"/>
        <v>2413.791666666667</v>
      </c>
      <c r="O51" s="744">
        <f t="shared" si="41"/>
        <v>2446.083333333333</v>
      </c>
      <c r="P51" s="744">
        <f t="shared" si="41"/>
        <v>2478.375</v>
      </c>
      <c r="Q51" s="744">
        <f t="shared" si="41"/>
        <v>2510.666666666667</v>
      </c>
      <c r="R51" s="744">
        <f t="shared" si="41"/>
        <v>2542.9583333333335</v>
      </c>
      <c r="S51" s="744">
        <f t="shared" si="41"/>
        <v>2575.25</v>
      </c>
      <c r="T51" s="744">
        <f t="shared" si="41"/>
        <v>2607.541666666667</v>
      </c>
      <c r="U51" s="744">
        <f t="shared" si="41"/>
        <v>2639.8333333333335</v>
      </c>
      <c r="V51" s="744">
        <f t="shared" si="41"/>
        <v>2672.125</v>
      </c>
      <c r="W51" s="744">
        <f t="shared" si="41"/>
        <v>2704.416666666667</v>
      </c>
      <c r="X51" s="744">
        <f t="shared" si="41"/>
        <v>2736.7083333333335</v>
      </c>
      <c r="Y51" s="744">
        <f t="shared" si="41"/>
        <v>2769</v>
      </c>
      <c r="Z51" s="744">
        <f t="shared" si="41"/>
        <v>2801.291666666667</v>
      </c>
      <c r="AA51" s="744">
        <f t="shared" si="41"/>
        <v>2833.5833333333335</v>
      </c>
      <c r="AB51" s="744">
        <f t="shared" si="41"/>
        <v>2865.875</v>
      </c>
      <c r="AC51" s="744">
        <f t="shared" si="41"/>
        <v>2898.1666666666665</v>
      </c>
      <c r="AD51" s="744">
        <f t="shared" si="41"/>
        <v>2930.4583333333335</v>
      </c>
      <c r="AE51" s="744">
        <f>SUM(AE44:AE50)</f>
        <v>2962.75</v>
      </c>
    </row>
    <row r="52" spans="1:31" x14ac:dyDescent="0.35">
      <c r="B52" s="1675"/>
      <c r="C52" s="1675"/>
      <c r="D52" s="1675"/>
      <c r="E52" s="548"/>
      <c r="F52" s="198"/>
      <c r="G52" s="1675"/>
      <c r="H52" s="1675"/>
      <c r="I52" s="1675"/>
      <c r="J52" s="548"/>
      <c r="K52" s="198"/>
      <c r="L52" s="1675"/>
      <c r="M52" s="1675"/>
      <c r="N52" s="1675"/>
      <c r="O52" s="548"/>
      <c r="P52" s="198"/>
      <c r="Q52" s="1675"/>
      <c r="R52" s="1675"/>
      <c r="S52" s="1675"/>
      <c r="T52" s="548"/>
    </row>
    <row r="53" spans="1:31" x14ac:dyDescent="0.35">
      <c r="A53" s="741" t="s">
        <v>1388</v>
      </c>
      <c r="B53" s="548"/>
      <c r="C53" s="548"/>
      <c r="D53" s="548"/>
      <c r="E53" s="548"/>
      <c r="F53" s="198"/>
      <c r="G53" s="548"/>
      <c r="H53" s="548"/>
      <c r="I53" s="548"/>
      <c r="J53" s="548"/>
      <c r="K53" s="198"/>
      <c r="L53" s="548"/>
      <c r="M53" s="548"/>
      <c r="N53" s="548"/>
      <c r="O53" s="548"/>
      <c r="P53" s="198"/>
      <c r="Q53" s="548"/>
      <c r="R53" s="548"/>
      <c r="S53" s="548"/>
      <c r="T53" s="548"/>
    </row>
    <row r="54" spans="1:31" s="198" customFormat="1" x14ac:dyDescent="0.35">
      <c r="A54" s="1334" t="s">
        <v>0</v>
      </c>
      <c r="B54" s="1334">
        <v>2025</v>
      </c>
      <c r="C54" s="1334">
        <v>2026</v>
      </c>
      <c r="D54" s="1334">
        <v>2027</v>
      </c>
      <c r="E54" s="1334">
        <v>2028</v>
      </c>
      <c r="F54" s="1334">
        <v>2029</v>
      </c>
      <c r="G54" s="1334">
        <v>2030</v>
      </c>
      <c r="H54" s="1334">
        <v>2031</v>
      </c>
      <c r="I54" s="1334">
        <v>2032</v>
      </c>
      <c r="J54" s="1334">
        <v>2033</v>
      </c>
      <c r="K54" s="1334">
        <v>2034</v>
      </c>
      <c r="L54" s="1334">
        <v>2035</v>
      </c>
      <c r="M54" s="1334">
        <v>2036</v>
      </c>
      <c r="N54" s="1334">
        <v>2037</v>
      </c>
      <c r="O54" s="1334">
        <v>2038</v>
      </c>
      <c r="P54" s="1334">
        <v>2039</v>
      </c>
      <c r="Q54" s="1334">
        <v>2040</v>
      </c>
      <c r="R54" s="1334">
        <v>2041</v>
      </c>
      <c r="S54" s="1334">
        <v>2042</v>
      </c>
      <c r="T54" s="1334">
        <v>2043</v>
      </c>
      <c r="U54" s="1334">
        <v>2044</v>
      </c>
      <c r="V54" s="1334">
        <v>2045</v>
      </c>
      <c r="W54" s="1334">
        <v>2046</v>
      </c>
      <c r="X54" s="1334">
        <v>2047</v>
      </c>
      <c r="Y54" s="1334">
        <v>2048</v>
      </c>
      <c r="Z54" s="1334">
        <v>2049</v>
      </c>
      <c r="AA54" s="1334">
        <v>2050</v>
      </c>
      <c r="AB54" s="1334">
        <v>2051</v>
      </c>
      <c r="AC54" s="1334">
        <v>2052</v>
      </c>
      <c r="AD54" s="1334">
        <v>2053</v>
      </c>
      <c r="AE54" s="1334">
        <v>2054</v>
      </c>
    </row>
    <row r="55" spans="1:31" x14ac:dyDescent="0.35">
      <c r="A55" s="736" t="s">
        <v>852</v>
      </c>
      <c r="B55" s="1290">
        <f>X3*Assumptions!$C$12*'Inflation Rates'!$C$18*(1+Assumptions!$C$6)</f>
        <v>154786.66428826028</v>
      </c>
      <c r="C55" s="1290">
        <f>B55*(1+Assumptions!$C$6)</f>
        <v>158656.33089546676</v>
      </c>
      <c r="D55" s="1290">
        <f>C55*(1+Assumptions!$C$6)</f>
        <v>162622.7391678534</v>
      </c>
      <c r="E55" s="1290">
        <f>D55*(1+Assumptions!$C$6)</f>
        <v>166688.30764704972</v>
      </c>
      <c r="F55" s="1290">
        <f>E55*(1+Assumptions!$C$6)</f>
        <v>170855.51533822596</v>
      </c>
      <c r="G55" s="1290">
        <f>F55*(1+Assumptions!$C$6)</f>
        <v>175126.9032216816</v>
      </c>
      <c r="H55" s="1290">
        <f>G55*(1+Assumptions!$C$6)</f>
        <v>179505.07580222361</v>
      </c>
      <c r="I55" s="1290">
        <f>H55*(1+Assumptions!$C$6)</f>
        <v>183992.70269727919</v>
      </c>
      <c r="J55" s="1290">
        <f>I55*(1+Assumptions!$C$6)</f>
        <v>188592.52026471114</v>
      </c>
      <c r="K55" s="1290">
        <f>J55*(1+Assumptions!$C$6)</f>
        <v>193307.33327132891</v>
      </c>
      <c r="L55" s="1290">
        <f>K55*(1+Assumptions!$C$6)</f>
        <v>198140.0166031121</v>
      </c>
      <c r="M55" s="1290">
        <f>L55*(1+Assumptions!$C$6)</f>
        <v>203093.51701818989</v>
      </c>
      <c r="N55" s="1290">
        <f>M55*(1+Assumptions!$C$6)</f>
        <v>208170.8549436446</v>
      </c>
      <c r="O55" s="1290">
        <f>N55*(1+Assumptions!$C$6)</f>
        <v>213375.1263172357</v>
      </c>
      <c r="P55" s="1290">
        <f>O55*(1+Assumptions!$C$6)</f>
        <v>218709.50447516658</v>
      </c>
      <c r="Q55" s="1290">
        <f>P55*(1+Assumptions!$C$6)</f>
        <v>224177.24208704574</v>
      </c>
      <c r="R55" s="1290">
        <f>Q55*(1+Assumptions!$C$6)</f>
        <v>229781.67313922188</v>
      </c>
      <c r="S55" s="1290">
        <f>R55*(1+Assumptions!$C$6)</f>
        <v>235526.2149677024</v>
      </c>
      <c r="T55" s="1290">
        <f>S55*(1+Assumptions!$C$6)</f>
        <v>241414.37034189494</v>
      </c>
      <c r="U55" s="1290">
        <f>T55*(1+Assumptions!$C$6)</f>
        <v>247449.72960044228</v>
      </c>
      <c r="V55" s="1290">
        <f>U55*(1+Assumptions!$C$6)</f>
        <v>253635.97284045332</v>
      </c>
      <c r="W55" s="1290">
        <f>V55*(1+Assumptions!$C$6)</f>
        <v>259976.87216146462</v>
      </c>
      <c r="X55" s="1290">
        <f>W55*(1+Assumptions!$C$6)</f>
        <v>266476.29396550119</v>
      </c>
      <c r="Y55" s="1290">
        <f>X55*(1+Assumptions!$C$6)</f>
        <v>273138.20131463872</v>
      </c>
      <c r="Z55" s="1290">
        <f>Y55*(1+Assumptions!$C$6)</f>
        <v>279966.65634750464</v>
      </c>
      <c r="AA55" s="1290">
        <f>Z55*(1+Assumptions!$C$6)</f>
        <v>286965.82275619224</v>
      </c>
      <c r="AB55" s="1290">
        <f>AA55*(1+Assumptions!$C$6)</f>
        <v>294139.968325097</v>
      </c>
      <c r="AC55" s="1290">
        <f>AB55*(1+Assumptions!$C$6)</f>
        <v>301493.46753322438</v>
      </c>
      <c r="AD55" s="1290">
        <f>AC55*(1+Assumptions!$C$6)</f>
        <v>309030.80422155495</v>
      </c>
      <c r="AE55" s="1290">
        <f>AD55*(1+Assumptions!$C$6)</f>
        <v>316756.57432709378</v>
      </c>
    </row>
    <row r="56" spans="1:31" x14ac:dyDescent="0.35">
      <c r="A56" s="736" t="s">
        <v>853</v>
      </c>
      <c r="B56" s="1290">
        <f>X4*Assumptions!$C$12*'Inflation Rates'!$C$18*(1+Assumptions!$C$6)</f>
        <v>2587700.5652729142</v>
      </c>
      <c r="C56" s="1290">
        <f>B56*(1+Assumptions!$C$6)</f>
        <v>2652393.0794047369</v>
      </c>
      <c r="D56" s="1290">
        <f>C56*(1+Assumptions!$C$6)</f>
        <v>2718702.9063898548</v>
      </c>
      <c r="E56" s="1290">
        <f>D56*(1+Assumptions!$C$6)</f>
        <v>2786670.4790496011</v>
      </c>
      <c r="F56" s="1290">
        <f>E56*(1+Assumptions!$C$6)</f>
        <v>2856337.2410258409</v>
      </c>
      <c r="G56" s="1290">
        <f>F56*(1+Assumptions!$C$6)</f>
        <v>2927745.6720514866</v>
      </c>
      <c r="H56" s="1290">
        <f>G56*(1+Assumptions!$C$6)</f>
        <v>3000939.3138527735</v>
      </c>
      <c r="I56" s="1290">
        <f>H56*(1+Assumptions!$C$6)</f>
        <v>3075962.7966990927</v>
      </c>
      <c r="J56" s="1290">
        <f>I56*(1+Assumptions!$C$6)</f>
        <v>3152861.8666165699</v>
      </c>
      <c r="K56" s="1290">
        <f>J56*(1+Assumptions!$C$6)</f>
        <v>3231683.4132819837</v>
      </c>
      <c r="L56" s="1290">
        <f>K56*(1+Assumptions!$C$6)</f>
        <v>3312475.4986140332</v>
      </c>
      <c r="M56" s="1290">
        <f>L56*(1+Assumptions!$C$6)</f>
        <v>3395287.3860793835</v>
      </c>
      <c r="N56" s="1290">
        <f>M56*(1+Assumptions!$C$6)</f>
        <v>3480169.5707313679</v>
      </c>
      <c r="O56" s="1290">
        <f>N56*(1+Assumptions!$C$6)</f>
        <v>3567173.8099996517</v>
      </c>
      <c r="P56" s="1290">
        <f>O56*(1+Assumptions!$C$6)</f>
        <v>3656353.1552496427</v>
      </c>
      <c r="Q56" s="1290">
        <f>P56*(1+Assumptions!$C$6)</f>
        <v>3747761.9841308836</v>
      </c>
      <c r="R56" s="1290">
        <f>Q56*(1+Assumptions!$C$6)</f>
        <v>3841456.0337341554</v>
      </c>
      <c r="S56" s="1290">
        <f>R56*(1+Assumptions!$C$6)</f>
        <v>3937492.4345775088</v>
      </c>
      <c r="T56" s="1290">
        <f>S56*(1+Assumptions!$C$6)</f>
        <v>4035929.7454419462</v>
      </c>
      <c r="U56" s="1290">
        <f>T56*(1+Assumptions!$C$6)</f>
        <v>4136827.9890779946</v>
      </c>
      <c r="V56" s="1290">
        <f>U56*(1+Assumptions!$C$6)</f>
        <v>4240248.688804944</v>
      </c>
      <c r="W56" s="1290">
        <f>V56*(1+Assumptions!$C$6)</f>
        <v>4346254.906025067</v>
      </c>
      <c r="X56" s="1290">
        <f>W56*(1+Assumptions!$C$6)</f>
        <v>4454911.2786756931</v>
      </c>
      <c r="Y56" s="1290">
        <f>X56*(1+Assumptions!$C$6)</f>
        <v>4566284.0606425852</v>
      </c>
      <c r="Z56" s="1290">
        <f>Y56*(1+Assumptions!$C$6)</f>
        <v>4680441.1621586494</v>
      </c>
      <c r="AA56" s="1290">
        <f>Z56*(1+Assumptions!$C$6)</f>
        <v>4797452.191212615</v>
      </c>
      <c r="AB56" s="1290">
        <f>AA56*(1+Assumptions!$C$6)</f>
        <v>4917388.4959929297</v>
      </c>
      <c r="AC56" s="1290">
        <f>AB56*(1+Assumptions!$C$6)</f>
        <v>5040323.2083927523</v>
      </c>
      <c r="AD56" s="1290">
        <f>AC56*(1+Assumptions!$C$6)</f>
        <v>5166331.288602571</v>
      </c>
      <c r="AE56" s="1290">
        <f>AD56*(1+Assumptions!$C$6)</f>
        <v>5295489.5708176345</v>
      </c>
    </row>
    <row r="57" spans="1:31" x14ac:dyDescent="0.35">
      <c r="A57" s="736" t="s">
        <v>854</v>
      </c>
      <c r="B57" s="1290">
        <f>X5*Assumptions!$C$12*'Inflation Rates'!$C$18*(1+Assumptions!$C$6)</f>
        <v>1390883.9203267498</v>
      </c>
      <c r="C57" s="1290">
        <f>B57*(1+Assumptions!$C$6)</f>
        <v>1425656.0183349184</v>
      </c>
      <c r="D57" s="1290">
        <f>C57*(1+Assumptions!$C$6)</f>
        <v>1461297.4187932913</v>
      </c>
      <c r="E57" s="1290">
        <f>D57*(1+Assumptions!$C$6)</f>
        <v>1497829.8542631234</v>
      </c>
      <c r="F57" s="1290">
        <f>E57*(1+Assumptions!$C$6)</f>
        <v>1535275.6006197012</v>
      </c>
      <c r="G57" s="1290">
        <f>F57*(1+Assumptions!$C$6)</f>
        <v>1573657.4906351937</v>
      </c>
      <c r="H57" s="1290">
        <f>G57*(1+Assumptions!$C$6)</f>
        <v>1612998.9279010734</v>
      </c>
      <c r="I57" s="1290">
        <f>H57*(1+Assumptions!$C$6)</f>
        <v>1653323.9010986001</v>
      </c>
      <c r="J57" s="1290">
        <f>I57*(1+Assumptions!$C$6)</f>
        <v>1694656.998626065</v>
      </c>
      <c r="K57" s="1290">
        <f>J57*(1+Assumptions!$C$6)</f>
        <v>1737023.4235917164</v>
      </c>
      <c r="L57" s="1290">
        <f>K57*(1+Assumptions!$C$6)</f>
        <v>1780449.0091815093</v>
      </c>
      <c r="M57" s="1290">
        <f>L57*(1+Assumptions!$C$6)</f>
        <v>1824960.2344110468</v>
      </c>
      <c r="N57" s="1290">
        <f>M57*(1+Assumptions!$C$6)</f>
        <v>1870584.2402713229</v>
      </c>
      <c r="O57" s="1290">
        <f>N57*(1+Assumptions!$C$6)</f>
        <v>1917348.8462781059</v>
      </c>
      <c r="P57" s="1290">
        <f>O57*(1+Assumptions!$C$6)</f>
        <v>1965282.5674350583</v>
      </c>
      <c r="Q57" s="1290">
        <f>P57*(1+Assumptions!$C$6)</f>
        <v>2014414.6316209347</v>
      </c>
      <c r="R57" s="1290">
        <f>Q57*(1+Assumptions!$C$6)</f>
        <v>2064774.9974114578</v>
      </c>
      <c r="S57" s="1290">
        <f>R57*(1+Assumptions!$C$6)</f>
        <v>2116394.3723467439</v>
      </c>
      <c r="T57" s="1290">
        <f>S57*(1+Assumptions!$C$6)</f>
        <v>2169304.2316554124</v>
      </c>
      <c r="U57" s="1290">
        <f>T57*(1+Assumptions!$C$6)</f>
        <v>2223536.8374467976</v>
      </c>
      <c r="V57" s="1290">
        <f>U57*(1+Assumptions!$C$6)</f>
        <v>2279125.2583829672</v>
      </c>
      <c r="W57" s="1290">
        <f>V57*(1+Assumptions!$C$6)</f>
        <v>2336103.389842541</v>
      </c>
      <c r="X57" s="1290">
        <f>W57*(1+Assumptions!$C$6)</f>
        <v>2394505.9745886042</v>
      </c>
      <c r="Y57" s="1290">
        <f>X57*(1+Assumptions!$C$6)</f>
        <v>2454368.6239533192</v>
      </c>
      <c r="Z57" s="1290">
        <f>Y57*(1+Assumptions!$C$6)</f>
        <v>2515727.839552152</v>
      </c>
      <c r="AA57" s="1290">
        <f>Z57*(1+Assumptions!$C$6)</f>
        <v>2578621.0355409556</v>
      </c>
      <c r="AB57" s="1290">
        <f>AA57*(1+Assumptions!$C$6)</f>
        <v>2643086.5614294792</v>
      </c>
      <c r="AC57" s="1290">
        <f>AB57*(1+Assumptions!$C$6)</f>
        <v>2709163.7254652157</v>
      </c>
      <c r="AD57" s="1290">
        <f>AC57*(1+Assumptions!$C$6)</f>
        <v>2776892.8186018458</v>
      </c>
      <c r="AE57" s="1290">
        <f>AD57*(1+Assumptions!$C$6)</f>
        <v>2846315.1390668917</v>
      </c>
    </row>
    <row r="58" spans="1:31" x14ac:dyDescent="0.35">
      <c r="A58" s="736" t="s">
        <v>855</v>
      </c>
      <c r="B58" s="1290">
        <f>X6*Assumptions!$C$12*'Inflation Rates'!$C$18*(1+Assumptions!$C$6)</f>
        <v>2472676.0927908993</v>
      </c>
      <c r="C58" s="1290">
        <f>B58*(1+Assumptions!$C$6)</f>
        <v>2534492.9951106715</v>
      </c>
      <c r="D58" s="1290">
        <f>C58*(1+Assumptions!$C$6)</f>
        <v>2597855.3199884379</v>
      </c>
      <c r="E58" s="1290">
        <f>D58*(1+Assumptions!$C$6)</f>
        <v>2662801.7029881487</v>
      </c>
      <c r="F58" s="1290">
        <f>E58*(1+Assumptions!$C$6)</f>
        <v>2729371.7455628524</v>
      </c>
      <c r="G58" s="1290">
        <f>F58*(1+Assumptions!$C$6)</f>
        <v>2797606.0392019236</v>
      </c>
      <c r="H58" s="1290">
        <f>G58*(1+Assumptions!$C$6)</f>
        <v>2867546.1901819715</v>
      </c>
      <c r="I58" s="1290">
        <f>H58*(1+Assumptions!$C$6)</f>
        <v>2939234.8449365208</v>
      </c>
      <c r="J58" s="1290">
        <f>I58*(1+Assumptions!$C$6)</f>
        <v>3012715.7160599334</v>
      </c>
      <c r="K58" s="1290">
        <f>J58*(1+Assumptions!$C$6)</f>
        <v>3088033.6089614313</v>
      </c>
      <c r="L58" s="1290">
        <f>K58*(1+Assumptions!$C$6)</f>
        <v>3165234.4491854669</v>
      </c>
      <c r="M58" s="1290">
        <f>L58*(1+Assumptions!$C$6)</f>
        <v>3244365.3104151031</v>
      </c>
      <c r="N58" s="1290">
        <f>M58*(1+Assumptions!$C$6)</f>
        <v>3325474.4431754802</v>
      </c>
      <c r="O58" s="1290">
        <f>N58*(1+Assumptions!$C$6)</f>
        <v>3408611.3042548671</v>
      </c>
      <c r="P58" s="1290">
        <f>O58*(1+Assumptions!$C$6)</f>
        <v>3493826.5868612383</v>
      </c>
      <c r="Q58" s="1290">
        <f>P58*(1+Assumptions!$C$6)</f>
        <v>3581172.2515327688</v>
      </c>
      <c r="R58" s="1290">
        <f>Q58*(1+Assumptions!$C$6)</f>
        <v>3670701.5578210875</v>
      </c>
      <c r="S58" s="1290">
        <f>R58*(1+Assumptions!$C$6)</f>
        <v>3762469.0967666144</v>
      </c>
      <c r="T58" s="1290">
        <f>S58*(1+Assumptions!$C$6)</f>
        <v>3856530.8241857793</v>
      </c>
      <c r="U58" s="1290">
        <f>T58*(1+Assumptions!$C$6)</f>
        <v>3952944.0947904233</v>
      </c>
      <c r="V58" s="1290">
        <f>U58*(1+Assumptions!$C$6)</f>
        <v>4051767.6971601835</v>
      </c>
      <c r="W58" s="1290">
        <f>V58*(1+Assumptions!$C$6)</f>
        <v>4153061.8895891877</v>
      </c>
      <c r="X58" s="1290">
        <f>W58*(1+Assumptions!$C$6)</f>
        <v>4256888.4368289169</v>
      </c>
      <c r="Y58" s="1290">
        <f>X58*(1+Assumptions!$C$6)</f>
        <v>4363310.6477496391</v>
      </c>
      <c r="Z58" s="1290">
        <f>Y58*(1+Assumptions!$C$6)</f>
        <v>4472393.4139433801</v>
      </c>
      <c r="AA58" s="1290">
        <f>Z58*(1+Assumptions!$C$6)</f>
        <v>4584203.2492919639</v>
      </c>
      <c r="AB58" s="1290">
        <f>AA58*(1+Assumptions!$C$6)</f>
        <v>4698808.330524263</v>
      </c>
      <c r="AC58" s="1290">
        <f>AB58*(1+Assumptions!$C$6)</f>
        <v>4816278.5387873687</v>
      </c>
      <c r="AD58" s="1290">
        <f>AC58*(1+Assumptions!$C$6)</f>
        <v>4936685.5022570528</v>
      </c>
      <c r="AE58" s="1290">
        <f>AD58*(1+Assumptions!$C$6)</f>
        <v>5060102.639813479</v>
      </c>
    </row>
    <row r="59" spans="1:31" x14ac:dyDescent="0.35">
      <c r="A59" s="736" t="s">
        <v>856</v>
      </c>
      <c r="B59" s="1290">
        <f>X7*Assumptions!$C$12*'Inflation Rates'!$C$18*(1+Assumptions!$C$6)</f>
        <v>4244258.861623154</v>
      </c>
      <c r="C59" s="1290">
        <f>B59*(1+Assumptions!$C$6)</f>
        <v>4350365.3331637327</v>
      </c>
      <c r="D59" s="1290">
        <f>C59*(1+Assumptions!$C$6)</f>
        <v>4459124.4664928252</v>
      </c>
      <c r="E59" s="1290">
        <f>D59*(1+Assumptions!$C$6)</f>
        <v>4570602.578155145</v>
      </c>
      <c r="F59" s="1290">
        <f>E59*(1+Assumptions!$C$6)</f>
        <v>4684867.6426090235</v>
      </c>
      <c r="G59" s="1290">
        <f>F59*(1+Assumptions!$C$6)</f>
        <v>4801989.3336742483</v>
      </c>
      <c r="H59" s="1290">
        <f>G59*(1+Assumptions!$C$6)</f>
        <v>4922039.0670161042</v>
      </c>
      <c r="I59" s="1290">
        <f>H59*(1+Assumptions!$C$6)</f>
        <v>5045090.0436915066</v>
      </c>
      <c r="J59" s="1290">
        <f>I59*(1+Assumptions!$C$6)</f>
        <v>5171217.2947837934</v>
      </c>
      <c r="K59" s="1290">
        <f>J59*(1+Assumptions!$C$6)</f>
        <v>5300497.7271533879</v>
      </c>
      <c r="L59" s="1290">
        <f>K59*(1+Assumptions!$C$6)</f>
        <v>5433010.1703322222</v>
      </c>
      <c r="M59" s="1290">
        <f>L59*(1+Assumptions!$C$6)</f>
        <v>5568835.4245905271</v>
      </c>
      <c r="N59" s="1290">
        <f>M59*(1+Assumptions!$C$6)</f>
        <v>5708056.3102052901</v>
      </c>
      <c r="O59" s="1290">
        <f>N59*(1+Assumptions!$C$6)</f>
        <v>5850757.7179604219</v>
      </c>
      <c r="P59" s="1290">
        <f>O59*(1+Assumptions!$C$6)</f>
        <v>5997026.660909432</v>
      </c>
      <c r="Q59" s="1290">
        <f>P59*(1+Assumptions!$C$6)</f>
        <v>6146952.3274321677</v>
      </c>
      <c r="R59" s="1290">
        <f>Q59*(1+Assumptions!$C$6)</f>
        <v>6300626.1356179714</v>
      </c>
      <c r="S59" s="1290">
        <f>R59*(1+Assumptions!$C$6)</f>
        <v>6458141.78900842</v>
      </c>
      <c r="T59" s="1290">
        <f>S59*(1+Assumptions!$C$6)</f>
        <v>6619595.3337336294</v>
      </c>
      <c r="U59" s="1290">
        <f>T59*(1+Assumptions!$C$6)</f>
        <v>6785085.2170769693</v>
      </c>
      <c r="V59" s="1290">
        <f>U59*(1+Assumptions!$C$6)</f>
        <v>6954712.3475038931</v>
      </c>
      <c r="W59" s="1290">
        <f>V59*(1+Assumptions!$C$6)</f>
        <v>7128580.1561914897</v>
      </c>
      <c r="X59" s="1290">
        <f>W59*(1+Assumptions!$C$6)</f>
        <v>7306794.6600962766</v>
      </c>
      <c r="Y59" s="1290">
        <f>X59*(1+Assumptions!$C$6)</f>
        <v>7489464.5265986826</v>
      </c>
      <c r="Z59" s="1290">
        <f>Y59*(1+Assumptions!$C$6)</f>
        <v>7676701.1397636486</v>
      </c>
      <c r="AA59" s="1290">
        <f>Z59*(1+Assumptions!$C$6)</f>
        <v>7868618.6682577394</v>
      </c>
      <c r="AB59" s="1290">
        <f>AA59*(1+Assumptions!$C$6)</f>
        <v>8065334.134964182</v>
      </c>
      <c r="AC59" s="1290">
        <f>AB59*(1+Assumptions!$C$6)</f>
        <v>8266967.4883382861</v>
      </c>
      <c r="AD59" s="1290">
        <f>AC59*(1+Assumptions!$C$6)</f>
        <v>8473641.675546743</v>
      </c>
      <c r="AE59" s="1290">
        <f>AD59*(1+Assumptions!$C$6)</f>
        <v>8685482.7174354102</v>
      </c>
    </row>
    <row r="60" spans="1:31" x14ac:dyDescent="0.35">
      <c r="A60" s="736" t="s">
        <v>857</v>
      </c>
      <c r="B60" s="1290">
        <f>X8*Assumptions!$C$12*'Inflation Rates'!$C$18*(1+Assumptions!$C$6)</f>
        <v>3873883.8827705001</v>
      </c>
      <c r="C60" s="1290">
        <f>B60*(1+Assumptions!$C$6)</f>
        <v>3970730.9798397622</v>
      </c>
      <c r="D60" s="1290">
        <f>C60*(1+Assumptions!$C$6)</f>
        <v>4069999.2543357559</v>
      </c>
      <c r="E60" s="1290">
        <f>D60*(1+Assumptions!$C$6)</f>
        <v>4171749.2356941495</v>
      </c>
      <c r="F60" s="1290">
        <f>E60*(1+Assumptions!$C$6)</f>
        <v>4276042.9665865032</v>
      </c>
      <c r="G60" s="1290">
        <f>F60*(1+Assumptions!$C$6)</f>
        <v>4382944.0407511657</v>
      </c>
      <c r="H60" s="1290">
        <f>G60*(1+Assumptions!$C$6)</f>
        <v>4492517.6417699447</v>
      </c>
      <c r="I60" s="1290">
        <f>H60*(1+Assumptions!$C$6)</f>
        <v>4604830.5828141933</v>
      </c>
      <c r="J60" s="1290">
        <f>I60*(1+Assumptions!$C$6)</f>
        <v>4719951.3473845478</v>
      </c>
      <c r="K60" s="1290">
        <f>J60*(1+Assumptions!$C$6)</f>
        <v>4837950.131069161</v>
      </c>
      <c r="L60" s="1290">
        <f>K60*(1+Assumptions!$C$6)</f>
        <v>4958898.88434589</v>
      </c>
      <c r="M60" s="1290">
        <f>L60*(1+Assumptions!$C$6)</f>
        <v>5082871.3564545373</v>
      </c>
      <c r="N60" s="1290">
        <f>M60*(1+Assumptions!$C$6)</f>
        <v>5209943.1403659005</v>
      </c>
      <c r="O60" s="1290">
        <f>N60*(1+Assumptions!$C$6)</f>
        <v>5340191.7188750478</v>
      </c>
      <c r="P60" s="1290">
        <f>O60*(1+Assumptions!$C$6)</f>
        <v>5473696.5118469233</v>
      </c>
      <c r="Q60" s="1290">
        <f>P60*(1+Assumptions!$C$6)</f>
        <v>5610538.9246430956</v>
      </c>
      <c r="R60" s="1290">
        <f>Q60*(1+Assumptions!$C$6)</f>
        <v>5750802.3977591721</v>
      </c>
      <c r="S60" s="1290">
        <f>R60*(1+Assumptions!$C$6)</f>
        <v>5894572.4577031508</v>
      </c>
      <c r="T60" s="1290">
        <f>S60*(1+Assumptions!$C$6)</f>
        <v>6041936.769145729</v>
      </c>
      <c r="U60" s="1290">
        <f>T60*(1+Assumptions!$C$6)</f>
        <v>6192985.1883743713</v>
      </c>
      <c r="V60" s="1290">
        <f>U60*(1+Assumptions!$C$6)</f>
        <v>6347809.8180837296</v>
      </c>
      <c r="W60" s="1290">
        <f>V60*(1+Assumptions!$C$6)</f>
        <v>6506505.0635358226</v>
      </c>
      <c r="X60" s="1290">
        <f>W60*(1+Assumptions!$C$6)</f>
        <v>6669167.6901242174</v>
      </c>
      <c r="Y60" s="1290">
        <f>X60*(1+Assumptions!$C$6)</f>
        <v>6835896.8823773218</v>
      </c>
      <c r="Z60" s="1290">
        <f>Y60*(1+Assumptions!$C$6)</f>
        <v>7006794.3044367544</v>
      </c>
      <c r="AA60" s="1290">
        <f>Z60*(1+Assumptions!$C$6)</f>
        <v>7181964.162047673</v>
      </c>
      <c r="AB60" s="1290">
        <f>AA60*(1+Assumptions!$C$6)</f>
        <v>7361513.2660988644</v>
      </c>
      <c r="AC60" s="1290">
        <f>AB60*(1+Assumptions!$C$6)</f>
        <v>7545551.0977513352</v>
      </c>
      <c r="AD60" s="1290">
        <f>AC60*(1+Assumptions!$C$6)</f>
        <v>7734189.8751951177</v>
      </c>
      <c r="AE60" s="1290">
        <f>AD60*(1+Assumptions!$C$6)</f>
        <v>7927544.6220749952</v>
      </c>
    </row>
    <row r="61" spans="1:31" x14ac:dyDescent="0.35">
      <c r="A61" s="736" t="s">
        <v>6</v>
      </c>
      <c r="B61" s="1290">
        <f>X9*Assumptions!$C$12*'Inflation Rates'!$C$18*(1+Assumptions!$C$6)</f>
        <v>396221.09604288888</v>
      </c>
      <c r="C61" s="1290">
        <f>B61*(1+Assumptions!$C$6)</f>
        <v>406126.62344396109</v>
      </c>
      <c r="D61" s="1290">
        <f>C61*(1+Assumptions!$C$6)</f>
        <v>416279.78903006006</v>
      </c>
      <c r="E61" s="1290">
        <f>D61*(1+Assumptions!$C$6)</f>
        <v>426686.78375581151</v>
      </c>
      <c r="F61" s="1290">
        <f>E61*(1+Assumptions!$C$6)</f>
        <v>437353.95334970678</v>
      </c>
      <c r="G61" s="1290">
        <f>F61*(1+Assumptions!$C$6)</f>
        <v>448287.80218344938</v>
      </c>
      <c r="H61" s="1290">
        <f>G61*(1+Assumptions!$C$6)</f>
        <v>459494.9972380356</v>
      </c>
      <c r="I61" s="1290">
        <f>H61*(1+Assumptions!$C$6)</f>
        <v>470982.37216898648</v>
      </c>
      <c r="J61" s="1290">
        <f>I61*(1+Assumptions!$C$6)</f>
        <v>482756.93147321109</v>
      </c>
      <c r="K61" s="1290">
        <f>J61*(1+Assumptions!$C$6)</f>
        <v>494825.85476004134</v>
      </c>
      <c r="L61" s="1290">
        <f>K61*(1+Assumptions!$C$6)</f>
        <v>507196.50112904236</v>
      </c>
      <c r="M61" s="1290">
        <f>L61*(1+Assumptions!$C$6)</f>
        <v>519876.41365726839</v>
      </c>
      <c r="N61" s="1290">
        <f>M61*(1+Assumptions!$C$6)</f>
        <v>532873.32399870001</v>
      </c>
      <c r="O61" s="1290">
        <f>N61*(1+Assumptions!$C$6)</f>
        <v>546195.15709866746</v>
      </c>
      <c r="P61" s="1290">
        <f>O61*(1+Assumptions!$C$6)</f>
        <v>559850.03602613416</v>
      </c>
      <c r="Q61" s="1290">
        <f>P61*(1+Assumptions!$C$6)</f>
        <v>573846.28692678746</v>
      </c>
      <c r="R61" s="1290">
        <f>Q61*(1+Assumptions!$C$6)</f>
        <v>588192.44409995712</v>
      </c>
      <c r="S61" s="1290">
        <f>R61*(1+Assumptions!$C$6)</f>
        <v>602897.25520245603</v>
      </c>
      <c r="T61" s="1290">
        <f>S61*(1+Assumptions!$C$6)</f>
        <v>617969.68658251734</v>
      </c>
      <c r="U61" s="1290">
        <f>T61*(1+Assumptions!$C$6)</f>
        <v>633418.92874708027</v>
      </c>
      <c r="V61" s="1290">
        <f>U61*(1+Assumptions!$C$6)</f>
        <v>649254.40196575725</v>
      </c>
      <c r="W61" s="1290">
        <f>V61*(1+Assumptions!$C$6)</f>
        <v>665485.76201490115</v>
      </c>
      <c r="X61" s="1290">
        <f>W61*(1+Assumptions!$C$6)</f>
        <v>682122.90606527356</v>
      </c>
      <c r="Y61" s="1290">
        <f>X61*(1+Assumptions!$C$6)</f>
        <v>699175.97871690535</v>
      </c>
      <c r="Z61" s="1290">
        <f>Y61*(1+Assumptions!$C$6)</f>
        <v>716655.37818482786</v>
      </c>
      <c r="AA61" s="1290">
        <f>Z61*(1+Assumptions!$C$6)</f>
        <v>734571.76263944851</v>
      </c>
      <c r="AB61" s="1290">
        <f>AA61*(1+Assumptions!$C$6)</f>
        <v>752936.05670543469</v>
      </c>
      <c r="AC61" s="1290">
        <f>AB61*(1+Assumptions!$C$6)</f>
        <v>771759.45812307054</v>
      </c>
      <c r="AD61" s="1290">
        <f>AC61*(1+Assumptions!$C$6)</f>
        <v>791053.44457614725</v>
      </c>
      <c r="AE61" s="1290">
        <f>AD61*(1+Assumptions!$C$6)</f>
        <v>810829.7806905508</v>
      </c>
    </row>
    <row r="62" spans="1:31" x14ac:dyDescent="0.35">
      <c r="A62" s="548"/>
      <c r="B62" s="548"/>
      <c r="C62" s="548"/>
      <c r="D62" s="548"/>
      <c r="E62" s="548"/>
      <c r="F62" s="198"/>
      <c r="G62" s="548"/>
      <c r="H62" s="548"/>
      <c r="I62" s="548"/>
      <c r="J62" s="548"/>
      <c r="K62" s="198"/>
      <c r="L62" s="548"/>
      <c r="M62" s="548"/>
      <c r="N62" s="548"/>
      <c r="O62" s="548"/>
      <c r="P62" s="198"/>
      <c r="Q62" s="548"/>
      <c r="R62" s="548"/>
      <c r="S62" s="548"/>
      <c r="T62" s="548"/>
    </row>
    <row r="63" spans="1:31" x14ac:dyDescent="0.35">
      <c r="A63" s="741" t="s">
        <v>1389</v>
      </c>
    </row>
    <row r="64" spans="1:31" s="198" customFormat="1" x14ac:dyDescent="0.35">
      <c r="A64" s="1334" t="s">
        <v>849</v>
      </c>
      <c r="B64" s="1334">
        <v>2025</v>
      </c>
      <c r="C64" s="1334">
        <v>2026</v>
      </c>
      <c r="D64" s="1334">
        <v>2027</v>
      </c>
      <c r="E64" s="1334">
        <v>2028</v>
      </c>
      <c r="F64" s="1334">
        <v>2029</v>
      </c>
      <c r="G64" s="1334">
        <v>2030</v>
      </c>
      <c r="H64" s="1334">
        <v>2031</v>
      </c>
      <c r="I64" s="1334">
        <v>2032</v>
      </c>
      <c r="J64" s="1334">
        <v>2033</v>
      </c>
      <c r="K64" s="1334">
        <v>2034</v>
      </c>
      <c r="L64" s="1334">
        <v>2035</v>
      </c>
      <c r="M64" s="1334">
        <v>2036</v>
      </c>
      <c r="N64" s="1334">
        <v>2037</v>
      </c>
      <c r="O64" s="1334">
        <v>2038</v>
      </c>
      <c r="P64" s="1334">
        <v>2039</v>
      </c>
      <c r="Q64" s="1334">
        <v>2040</v>
      </c>
      <c r="R64" s="1334">
        <v>2041</v>
      </c>
      <c r="S64" s="1334">
        <v>2042</v>
      </c>
      <c r="T64" s="1334">
        <v>2043</v>
      </c>
      <c r="U64" s="1334">
        <v>2044</v>
      </c>
      <c r="V64" s="1334">
        <v>2045</v>
      </c>
      <c r="W64" s="1334">
        <v>2046</v>
      </c>
      <c r="X64" s="1334">
        <v>2047</v>
      </c>
      <c r="Y64" s="1334">
        <v>2048</v>
      </c>
      <c r="Z64" s="1334">
        <v>2049</v>
      </c>
      <c r="AA64" s="1334">
        <v>2050</v>
      </c>
      <c r="AB64" s="1334">
        <v>2051</v>
      </c>
      <c r="AC64" s="1334">
        <v>2052</v>
      </c>
      <c r="AD64" s="1334">
        <v>2053</v>
      </c>
      <c r="AE64" s="1334">
        <v>2054</v>
      </c>
    </row>
    <row r="65" spans="1:31" x14ac:dyDescent="0.35">
      <c r="A65" s="736" t="s">
        <v>852</v>
      </c>
      <c r="B65" s="1290">
        <f>B14*B55</f>
        <v>41921388.244737156</v>
      </c>
      <c r="C65" s="1290">
        <f>C14*C55</f>
        <v>44688199.868889809</v>
      </c>
      <c r="D65" s="1290">
        <f t="shared" ref="D65:AE65" si="42">D14*D55</f>
        <v>47567151.20659712</v>
      </c>
      <c r="E65" s="1290">
        <f t="shared" si="42"/>
        <v>50562119.986271746</v>
      </c>
      <c r="F65" s="1290">
        <f t="shared" si="42"/>
        <v>53677107.735425994</v>
      </c>
      <c r="G65" s="1290">
        <f t="shared" si="42"/>
        <v>56916243.54704652</v>
      </c>
      <c r="H65" s="1290">
        <f t="shared" si="42"/>
        <v>60283787.956913434</v>
      </c>
      <c r="I65" s="1290">
        <f t="shared" si="42"/>
        <v>63784136.935056791</v>
      </c>
      <c r="J65" s="1290">
        <f t="shared" si="42"/>
        <v>67421825.994634241</v>
      </c>
      <c r="K65" s="1290">
        <f t="shared" si="42"/>
        <v>71201534.421606153</v>
      </c>
      <c r="L65" s="1290">
        <f t="shared" si="42"/>
        <v>75128089.628680006</v>
      </c>
      <c r="M65" s="1290">
        <f t="shared" si="42"/>
        <v>79206471.637094051</v>
      </c>
      <c r="N65" s="1290">
        <f t="shared" si="42"/>
        <v>83441817.689910889</v>
      </c>
      <c r="O65" s="1290">
        <f t="shared" si="42"/>
        <v>87839427.000595361</v>
      </c>
      <c r="P65" s="1290">
        <f t="shared" si="42"/>
        <v>92404765.640757889</v>
      </c>
      <c r="Q65" s="1290">
        <f t="shared" si="42"/>
        <v>97143471.571053162</v>
      </c>
      <c r="R65" s="1290">
        <f t="shared" si="42"/>
        <v>102061359.81933773</v>
      </c>
      <c r="S65" s="1290">
        <f t="shared" si="42"/>
        <v>107164427.8103046</v>
      </c>
      <c r="T65" s="1290">
        <f t="shared" si="42"/>
        <v>112458860.85093273</v>
      </c>
      <c r="U65" s="1290">
        <f t="shared" si="42"/>
        <v>117951037.77621083</v>
      </c>
      <c r="V65" s="1290">
        <f t="shared" si="42"/>
        <v>123647536.759721</v>
      </c>
      <c r="W65" s="1290">
        <f t="shared" si="42"/>
        <v>129555141.29379654</v>
      </c>
      <c r="X65" s="1290">
        <f t="shared" si="42"/>
        <v>135680846.34410101</v>
      </c>
      <c r="Y65" s="1290">
        <f t="shared" si="42"/>
        <v>142031864.68361214</v>
      </c>
      <c r="Z65" s="1290">
        <f t="shared" si="42"/>
        <v>148615633.41113374</v>
      </c>
      <c r="AA65" s="1290">
        <f t="shared" si="42"/>
        <v>155439820.65960416</v>
      </c>
      <c r="AB65" s="1290">
        <f t="shared" si="42"/>
        <v>162512332.49961609</v>
      </c>
      <c r="AC65" s="1290">
        <f t="shared" si="42"/>
        <v>169841320.0437164</v>
      </c>
      <c r="AD65" s="1290">
        <f t="shared" si="42"/>
        <v>177435186.75720948</v>
      </c>
      <c r="AE65" s="1290">
        <f t="shared" si="42"/>
        <v>185302595.98134986</v>
      </c>
    </row>
    <row r="66" spans="1:31" x14ac:dyDescent="0.35">
      <c r="A66" s="736" t="s">
        <v>853</v>
      </c>
      <c r="B66" s="1290">
        <f t="shared" ref="B66:C71" si="43">B15*B56</f>
        <v>67388035.553982139</v>
      </c>
      <c r="C66" s="1290">
        <f t="shared" si="43"/>
        <v>71835645.900544956</v>
      </c>
      <c r="D66" s="1290">
        <f t="shared" ref="D66:AE66" si="44">D15*D56</f>
        <v>76463519.242214665</v>
      </c>
      <c r="E66" s="1290">
        <f t="shared" si="44"/>
        <v>81277888.97228004</v>
      </c>
      <c r="F66" s="1290">
        <f t="shared" si="44"/>
        <v>86285187.48932229</v>
      </c>
      <c r="G66" s="1290">
        <f t="shared" si="44"/>
        <v>91492052.251608953</v>
      </c>
      <c r="H66" s="1290">
        <f t="shared" si="44"/>
        <v>96905332.009829134</v>
      </c>
      <c r="I66" s="1290">
        <f t="shared" si="44"/>
        <v>102532093.22330309</v>
      </c>
      <c r="J66" s="1290">
        <f t="shared" si="44"/>
        <v>108379626.66494459</v>
      </c>
      <c r="K66" s="1290">
        <f t="shared" si="44"/>
        <v>114455454.22040361</v>
      </c>
      <c r="L66" s="1290">
        <f t="shared" si="44"/>
        <v>120767335.88696997</v>
      </c>
      <c r="M66" s="1290">
        <f t="shared" si="44"/>
        <v>127323276.97797689</v>
      </c>
      <c r="N66" s="1290">
        <f t="shared" si="44"/>
        <v>134131535.53860483</v>
      </c>
      <c r="O66" s="1290">
        <f t="shared" si="44"/>
        <v>141200629.97915289</v>
      </c>
      <c r="P66" s="1290">
        <f t="shared" si="44"/>
        <v>148539346.93201673</v>
      </c>
      <c r="Q66" s="1290">
        <f t="shared" si="44"/>
        <v>156156749.33878684</v>
      </c>
      <c r="R66" s="1290">
        <f t="shared" si="44"/>
        <v>164062184.7740629</v>
      </c>
      <c r="S66" s="1290">
        <f t="shared" si="44"/>
        <v>172265294.012766</v>
      </c>
      <c r="T66" s="1290">
        <f t="shared" si="44"/>
        <v>180776019.84792054</v>
      </c>
      <c r="U66" s="1290">
        <f t="shared" si="44"/>
        <v>189604616.16607475</v>
      </c>
      <c r="V66" s="1290">
        <f t="shared" si="44"/>
        <v>198761657.28773177</v>
      </c>
      <c r="W66" s="1290">
        <f t="shared" si="44"/>
        <v>208258047.5803678</v>
      </c>
      <c r="X66" s="1290">
        <f t="shared" si="44"/>
        <v>218105031.35183081</v>
      </c>
      <c r="Y66" s="1290">
        <f t="shared" si="44"/>
        <v>228314203.03212926</v>
      </c>
      <c r="Z66" s="1290">
        <f t="shared" si="44"/>
        <v>238897517.65184775</v>
      </c>
      <c r="AA66" s="1290">
        <f t="shared" si="44"/>
        <v>249867301.62565705</v>
      </c>
      <c r="AB66" s="1290">
        <f t="shared" si="44"/>
        <v>261236263.8496244</v>
      </c>
      <c r="AC66" s="1290">
        <f t="shared" si="44"/>
        <v>273017507.12127411</v>
      </c>
      <c r="AD66" s="1290">
        <f t="shared" si="44"/>
        <v>285224539.89160031</v>
      </c>
      <c r="AE66" s="1290">
        <f t="shared" si="44"/>
        <v>297871288.35849196</v>
      </c>
    </row>
    <row r="67" spans="1:31" x14ac:dyDescent="0.35">
      <c r="A67" s="736" t="s">
        <v>854</v>
      </c>
      <c r="B67" s="1290">
        <f t="shared" si="43"/>
        <v>26079073.50612656</v>
      </c>
      <c r="C67" s="1290">
        <f t="shared" si="43"/>
        <v>27800292.357530911</v>
      </c>
      <c r="D67" s="1290">
        <f t="shared" ref="D67:AE67" si="45">D16*D57</f>
        <v>29591272.730564151</v>
      </c>
      <c r="E67" s="1290">
        <f t="shared" si="45"/>
        <v>31454426.939525589</v>
      </c>
      <c r="F67" s="1290">
        <f t="shared" si="45"/>
        <v>33392244.3134785</v>
      </c>
      <c r="G67" s="1290">
        <f t="shared" si="45"/>
        <v>35407293.539291859</v>
      </c>
      <c r="H67" s="1290">
        <f t="shared" si="45"/>
        <v>37502225.073699959</v>
      </c>
      <c r="I67" s="1290">
        <f t="shared" si="45"/>
        <v>39679773.626366407</v>
      </c>
      <c r="J67" s="1290">
        <f t="shared" si="45"/>
        <v>41942760.715995111</v>
      </c>
      <c r="K67" s="1290">
        <f t="shared" si="45"/>
        <v>44294097.301588766</v>
      </c>
      <c r="L67" s="1290">
        <f t="shared" si="45"/>
        <v>46736786.491014615</v>
      </c>
      <c r="M67" s="1290">
        <f t="shared" si="45"/>
        <v>49273926.329098262</v>
      </c>
      <c r="N67" s="1290">
        <f t="shared" si="45"/>
        <v>51908712.66752921</v>
      </c>
      <c r="O67" s="1290">
        <f t="shared" si="45"/>
        <v>54644442.118926018</v>
      </c>
      <c r="P67" s="1290">
        <f t="shared" si="45"/>
        <v>57484515.097475454</v>
      </c>
      <c r="Q67" s="1290">
        <f t="shared" si="45"/>
        <v>60432438.948628038</v>
      </c>
      <c r="R67" s="1290">
        <f t="shared" si="45"/>
        <v>63491831.170402326</v>
      </c>
      <c r="S67" s="1290">
        <f t="shared" si="45"/>
        <v>66666422.728922434</v>
      </c>
      <c r="T67" s="1290">
        <f t="shared" si="45"/>
        <v>69960061.47088705</v>
      </c>
      <c r="U67" s="1290">
        <f t="shared" si="45"/>
        <v>73376715.635744318</v>
      </c>
      <c r="V67" s="1290">
        <f t="shared" si="45"/>
        <v>76920477.470425144</v>
      </c>
      <c r="W67" s="1290">
        <f t="shared" si="45"/>
        <v>80595566.949567661</v>
      </c>
      <c r="X67" s="1290">
        <f t="shared" si="45"/>
        <v>84406335.6042483</v>
      </c>
      <c r="Y67" s="1290">
        <f t="shared" si="45"/>
        <v>88357270.462319493</v>
      </c>
      <c r="Z67" s="1290">
        <f t="shared" si="45"/>
        <v>92452998.103541583</v>
      </c>
      <c r="AA67" s="1290">
        <f t="shared" si="45"/>
        <v>96698288.83278583</v>
      </c>
      <c r="AB67" s="1290">
        <f t="shared" si="45"/>
        <v>101098060.97467758</v>
      </c>
      <c r="AC67" s="1290">
        <f t="shared" si="45"/>
        <v>105657385.29314342</v>
      </c>
      <c r="AD67" s="1290">
        <f t="shared" si="45"/>
        <v>110381489.53942338</v>
      </c>
      <c r="AE67" s="1290">
        <f t="shared" si="45"/>
        <v>115275763.13220912</v>
      </c>
    </row>
    <row r="68" spans="1:31" x14ac:dyDescent="0.35">
      <c r="A68" s="736" t="s">
        <v>855</v>
      </c>
      <c r="B68" s="1290">
        <f t="shared" si="43"/>
        <v>66968310.846420184</v>
      </c>
      <c r="C68" s="1290">
        <f t="shared" si="43"/>
        <v>71388219.362283915</v>
      </c>
      <c r="D68" s="1290">
        <f t="shared" ref="D68:AE68" si="46">D17*D58</f>
        <v>75987268.109661803</v>
      </c>
      <c r="E68" s="1290">
        <f t="shared" si="46"/>
        <v>80771651.657307178</v>
      </c>
      <c r="F68" s="1290">
        <f t="shared" si="46"/>
        <v>85747762.339766279</v>
      </c>
      <c r="G68" s="1290">
        <f t="shared" si="46"/>
        <v>90922196.274062514</v>
      </c>
      <c r="H68" s="1290">
        <f t="shared" si="46"/>
        <v>96301759.553611219</v>
      </c>
      <c r="I68" s="1290">
        <f t="shared" si="46"/>
        <v>101893474.62446605</v>
      </c>
      <c r="J68" s="1290">
        <f t="shared" si="46"/>
        <v>107704586.84914263</v>
      </c>
      <c r="K68" s="1290">
        <f t="shared" si="46"/>
        <v>113742571.2634127</v>
      </c>
      <c r="L68" s="1290">
        <f t="shared" si="46"/>
        <v>120015139.53161561</v>
      </c>
      <c r="M68" s="1290">
        <f t="shared" si="46"/>
        <v>126530247.10618903</v>
      </c>
      <c r="N68" s="1290">
        <f t="shared" si="46"/>
        <v>133296100.59728381</v>
      </c>
      <c r="O68" s="1290">
        <f t="shared" si="46"/>
        <v>140321165.35849202</v>
      </c>
      <c r="P68" s="1290">
        <f t="shared" si="46"/>
        <v>147614173.29488733</v>
      </c>
      <c r="Q68" s="1290">
        <f t="shared" si="46"/>
        <v>155184130.8997533</v>
      </c>
      <c r="R68" s="1290">
        <f t="shared" si="46"/>
        <v>163040327.5265533</v>
      </c>
      <c r="S68" s="1290">
        <f t="shared" si="46"/>
        <v>171192343.90288097</v>
      </c>
      <c r="T68" s="1290">
        <f t="shared" si="46"/>
        <v>179650060.89332086</v>
      </c>
      <c r="U68" s="1290">
        <f t="shared" si="46"/>
        <v>188423668.51834351</v>
      </c>
      <c r="V68" s="1290">
        <f t="shared" si="46"/>
        <v>197523675.23655894</v>
      </c>
      <c r="W68" s="1290">
        <f t="shared" si="46"/>
        <v>206960917.49786118</v>
      </c>
      <c r="X68" s="1290">
        <f t="shared" si="46"/>
        <v>216746569.57520568</v>
      </c>
      <c r="Y68" s="1290">
        <f t="shared" si="46"/>
        <v>226892153.68298122</v>
      </c>
      <c r="Z68" s="1290">
        <f t="shared" si="46"/>
        <v>237409550.39016107</v>
      </c>
      <c r="AA68" s="1290">
        <f t="shared" si="46"/>
        <v>248311009.33664805</v>
      </c>
      <c r="AB68" s="1290">
        <f t="shared" si="46"/>
        <v>259609160.26146552</v>
      </c>
      <c r="AC68" s="1290">
        <f t="shared" si="46"/>
        <v>271317024.35168839</v>
      </c>
      <c r="AD68" s="1290">
        <f t="shared" si="46"/>
        <v>283448025.92125911</v>
      </c>
      <c r="AE68" s="1290">
        <f t="shared" si="46"/>
        <v>296016004.42908853</v>
      </c>
    </row>
    <row r="69" spans="1:31" x14ac:dyDescent="0.35">
      <c r="A69" s="736" t="s">
        <v>856</v>
      </c>
      <c r="B69" s="1290">
        <f t="shared" si="43"/>
        <v>70737647.693719238</v>
      </c>
      <c r="C69" s="1290">
        <f t="shared" si="43"/>
        <v>75406332.441504687</v>
      </c>
      <c r="D69" s="1290">
        <f t="shared" ref="D69:AE69" si="47">D18*D59</f>
        <v>80264240.396870852</v>
      </c>
      <c r="E69" s="1290">
        <f t="shared" si="47"/>
        <v>85317914.792229384</v>
      </c>
      <c r="F69" s="1290">
        <f t="shared" si="47"/>
        <v>90574107.757107779</v>
      </c>
      <c r="G69" s="1290">
        <f t="shared" si="47"/>
        <v>96039786.673484966</v>
      </c>
      <c r="H69" s="1290">
        <f t="shared" si="47"/>
        <v>101722140.71833281</v>
      </c>
      <c r="I69" s="1290">
        <f t="shared" si="47"/>
        <v>107628587.59875214</v>
      </c>
      <c r="J69" s="1290">
        <f t="shared" si="47"/>
        <v>113766780.48524345</v>
      </c>
      <c r="K69" s="1290">
        <f t="shared" si="47"/>
        <v>120144615.14881012</v>
      </c>
      <c r="L69" s="1290">
        <f t="shared" si="47"/>
        <v>126770237.30775185</v>
      </c>
      <c r="M69" s="1290">
        <f t="shared" si="47"/>
        <v>133652050.19017264</v>
      </c>
      <c r="N69" s="1290">
        <f t="shared" si="47"/>
        <v>140798722.31839713</v>
      </c>
      <c r="O69" s="1290">
        <f t="shared" si="47"/>
        <v>148219195.52166402</v>
      </c>
      <c r="P69" s="1290">
        <f t="shared" si="47"/>
        <v>155922693.18364522</v>
      </c>
      <c r="Q69" s="1290">
        <f t="shared" si="47"/>
        <v>163918728.73152447</v>
      </c>
      <c r="R69" s="1290">
        <f t="shared" si="47"/>
        <v>172217114.37355787</v>
      </c>
      <c r="S69" s="1290">
        <f t="shared" si="47"/>
        <v>180827970.09223574</v>
      </c>
      <c r="T69" s="1290">
        <f t="shared" si="47"/>
        <v>189761732.90036404</v>
      </c>
      <c r="U69" s="1290">
        <f t="shared" si="47"/>
        <v>199029166.36759108</v>
      </c>
      <c r="V69" s="1290">
        <f t="shared" si="47"/>
        <v>208641370.42511678</v>
      </c>
      <c r="W69" s="1290">
        <f t="shared" si="47"/>
        <v>218609791.45653901</v>
      </c>
      <c r="X69" s="1290">
        <f t="shared" si="47"/>
        <v>228946232.68301666</v>
      </c>
      <c r="Y69" s="1290">
        <f t="shared" si="47"/>
        <v>239662864.85115784</v>
      </c>
      <c r="Z69" s="1290">
        <f t="shared" si="47"/>
        <v>250772237.23227918</v>
      </c>
      <c r="AA69" s="1290">
        <f t="shared" si="47"/>
        <v>262287288.9419246</v>
      </c>
      <c r="AB69" s="1290">
        <f t="shared" si="47"/>
        <v>274221360.58878219</v>
      </c>
      <c r="AC69" s="1290">
        <f t="shared" si="47"/>
        <v>286588206.26239389</v>
      </c>
      <c r="AD69" s="1290">
        <f t="shared" si="47"/>
        <v>299402005.86931819</v>
      </c>
      <c r="AE69" s="1290">
        <f t="shared" si="47"/>
        <v>312677377.82767475</v>
      </c>
    </row>
    <row r="70" spans="1:31" x14ac:dyDescent="0.35">
      <c r="A70" s="736" t="s">
        <v>857</v>
      </c>
      <c r="B70" s="1290">
        <f t="shared" si="43"/>
        <v>36317661.400973439</v>
      </c>
      <c r="C70" s="1290">
        <f t="shared" si="43"/>
        <v>38714627.05343768</v>
      </c>
      <c r="D70" s="1290">
        <f t="shared" ref="D70:AE70" si="48">D19*D60</f>
        <v>41208742.450149529</v>
      </c>
      <c r="E70" s="1290">
        <f t="shared" si="48"/>
        <v>43803366.974788569</v>
      </c>
      <c r="F70" s="1290">
        <f t="shared" si="48"/>
        <v>46501967.261628225</v>
      </c>
      <c r="G70" s="1290">
        <f t="shared" si="48"/>
        <v>49308120.458450615</v>
      </c>
      <c r="H70" s="1290">
        <f t="shared" si="48"/>
        <v>52225517.58557561</v>
      </c>
      <c r="I70" s="1290">
        <f t="shared" si="48"/>
        <v>55257966.993770316</v>
      </c>
      <c r="J70" s="1290">
        <f t="shared" si="48"/>
        <v>58409397.923883781</v>
      </c>
      <c r="K70" s="1290">
        <f t="shared" si="48"/>
        <v>61683864.171131805</v>
      </c>
      <c r="L70" s="1290">
        <f t="shared" si="48"/>
        <v>65085547.857039809</v>
      </c>
      <c r="M70" s="1290">
        <f t="shared" si="48"/>
        <v>68618763.312136248</v>
      </c>
      <c r="N70" s="1290">
        <f t="shared" si="48"/>
        <v>72287961.072576866</v>
      </c>
      <c r="O70" s="1290">
        <f t="shared" si="48"/>
        <v>76097731.993969426</v>
      </c>
      <c r="P70" s="1290">
        <f t="shared" si="48"/>
        <v>80052811.485761255</v>
      </c>
      <c r="Q70" s="1290">
        <f t="shared" si="48"/>
        <v>84158083.86964643</v>
      </c>
      <c r="R70" s="1290">
        <f t="shared" si="48"/>
        <v>88418586.86554727</v>
      </c>
      <c r="S70" s="1290">
        <f t="shared" si="48"/>
        <v>92839516.20882462</v>
      </c>
      <c r="T70" s="1290">
        <f t="shared" si="48"/>
        <v>97426230.40247488</v>
      </c>
      <c r="U70" s="1290">
        <f t="shared" si="48"/>
        <v>102184255.60817713</v>
      </c>
      <c r="V70" s="1290">
        <f t="shared" si="48"/>
        <v>107119290.68016294</v>
      </c>
      <c r="W70" s="1290">
        <f t="shared" si="48"/>
        <v>112237212.34599294</v>
      </c>
      <c r="X70" s="1290">
        <f t="shared" si="48"/>
        <v>117544080.53843933</v>
      </c>
      <c r="Y70" s="1290">
        <f t="shared" si="48"/>
        <v>123046143.88279179</v>
      </c>
      <c r="Z70" s="1290">
        <f t="shared" si="48"/>
        <v>128749845.34402536</v>
      </c>
      <c r="AA70" s="1290">
        <f t="shared" si="48"/>
        <v>134661828.03839386</v>
      </c>
      <c r="AB70" s="1290">
        <f t="shared" si="48"/>
        <v>140788941.21414077</v>
      </c>
      <c r="AC70" s="1290">
        <f t="shared" si="48"/>
        <v>147138246.40615103</v>
      </c>
      <c r="AD70" s="1290">
        <f t="shared" si="48"/>
        <v>153717023.76950297</v>
      </c>
      <c r="AE70" s="1290">
        <f t="shared" si="48"/>
        <v>160532778.59701866</v>
      </c>
    </row>
    <row r="71" spans="1:31" x14ac:dyDescent="0.35">
      <c r="A71" s="736" t="s">
        <v>6</v>
      </c>
      <c r="B71" s="1290">
        <f t="shared" si="43"/>
        <v>17334672.951876387</v>
      </c>
      <c r="C71" s="1290">
        <f t="shared" si="43"/>
        <v>18478761.366700228</v>
      </c>
      <c r="D71" s="1290">
        <f t="shared" ref="D71:AE71" si="49">D20*D61</f>
        <v>19669220.031670339</v>
      </c>
      <c r="E71" s="1290">
        <f t="shared" si="49"/>
        <v>20907652.404034764</v>
      </c>
      <c r="F71" s="1290">
        <f t="shared" si="49"/>
        <v>22195713.13249762</v>
      </c>
      <c r="G71" s="1290">
        <f t="shared" si="49"/>
        <v>23535109.614631094</v>
      </c>
      <c r="H71" s="1290">
        <f t="shared" si="49"/>
        <v>24927603.60016343</v>
      </c>
      <c r="I71" s="1290">
        <f t="shared" si="49"/>
        <v>26375012.841463242</v>
      </c>
      <c r="J71" s="1290">
        <f t="shared" si="49"/>
        <v>27879212.792577941</v>
      </c>
      <c r="K71" s="1290">
        <f t="shared" si="49"/>
        <v>29442138.358222459</v>
      </c>
      <c r="L71" s="1290">
        <f t="shared" si="49"/>
        <v>31065785.694153845</v>
      </c>
      <c r="M71" s="1290">
        <f t="shared" si="49"/>
        <v>32752214.06040791</v>
      </c>
      <c r="N71" s="1290">
        <f t="shared" si="49"/>
        <v>34503547.728915825</v>
      </c>
      <c r="O71" s="1290">
        <f t="shared" si="49"/>
        <v>36321977.94706139</v>
      </c>
      <c r="P71" s="1290">
        <f t="shared" si="49"/>
        <v>38209764.958783656</v>
      </c>
      <c r="Q71" s="1290">
        <f t="shared" si="49"/>
        <v>40169240.084875122</v>
      </c>
      <c r="R71" s="1290">
        <f t="shared" si="49"/>
        <v>42202807.864171922</v>
      </c>
      <c r="S71" s="1290">
        <f t="shared" si="49"/>
        <v>44312948.257380515</v>
      </c>
      <c r="T71" s="1290">
        <f t="shared" si="49"/>
        <v>46502218.915334433</v>
      </c>
      <c r="U71" s="1290">
        <f t="shared" si="49"/>
        <v>48773257.513525181</v>
      </c>
      <c r="V71" s="1290">
        <f t="shared" si="49"/>
        <v>51128784.15480338</v>
      </c>
      <c r="W71" s="1290">
        <f t="shared" si="49"/>
        <v>53571603.842199542</v>
      </c>
      <c r="X71" s="1290">
        <f t="shared" si="49"/>
        <v>56104609.023868747</v>
      </c>
      <c r="Y71" s="1290">
        <f t="shared" si="49"/>
        <v>58730782.21222005</v>
      </c>
      <c r="Z71" s="1290">
        <f t="shared" si="49"/>
        <v>61453198.67934899</v>
      </c>
      <c r="AA71" s="1290">
        <f t="shared" si="49"/>
        <v>64275029.230951741</v>
      </c>
      <c r="AB71" s="1290">
        <f t="shared" si="49"/>
        <v>67199543.060960039</v>
      </c>
      <c r="AC71" s="1290">
        <f t="shared" si="49"/>
        <v>70230110.689199418</v>
      </c>
      <c r="AD71" s="1290">
        <f t="shared" si="49"/>
        <v>73370206.984437659</v>
      </c>
      <c r="AE71" s="1290">
        <f t="shared" si="49"/>
        <v>76623414.275257051</v>
      </c>
    </row>
    <row r="72" spans="1:31" x14ac:dyDescent="0.35">
      <c r="A72" s="736" t="s">
        <v>0</v>
      </c>
      <c r="B72" s="1291">
        <f>SUM(B65:B71)</f>
        <v>326746790.19783509</v>
      </c>
      <c r="C72" s="1291">
        <f t="shared" ref="C72:AC72" si="50">SUM(C65:C71)</f>
        <v>348312078.35089225</v>
      </c>
      <c r="D72" s="1291">
        <f t="shared" si="50"/>
        <v>370751414.16772848</v>
      </c>
      <c r="E72" s="1291">
        <f t="shared" si="50"/>
        <v>394095021.72643721</v>
      </c>
      <c r="F72" s="1291">
        <f t="shared" si="50"/>
        <v>418374090.02922666</v>
      </c>
      <c r="G72" s="1291">
        <f t="shared" si="50"/>
        <v>443620802.3585766</v>
      </c>
      <c r="H72" s="1291">
        <f t="shared" si="50"/>
        <v>469868366.49812567</v>
      </c>
      <c r="I72" s="1291">
        <f t="shared" si="50"/>
        <v>497151045.84317803</v>
      </c>
      <c r="J72" s="1291">
        <f t="shared" si="50"/>
        <v>525504191.4264217</v>
      </c>
      <c r="K72" s="1291">
        <f t="shared" si="50"/>
        <v>554964274.88517559</v>
      </c>
      <c r="L72" s="1291">
        <f t="shared" si="50"/>
        <v>585568922.39722562</v>
      </c>
      <c r="M72" s="1291">
        <f t="shared" si="50"/>
        <v>617356949.61307502</v>
      </c>
      <c r="N72" s="1291">
        <f t="shared" si="50"/>
        <v>650368397.61321855</v>
      </c>
      <c r="O72" s="1291">
        <f t="shared" si="50"/>
        <v>684644569.9198612</v>
      </c>
      <c r="P72" s="1291">
        <f t="shared" si="50"/>
        <v>720228070.59332752</v>
      </c>
      <c r="Q72" s="1291">
        <f t="shared" si="50"/>
        <v>757162843.44426739</v>
      </c>
      <c r="R72" s="1291">
        <f t="shared" si="50"/>
        <v>795494212.39363337</v>
      </c>
      <c r="S72" s="1291">
        <f t="shared" si="50"/>
        <v>835268923.01331484</v>
      </c>
      <c r="T72" s="1291">
        <f t="shared" si="50"/>
        <v>876535185.28123462</v>
      </c>
      <c r="U72" s="1291">
        <f t="shared" si="50"/>
        <v>919342717.58566678</v>
      </c>
      <c r="V72" s="1291">
        <f t="shared" si="50"/>
        <v>963742792.01451993</v>
      </c>
      <c r="W72" s="1291">
        <f t="shared" si="50"/>
        <v>1009788280.9663247</v>
      </c>
      <c r="X72" s="1291">
        <f t="shared" si="50"/>
        <v>1057533705.1207106</v>
      </c>
      <c r="Y72" s="1291">
        <f t="shared" si="50"/>
        <v>1107035282.8072116</v>
      </c>
      <c r="Z72" s="1291">
        <f t="shared" si="50"/>
        <v>1158350980.8123376</v>
      </c>
      <c r="AA72" s="1291">
        <f t="shared" si="50"/>
        <v>1211540566.6659653</v>
      </c>
      <c r="AB72" s="1291">
        <f t="shared" si="50"/>
        <v>1266665662.4492667</v>
      </c>
      <c r="AC72" s="1291">
        <f t="shared" si="50"/>
        <v>1323789800.1675668</v>
      </c>
      <c r="AD72" s="1291">
        <f>SUM(AD65:AD71)</f>
        <v>1382978478.7327511</v>
      </c>
      <c r="AE72" s="1291">
        <f>SUM(AE65:AE71)</f>
        <v>1444299222.60109</v>
      </c>
    </row>
    <row r="74" spans="1:31" s="198" customFormat="1" x14ac:dyDescent="0.35">
      <c r="A74" s="1334" t="s">
        <v>850</v>
      </c>
      <c r="B74" s="1334">
        <v>2025</v>
      </c>
      <c r="C74" s="1334">
        <v>2026</v>
      </c>
      <c r="D74" s="1334">
        <v>2027</v>
      </c>
      <c r="E74" s="1334">
        <v>2028</v>
      </c>
      <c r="F74" s="1334">
        <v>2029</v>
      </c>
      <c r="G74" s="1334">
        <v>2030</v>
      </c>
      <c r="H74" s="1334">
        <v>2031</v>
      </c>
      <c r="I74" s="1334">
        <v>2032</v>
      </c>
      <c r="J74" s="1334">
        <v>2033</v>
      </c>
      <c r="K74" s="1334">
        <v>2034</v>
      </c>
      <c r="L74" s="1334">
        <v>2035</v>
      </c>
      <c r="M74" s="1334">
        <v>2036</v>
      </c>
      <c r="N74" s="1334">
        <v>2037</v>
      </c>
      <c r="O74" s="1334">
        <v>2038</v>
      </c>
      <c r="P74" s="1334">
        <v>2039</v>
      </c>
      <c r="Q74" s="1334">
        <v>2040</v>
      </c>
      <c r="R74" s="1334">
        <v>2041</v>
      </c>
      <c r="S74" s="1334">
        <v>2042</v>
      </c>
      <c r="T74" s="1334">
        <v>2043</v>
      </c>
      <c r="U74" s="1334">
        <v>2044</v>
      </c>
      <c r="V74" s="1334">
        <v>2045</v>
      </c>
      <c r="W74" s="1334">
        <v>2046</v>
      </c>
      <c r="X74" s="1334">
        <v>2047</v>
      </c>
      <c r="Y74" s="1334">
        <v>2048</v>
      </c>
      <c r="Z74" s="1334">
        <v>2049</v>
      </c>
      <c r="AA74" s="1334">
        <v>2050</v>
      </c>
      <c r="AB74" s="1334">
        <v>2051</v>
      </c>
      <c r="AC74" s="1334">
        <v>2052</v>
      </c>
      <c r="AD74" s="1334">
        <v>2053</v>
      </c>
      <c r="AE74" s="1334">
        <v>2054</v>
      </c>
    </row>
    <row r="75" spans="1:31" x14ac:dyDescent="0.35">
      <c r="A75" s="736" t="s">
        <v>852</v>
      </c>
      <c r="B75" s="1290">
        <f>B24*B55</f>
        <v>90105186.948803514</v>
      </c>
      <c r="C75" s="1290">
        <f t="shared" ref="C75:H75" si="51">C24*C55</f>
        <v>93170930.318362847</v>
      </c>
      <c r="D75" s="1290">
        <f t="shared" si="51"/>
        <v>96333645.114557162</v>
      </c>
      <c r="E75" s="1290">
        <f t="shared" si="51"/>
        <v>99596263.819112211</v>
      </c>
      <c r="F75" s="1290">
        <f t="shared" si="51"/>
        <v>102961804.93069842</v>
      </c>
      <c r="G75" s="1290">
        <f t="shared" si="51"/>
        <v>106433375.43297699</v>
      </c>
      <c r="H75" s="1290">
        <f t="shared" si="51"/>
        <v>110014173.33228779</v>
      </c>
      <c r="I75" s="1290">
        <f t="shared" ref="I75:AE75" si="52">I24*I55</f>
        <v>113707490.26691854</v>
      </c>
      <c r="J75" s="1290">
        <f t="shared" si="52"/>
        <v>117516714.18994813</v>
      </c>
      <c r="K75" s="1290">
        <f t="shared" si="52"/>
        <v>121445332.12771238</v>
      </c>
      <c r="L75" s="1290">
        <f t="shared" si="52"/>
        <v>125496933.01599613</v>
      </c>
      <c r="M75" s="1290">
        <f t="shared" si="52"/>
        <v>129675210.61611424</v>
      </c>
      <c r="N75" s="1290">
        <f t="shared" si="52"/>
        <v>133983966.51310326</v>
      </c>
      <c r="O75" s="1290">
        <f t="shared" si="52"/>
        <v>138427113.19830665</v>
      </c>
      <c r="P75" s="1290">
        <f t="shared" si="52"/>
        <v>143008677.23869956</v>
      </c>
      <c r="Q75" s="1290">
        <f t="shared" si="52"/>
        <v>147732802.53536314</v>
      </c>
      <c r="R75" s="1290">
        <f t="shared" si="52"/>
        <v>152603753.67358574</v>
      </c>
      <c r="S75" s="1290">
        <f t="shared" si="52"/>
        <v>157625919.36713484</v>
      </c>
      <c r="T75" s="1290">
        <f t="shared" si="52"/>
        <v>162803815.99931541</v>
      </c>
      <c r="U75" s="1290">
        <f t="shared" si="52"/>
        <v>168142091.26350054</v>
      </c>
      <c r="V75" s="1290">
        <f t="shared" si="52"/>
        <v>173645527.90589535</v>
      </c>
      <c r="W75" s="1290">
        <f t="shared" si="52"/>
        <v>179319047.57337022</v>
      </c>
      <c r="X75" s="1290">
        <f t="shared" si="52"/>
        <v>185167714.76927763</v>
      </c>
      <c r="Y75" s="1290">
        <f t="shared" si="52"/>
        <v>191196740.92024711</v>
      </c>
      <c r="Z75" s="1290">
        <f t="shared" si="52"/>
        <v>197411488.55703422</v>
      </c>
      <c r="AA75" s="1290">
        <f t="shared" si="52"/>
        <v>203817475.61258554</v>
      </c>
      <c r="AB75" s="1290">
        <f t="shared" si="52"/>
        <v>210420379.84056628</v>
      </c>
      <c r="AC75" s="1290">
        <f t="shared" si="52"/>
        <v>217226043.35768816</v>
      </c>
      <c r="AD75" s="1290">
        <f t="shared" si="52"/>
        <v>224240477.3132658</v>
      </c>
      <c r="AE75" s="1290">
        <f t="shared" si="52"/>
        <v>231469866.68952379</v>
      </c>
    </row>
    <row r="76" spans="1:31" x14ac:dyDescent="0.35">
      <c r="A76" s="736" t="s">
        <v>853</v>
      </c>
      <c r="B76" s="1290">
        <f t="shared" ref="B76:H81" si="53">B25*B56</f>
        <v>68897527.550391346</v>
      </c>
      <c r="C76" s="1290">
        <f t="shared" si="53"/>
        <v>72277711.41377908</v>
      </c>
      <c r="D76" s="1290">
        <f t="shared" si="53"/>
        <v>75783843.515617207</v>
      </c>
      <c r="E76" s="1290">
        <f t="shared" si="53"/>
        <v>79420108.65291363</v>
      </c>
      <c r="F76" s="1290">
        <f t="shared" si="53"/>
        <v>83190822.144877613</v>
      </c>
      <c r="G76" s="1290">
        <f t="shared" si="53"/>
        <v>87100433.743531719</v>
      </c>
      <c r="H76" s="1290">
        <f t="shared" si="53"/>
        <v>91153531.658277988</v>
      </c>
      <c r="I76" s="1290">
        <f t="shared" ref="I76:AE76" si="54">I25*I56</f>
        <v>95354846.697671875</v>
      </c>
      <c r="J76" s="1290">
        <f t="shared" si="54"/>
        <v>99709256.531749025</v>
      </c>
      <c r="K76" s="1290">
        <f t="shared" si="54"/>
        <v>104221790.07834397</v>
      </c>
      <c r="L76" s="1290">
        <f t="shared" si="54"/>
        <v>108897632.01693635</v>
      </c>
      <c r="M76" s="1290">
        <f t="shared" si="54"/>
        <v>113742127.43365934</v>
      </c>
      <c r="N76" s="1290">
        <f t="shared" si="54"/>
        <v>118760786.60120793</v>
      </c>
      <c r="O76" s="1290">
        <f t="shared" si="54"/>
        <v>123959289.89748789</v>
      </c>
      <c r="P76" s="1290">
        <f t="shared" si="54"/>
        <v>129343492.86695611</v>
      </c>
      <c r="Q76" s="1290">
        <f t="shared" si="54"/>
        <v>134919431.4287118</v>
      </c>
      <c r="R76" s="1290">
        <f t="shared" si="54"/>
        <v>140693327.23551345</v>
      </c>
      <c r="S76" s="1290">
        <f t="shared" si="54"/>
        <v>146671593.18801221</v>
      </c>
      <c r="T76" s="1290">
        <f t="shared" si="54"/>
        <v>152860839.1086137</v>
      </c>
      <c r="U76" s="1290">
        <f t="shared" si="54"/>
        <v>159267877.57950279</v>
      </c>
      <c r="V76" s="1290">
        <f t="shared" si="54"/>
        <v>165899729.94949344</v>
      </c>
      <c r="W76" s="1290">
        <f t="shared" si="54"/>
        <v>172763632.51449642</v>
      </c>
      <c r="X76" s="1290">
        <f t="shared" si="54"/>
        <v>179867042.87653109</v>
      </c>
      <c r="Y76" s="1290">
        <f t="shared" si="54"/>
        <v>187217646.48634601</v>
      </c>
      <c r="Z76" s="1290">
        <f t="shared" si="54"/>
        <v>194823363.37485379</v>
      </c>
      <c r="AA76" s="1290">
        <f t="shared" si="54"/>
        <v>202692355.078733</v>
      </c>
      <c r="AB76" s="1290">
        <f t="shared" si="54"/>
        <v>210833031.76569685</v>
      </c>
      <c r="AC76" s="1290">
        <f t="shared" si="54"/>
        <v>219254059.56508473</v>
      </c>
      <c r="AD76" s="1290">
        <f t="shared" si="54"/>
        <v>227964368.10958844</v>
      </c>
      <c r="AE76" s="1290">
        <f t="shared" si="54"/>
        <v>236973158.29408914</v>
      </c>
    </row>
    <row r="77" spans="1:31" x14ac:dyDescent="0.35">
      <c r="A77" s="736" t="s">
        <v>854</v>
      </c>
      <c r="B77" s="1290">
        <f t="shared" si="53"/>
        <v>15241769.626913967</v>
      </c>
      <c r="C77" s="1290">
        <f t="shared" si="53"/>
        <v>15563411.533489525</v>
      </c>
      <c r="D77" s="1290">
        <f t="shared" si="53"/>
        <v>15891609.429377044</v>
      </c>
      <c r="E77" s="1290">
        <f t="shared" si="53"/>
        <v>16226490.087850504</v>
      </c>
      <c r="F77" s="1290">
        <f t="shared" si="53"/>
        <v>16568182.523354275</v>
      </c>
      <c r="G77" s="1290">
        <f t="shared" si="53"/>
        <v>16916818.024328332</v>
      </c>
      <c r="H77" s="1290">
        <f t="shared" si="53"/>
        <v>17272530.186273996</v>
      </c>
      <c r="I77" s="1290">
        <f t="shared" ref="I77:AE77" si="55">I26*I57</f>
        <v>17635454.945051733</v>
      </c>
      <c r="J77" s="1290">
        <f t="shared" si="55"/>
        <v>18005730.61040194</v>
      </c>
      <c r="K77" s="1290">
        <f t="shared" si="55"/>
        <v>18383497.899679001</v>
      </c>
      <c r="L77" s="1290">
        <f t="shared" si="55"/>
        <v>18768899.97178841</v>
      </c>
      <c r="M77" s="1290">
        <f t="shared" si="55"/>
        <v>19162082.461315993</v>
      </c>
      <c r="N77" s="1290">
        <f t="shared" si="55"/>
        <v>19563193.512837585</v>
      </c>
      <c r="O77" s="1290">
        <f t="shared" si="55"/>
        <v>19972383.815396935</v>
      </c>
      <c r="P77" s="1290">
        <f t="shared" si="55"/>
        <v>20389806.637138728</v>
      </c>
      <c r="Q77" s="1290">
        <f t="shared" si="55"/>
        <v>20815617.860082991</v>
      </c>
      <c r="R77" s="1290">
        <f t="shared" si="55"/>
        <v>21249976.015026253</v>
      </c>
      <c r="S77" s="1290">
        <f t="shared" si="55"/>
        <v>21693042.316554125</v>
      </c>
      <c r="T77" s="1290">
        <f t="shared" si="55"/>
        <v>22144980.698149003</v>
      </c>
      <c r="U77" s="1290">
        <f t="shared" si="55"/>
        <v>22605957.847375773</v>
      </c>
      <c r="V77" s="1290">
        <f t="shared" si="55"/>
        <v>23076143.241127543</v>
      </c>
      <c r="W77" s="1290">
        <f t="shared" si="55"/>
        <v>23555709.18091229</v>
      </c>
      <c r="X77" s="1290">
        <f t="shared" si="55"/>
        <v>24044830.828160565</v>
      </c>
      <c r="Y77" s="1290">
        <f t="shared" si="55"/>
        <v>24543686.239533193</v>
      </c>
      <c r="Z77" s="1290">
        <f t="shared" si="55"/>
        <v>25052456.402206849</v>
      </c>
      <c r="AA77" s="1290">
        <f t="shared" si="55"/>
        <v>25571325.269114476</v>
      </c>
      <c r="AB77" s="1290">
        <f t="shared" si="55"/>
        <v>26100479.794116106</v>
      </c>
      <c r="AC77" s="1290">
        <f t="shared" si="55"/>
        <v>26640109.967074621</v>
      </c>
      <c r="AD77" s="1290">
        <f t="shared" si="55"/>
        <v>27190408.848809738</v>
      </c>
      <c r="AE77" s="1290">
        <f t="shared" si="55"/>
        <v>27751572.605902195</v>
      </c>
    </row>
    <row r="78" spans="1:31" x14ac:dyDescent="0.35">
      <c r="A78" s="736" t="s">
        <v>855</v>
      </c>
      <c r="B78" s="1290">
        <f t="shared" si="53"/>
        <v>81392254.721033767</v>
      </c>
      <c r="C78" s="1290">
        <f t="shared" si="53"/>
        <v>85750346.334577724</v>
      </c>
      <c r="D78" s="1290">
        <f t="shared" si="53"/>
        <v>90275472.369598225</v>
      </c>
      <c r="E78" s="1290">
        <f t="shared" si="53"/>
        <v>94973260.739910632</v>
      </c>
      <c r="F78" s="1290">
        <f t="shared" si="53"/>
        <v>99849516.358507693</v>
      </c>
      <c r="G78" s="1290">
        <f t="shared" si="53"/>
        <v>104910226.47007214</v>
      </c>
      <c r="H78" s="1290">
        <f t="shared" si="53"/>
        <v>110161566.13949074</v>
      </c>
      <c r="I78" s="1290">
        <f t="shared" ref="I78:AE78" si="56">I27*I58</f>
        <v>115609903.9008365</v>
      </c>
      <c r="J78" s="1290">
        <f t="shared" si="56"/>
        <v>121261807.57141232</v>
      </c>
      <c r="K78" s="1290">
        <f t="shared" si="56"/>
        <v>127124050.23557891</v>
      </c>
      <c r="L78" s="1290">
        <f t="shared" si="56"/>
        <v>133203616.40322171</v>
      </c>
      <c r="M78" s="1290">
        <f t="shared" si="56"/>
        <v>139507708.34784943</v>
      </c>
      <c r="N78" s="1290">
        <f t="shared" si="56"/>
        <v>146043752.62945649</v>
      </c>
      <c r="O78" s="1290">
        <f t="shared" si="56"/>
        <v>152819406.80742651</v>
      </c>
      <c r="P78" s="1290">
        <f t="shared" si="56"/>
        <v>159842566.34890166</v>
      </c>
      <c r="Q78" s="1290">
        <f t="shared" si="56"/>
        <v>167121371.73819587</v>
      </c>
      <c r="R78" s="1290">
        <f t="shared" si="56"/>
        <v>174664215.79298672</v>
      </c>
      <c r="S78" s="1290">
        <f t="shared" si="56"/>
        <v>182479751.1931808</v>
      </c>
      <c r="T78" s="1290">
        <f t="shared" si="56"/>
        <v>190576898.22851393</v>
      </c>
      <c r="U78" s="1290">
        <f t="shared" si="56"/>
        <v>198964852.77111796</v>
      </c>
      <c r="V78" s="1290">
        <f t="shared" si="56"/>
        <v>207653094.4794594</v>
      </c>
      <c r="W78" s="1290">
        <f t="shared" si="56"/>
        <v>216651395.24023595</v>
      </c>
      <c r="X78" s="1290">
        <f t="shared" si="56"/>
        <v>225969827.85500166</v>
      </c>
      <c r="Y78" s="1290">
        <f t="shared" si="56"/>
        <v>235618774.97848052</v>
      </c>
      <c r="Z78" s="1290">
        <f t="shared" si="56"/>
        <v>245608938.31572396</v>
      </c>
      <c r="AA78" s="1290">
        <f t="shared" si="56"/>
        <v>255951348.08546796</v>
      </c>
      <c r="AB78" s="1290">
        <f t="shared" si="56"/>
        <v>266657372.75725192</v>
      </c>
      <c r="AC78" s="1290">
        <f t="shared" si="56"/>
        <v>277738729.07007158</v>
      </c>
      <c r="AD78" s="1290">
        <f t="shared" si="56"/>
        <v>289207492.34055901</v>
      </c>
      <c r="AE78" s="1290">
        <f t="shared" si="56"/>
        <v>301076107.06890202</v>
      </c>
    </row>
    <row r="79" spans="1:31" x14ac:dyDescent="0.35">
      <c r="A79" s="736" t="s">
        <v>856</v>
      </c>
      <c r="B79" s="1290">
        <f t="shared" si="53"/>
        <v>308946676.30231875</v>
      </c>
      <c r="C79" s="1290">
        <f t="shared" si="53"/>
        <v>324464747.76512837</v>
      </c>
      <c r="D79" s="1290">
        <f t="shared" si="53"/>
        <v>340565631.12838954</v>
      </c>
      <c r="E79" s="1290">
        <f t="shared" si="53"/>
        <v>357268768.19246054</v>
      </c>
      <c r="F79" s="1290">
        <f t="shared" si="53"/>
        <v>374594208.59027982</v>
      </c>
      <c r="G79" s="1290">
        <f t="shared" si="53"/>
        <v>392562628.02786982</v>
      </c>
      <c r="H79" s="1290">
        <f t="shared" si="53"/>
        <v>411195347.05697042</v>
      </c>
      <c r="I79" s="1290">
        <f t="shared" ref="I79:AE79" si="57">I28*I59</f>
        <v>430514350.39500856</v>
      </c>
      <c r="J79" s="1290">
        <f t="shared" si="57"/>
        <v>450542306.808038</v>
      </c>
      <c r="K79" s="1290">
        <f t="shared" si="57"/>
        <v>471302589.57272208</v>
      </c>
      <c r="L79" s="1290">
        <f t="shared" si="57"/>
        <v>492819297.53388536</v>
      </c>
      <c r="M79" s="1290">
        <f t="shared" si="57"/>
        <v>515117276.77462375</v>
      </c>
      <c r="N79" s="1290">
        <f t="shared" si="57"/>
        <v>538222142.91644049</v>
      </c>
      <c r="O79" s="1290">
        <f t="shared" si="57"/>
        <v>562160304.06736398</v>
      </c>
      <c r="P79" s="1290">
        <f t="shared" si="57"/>
        <v>586958984.43651068</v>
      </c>
      <c r="Q79" s="1290">
        <f t="shared" si="57"/>
        <v>612646248.63407278</v>
      </c>
      <c r="R79" s="1290">
        <f t="shared" si="57"/>
        <v>639251026.67624009</v>
      </c>
      <c r="S79" s="1290">
        <f t="shared" si="57"/>
        <v>666803139.71511936</v>
      </c>
      <c r="T79" s="1290">
        <f t="shared" si="57"/>
        <v>695333326.51427007</v>
      </c>
      <c r="U79" s="1290">
        <f t="shared" si="57"/>
        <v>724873270.69105625</v>
      </c>
      <c r="V79" s="1290">
        <f t="shared" si="57"/>
        <v>755455628.74761033</v>
      </c>
      <c r="W79" s="1290">
        <f t="shared" si="57"/>
        <v>787114058.91281033</v>
      </c>
      <c r="X79" s="1290">
        <f t="shared" si="57"/>
        <v>819883250.81830311</v>
      </c>
      <c r="Y79" s="1290">
        <f t="shared" si="57"/>
        <v>853798956.03224981</v>
      </c>
      <c r="Z79" s="1290">
        <f t="shared" si="57"/>
        <v>888898019.47513247</v>
      </c>
      <c r="AA79" s="1290">
        <f t="shared" si="57"/>
        <v>925218411.7426393</v>
      </c>
      <c r="AB79" s="1290">
        <f t="shared" si="57"/>
        <v>962799262.36134923</v>
      </c>
      <c r="AC79" s="1290">
        <f t="shared" si="57"/>
        <v>1001680894.0036557</v>
      </c>
      <c r="AD79" s="1290">
        <f t="shared" si="57"/>
        <v>1041904857.6891017</v>
      </c>
      <c r="AE79" s="1290">
        <f t="shared" si="57"/>
        <v>1083513969.0000675</v>
      </c>
    </row>
    <row r="80" spans="1:31" x14ac:dyDescent="0.35">
      <c r="A80" s="736" t="s">
        <v>857</v>
      </c>
      <c r="B80" s="1290">
        <f t="shared" si="53"/>
        <v>182556777.97555983</v>
      </c>
      <c r="C80" s="1290">
        <f t="shared" si="53"/>
        <v>191587769.77726853</v>
      </c>
      <c r="D80" s="1290">
        <f t="shared" si="53"/>
        <v>200956213.18282795</v>
      </c>
      <c r="E80" s="1290">
        <f t="shared" si="53"/>
        <v>210673336.40255454</v>
      </c>
      <c r="F80" s="1290">
        <f t="shared" si="53"/>
        <v>220750718.15002823</v>
      </c>
      <c r="G80" s="1290">
        <f t="shared" si="53"/>
        <v>231200298.14962399</v>
      </c>
      <c r="H80" s="1290">
        <f t="shared" si="53"/>
        <v>242034387.95035577</v>
      </c>
      <c r="I80" s="1290">
        <f t="shared" ref="I80:AE80" si="58">I29*I60</f>
        <v>253265682.05478063</v>
      </c>
      <c r="J80" s="1290">
        <f t="shared" si="58"/>
        <v>264907269.37195775</v>
      </c>
      <c r="K80" s="1290">
        <f t="shared" si="58"/>
        <v>276972645.0037095</v>
      </c>
      <c r="L80" s="1290">
        <f t="shared" si="58"/>
        <v>289475722.37369132</v>
      </c>
      <c r="M80" s="1290">
        <f t="shared" si="58"/>
        <v>302430845.70904499</v>
      </c>
      <c r="N80" s="1290">
        <f t="shared" si="58"/>
        <v>315852802.88468271</v>
      </c>
      <c r="O80" s="1290">
        <f t="shared" si="58"/>
        <v>329756838.64053422</v>
      </c>
      <c r="P80" s="1290">
        <f t="shared" si="58"/>
        <v>344158668.18237531</v>
      </c>
      <c r="Q80" s="1290">
        <f t="shared" si="58"/>
        <v>359074491.17715812</v>
      </c>
      <c r="R80" s="1290">
        <f t="shared" si="58"/>
        <v>374521006.15406609</v>
      </c>
      <c r="S80" s="1290">
        <f t="shared" si="58"/>
        <v>390515425.32283372</v>
      </c>
      <c r="T80" s="1290">
        <f t="shared" si="58"/>
        <v>407075489.82119352</v>
      </c>
      <c r="U80" s="1290">
        <f t="shared" si="58"/>
        <v>424219485.40364444</v>
      </c>
      <c r="V80" s="1290">
        <f t="shared" si="58"/>
        <v>441966258.58407968</v>
      </c>
      <c r="W80" s="1290">
        <f t="shared" si="58"/>
        <v>460335233.24515945</v>
      </c>
      <c r="X80" s="1290">
        <f t="shared" si="58"/>
        <v>479346427.72767812</v>
      </c>
      <c r="Y80" s="1290">
        <f t="shared" si="58"/>
        <v>499020472.41354448</v>
      </c>
      <c r="Z80" s="1290">
        <f t="shared" si="58"/>
        <v>519378627.81637442</v>
      </c>
      <c r="AA80" s="1290">
        <f t="shared" si="58"/>
        <v>540442803.19408739</v>
      </c>
      <c r="AB80" s="1290">
        <f t="shared" si="58"/>
        <v>562235575.69830072</v>
      </c>
      <c r="AC80" s="1290">
        <f t="shared" si="58"/>
        <v>584780210.07572854</v>
      </c>
      <c r="AD80" s="1290">
        <f t="shared" si="58"/>
        <v>608100678.93721616</v>
      </c>
      <c r="AE80" s="1290">
        <f t="shared" si="58"/>
        <v>632221683.6104809</v>
      </c>
    </row>
    <row r="81" spans="1:31" x14ac:dyDescent="0.35">
      <c r="A81" s="736" t="s">
        <v>6</v>
      </c>
      <c r="B81" s="1290">
        <f t="shared" si="53"/>
        <v>17334672.951876387</v>
      </c>
      <c r="C81" s="1290">
        <f t="shared" si="53"/>
        <v>18478761.366700228</v>
      </c>
      <c r="D81" s="1290">
        <f t="shared" si="53"/>
        <v>19669220.031670339</v>
      </c>
      <c r="E81" s="1290">
        <f t="shared" si="53"/>
        <v>20907652.404034764</v>
      </c>
      <c r="F81" s="1290">
        <f t="shared" si="53"/>
        <v>22195713.13249762</v>
      </c>
      <c r="G81" s="1290">
        <f t="shared" si="53"/>
        <v>23535109.614631094</v>
      </c>
      <c r="H81" s="1290">
        <f t="shared" si="53"/>
        <v>24927603.60016343</v>
      </c>
      <c r="I81" s="1290">
        <f t="shared" ref="I81:AE81" si="59">I30*I61</f>
        <v>26375012.841463242</v>
      </c>
      <c r="J81" s="1290">
        <f t="shared" si="59"/>
        <v>27879212.792577941</v>
      </c>
      <c r="K81" s="1290">
        <f t="shared" si="59"/>
        <v>29442138.358222459</v>
      </c>
      <c r="L81" s="1290">
        <f t="shared" si="59"/>
        <v>31065785.694153845</v>
      </c>
      <c r="M81" s="1290">
        <f t="shared" si="59"/>
        <v>32752214.06040791</v>
      </c>
      <c r="N81" s="1290">
        <f t="shared" si="59"/>
        <v>34503547.728915825</v>
      </c>
      <c r="O81" s="1290">
        <f t="shared" si="59"/>
        <v>36321977.94706139</v>
      </c>
      <c r="P81" s="1290">
        <f t="shared" si="59"/>
        <v>38209764.958783656</v>
      </c>
      <c r="Q81" s="1290">
        <f t="shared" si="59"/>
        <v>40169240.084875122</v>
      </c>
      <c r="R81" s="1290">
        <f t="shared" si="59"/>
        <v>42202807.864171922</v>
      </c>
      <c r="S81" s="1290">
        <f t="shared" si="59"/>
        <v>44312948.257380515</v>
      </c>
      <c r="T81" s="1290">
        <f t="shared" si="59"/>
        <v>46502218.915334433</v>
      </c>
      <c r="U81" s="1290">
        <f t="shared" si="59"/>
        <v>48773257.513525181</v>
      </c>
      <c r="V81" s="1290">
        <f t="shared" si="59"/>
        <v>51128784.15480338</v>
      </c>
      <c r="W81" s="1290">
        <f t="shared" si="59"/>
        <v>53571603.842199542</v>
      </c>
      <c r="X81" s="1290">
        <f t="shared" si="59"/>
        <v>56104609.023868747</v>
      </c>
      <c r="Y81" s="1290">
        <f t="shared" si="59"/>
        <v>58730782.21222005</v>
      </c>
      <c r="Z81" s="1290">
        <f t="shared" si="59"/>
        <v>61453198.67934899</v>
      </c>
      <c r="AA81" s="1290">
        <f t="shared" si="59"/>
        <v>64275029.230951741</v>
      </c>
      <c r="AB81" s="1290">
        <f t="shared" si="59"/>
        <v>67199543.060960039</v>
      </c>
      <c r="AC81" s="1290">
        <f t="shared" si="59"/>
        <v>70230110.689199418</v>
      </c>
      <c r="AD81" s="1290">
        <f t="shared" si="59"/>
        <v>73370206.984437659</v>
      </c>
      <c r="AE81" s="1290">
        <f t="shared" si="59"/>
        <v>76623414.275257051</v>
      </c>
    </row>
    <row r="82" spans="1:31" x14ac:dyDescent="0.35">
      <c r="A82" s="736" t="s">
        <v>0</v>
      </c>
      <c r="B82" s="1291">
        <f>SUM(B75:B81)</f>
        <v>764474866.0768975</v>
      </c>
      <c r="C82" s="1291">
        <f t="shared" ref="C82:AE82" si="60">SUM(C75:C81)</f>
        <v>801293678.50930631</v>
      </c>
      <c r="D82" s="1291">
        <f t="shared" si="60"/>
        <v>839475634.77203751</v>
      </c>
      <c r="E82" s="1291">
        <f t="shared" si="60"/>
        <v>879065880.29883683</v>
      </c>
      <c r="F82" s="1291">
        <f t="shared" si="60"/>
        <v>920110965.83024371</v>
      </c>
      <c r="G82" s="1291">
        <f t="shared" si="60"/>
        <v>962658889.46303403</v>
      </c>
      <c r="H82" s="1291">
        <f t="shared" si="60"/>
        <v>1006759139.9238201</v>
      </c>
      <c r="I82" s="1291">
        <f t="shared" si="60"/>
        <v>1052462741.1017311</v>
      </c>
      <c r="J82" s="1291">
        <f t="shared" si="60"/>
        <v>1099822297.876085</v>
      </c>
      <c r="K82" s="1291">
        <f t="shared" si="60"/>
        <v>1148892043.2759683</v>
      </c>
      <c r="L82" s="1291">
        <f t="shared" si="60"/>
        <v>1199727887.0096731</v>
      </c>
      <c r="M82" s="1291">
        <f t="shared" si="60"/>
        <v>1252387465.4030156</v>
      </c>
      <c r="N82" s="1291">
        <f t="shared" si="60"/>
        <v>1306930192.7866445</v>
      </c>
      <c r="O82" s="1291">
        <f t="shared" si="60"/>
        <v>1363417314.3735774</v>
      </c>
      <c r="P82" s="1291">
        <f t="shared" si="60"/>
        <v>1421911960.6693656</v>
      </c>
      <c r="Q82" s="1291">
        <f t="shared" si="60"/>
        <v>1482479203.4584599</v>
      </c>
      <c r="R82" s="1291">
        <f t="shared" si="60"/>
        <v>1545186113.4115903</v>
      </c>
      <c r="S82" s="1291">
        <f t="shared" si="60"/>
        <v>1610101819.3602157</v>
      </c>
      <c r="T82" s="1291">
        <f t="shared" si="60"/>
        <v>1677297569.2853899</v>
      </c>
      <c r="U82" s="1291">
        <f t="shared" si="60"/>
        <v>1746846793.0697229</v>
      </c>
      <c r="V82" s="1291">
        <f t="shared" si="60"/>
        <v>1818825167.062469</v>
      </c>
      <c r="W82" s="1291">
        <f t="shared" si="60"/>
        <v>1893310680.5091844</v>
      </c>
      <c r="X82" s="1291">
        <f t="shared" si="60"/>
        <v>1970383703.8988209</v>
      </c>
      <c r="Y82" s="1291">
        <f t="shared" si="60"/>
        <v>2050127059.2826209</v>
      </c>
      <c r="Z82" s="1291">
        <f t="shared" si="60"/>
        <v>2132626092.6206746</v>
      </c>
      <c r="AA82" s="1291">
        <f t="shared" si="60"/>
        <v>2217968748.2135797</v>
      </c>
      <c r="AB82" s="1291">
        <f t="shared" si="60"/>
        <v>2306245645.2782412</v>
      </c>
      <c r="AC82" s="1291">
        <f t="shared" si="60"/>
        <v>2397550156.7285028</v>
      </c>
      <c r="AD82" s="1291">
        <f t="shared" si="60"/>
        <v>2491978490.2229781</v>
      </c>
      <c r="AE82" s="1291">
        <f t="shared" si="60"/>
        <v>2589629771.5442224</v>
      </c>
    </row>
    <row r="84" spans="1:31" s="198" customFormat="1" x14ac:dyDescent="0.35">
      <c r="A84" s="1334" t="s">
        <v>851</v>
      </c>
      <c r="B84" s="1334">
        <v>2025</v>
      </c>
      <c r="C84" s="1334">
        <v>2026</v>
      </c>
      <c r="D84" s="1334">
        <v>2027</v>
      </c>
      <c r="E84" s="1334">
        <v>2028</v>
      </c>
      <c r="F84" s="1334">
        <v>2029</v>
      </c>
      <c r="G84" s="1334">
        <v>2030</v>
      </c>
      <c r="H84" s="1334">
        <v>2031</v>
      </c>
      <c r="I84" s="1334">
        <v>2032</v>
      </c>
      <c r="J84" s="1334">
        <v>2033</v>
      </c>
      <c r="K84" s="1334">
        <v>2034</v>
      </c>
      <c r="L84" s="1334">
        <v>2035</v>
      </c>
      <c r="M84" s="1334">
        <v>2036</v>
      </c>
      <c r="N84" s="1334">
        <v>2037</v>
      </c>
      <c r="O84" s="1334">
        <v>2038</v>
      </c>
      <c r="P84" s="1334">
        <v>2039</v>
      </c>
      <c r="Q84" s="1334">
        <v>2040</v>
      </c>
      <c r="R84" s="1334">
        <v>2041</v>
      </c>
      <c r="S84" s="1334">
        <v>2042</v>
      </c>
      <c r="T84" s="1334">
        <v>2043</v>
      </c>
      <c r="U84" s="1334">
        <v>2044</v>
      </c>
      <c r="V84" s="1334">
        <v>2045</v>
      </c>
      <c r="W84" s="1334">
        <v>2046</v>
      </c>
      <c r="X84" s="1334">
        <v>2047</v>
      </c>
      <c r="Y84" s="1334">
        <v>2048</v>
      </c>
      <c r="Z84" s="1334">
        <v>2049</v>
      </c>
      <c r="AA84" s="1334">
        <v>2050</v>
      </c>
      <c r="AB84" s="1334">
        <v>2051</v>
      </c>
      <c r="AC84" s="1334">
        <v>2052</v>
      </c>
      <c r="AD84" s="1334">
        <v>2053</v>
      </c>
      <c r="AE84" s="1334">
        <v>2054</v>
      </c>
    </row>
    <row r="85" spans="1:31" x14ac:dyDescent="0.35">
      <c r="A85" s="736" t="s">
        <v>852</v>
      </c>
      <c r="B85" s="1290">
        <f>B34*B55</f>
        <v>89853658.619335085</v>
      </c>
      <c r="C85" s="1290">
        <f t="shared" ref="C85:AE91" si="61">C34*C55</f>
        <v>92337984.581161648</v>
      </c>
      <c r="D85" s="1290">
        <f t="shared" si="61"/>
        <v>94890368.304442465</v>
      </c>
      <c r="E85" s="1290">
        <f t="shared" si="61"/>
        <v>97512659.973524079</v>
      </c>
      <c r="F85" s="1290">
        <f t="shared" si="61"/>
        <v>100206759.74586953</v>
      </c>
      <c r="G85" s="1290">
        <f t="shared" si="61"/>
        <v>102974619.09434877</v>
      </c>
      <c r="H85" s="1290">
        <f t="shared" si="61"/>
        <v>105818242.18541081</v>
      </c>
      <c r="I85" s="1290">
        <f t="shared" si="61"/>
        <v>108739687.294092</v>
      </c>
      <c r="J85" s="1290">
        <f t="shared" si="61"/>
        <v>111741068.25684135</v>
      </c>
      <c r="K85" s="1290">
        <f t="shared" si="61"/>
        <v>114824555.96316938</v>
      </c>
      <c r="L85" s="1290">
        <f t="shared" si="61"/>
        <v>117992379.88715325</v>
      </c>
      <c r="M85" s="1290">
        <f t="shared" si="61"/>
        <v>121246829.65985936</v>
      </c>
      <c r="N85" s="1290">
        <f t="shared" si="61"/>
        <v>124590256.6837713</v>
      </c>
      <c r="O85" s="1290">
        <f t="shared" si="61"/>
        <v>128025075.79034142</v>
      </c>
      <c r="P85" s="1290">
        <f t="shared" si="61"/>
        <v>131553766.94181269</v>
      </c>
      <c r="Q85" s="1290">
        <f t="shared" si="61"/>
        <v>135178876.97848859</v>
      </c>
      <c r="R85" s="1290">
        <f t="shared" si="61"/>
        <v>138903021.41265962</v>
      </c>
      <c r="S85" s="1290">
        <f t="shared" si="61"/>
        <v>142728886.27042764</v>
      </c>
      <c r="T85" s="1290">
        <f t="shared" si="61"/>
        <v>146659229.98270118</v>
      </c>
      <c r="U85" s="1290">
        <f t="shared" si="61"/>
        <v>150696885.32666934</v>
      </c>
      <c r="V85" s="1290">
        <f t="shared" si="61"/>
        <v>154844761.41909677</v>
      </c>
      <c r="W85" s="1290">
        <f t="shared" si="61"/>
        <v>159105845.76281634</v>
      </c>
      <c r="X85" s="1290">
        <f t="shared" si="61"/>
        <v>163483206.34783497</v>
      </c>
      <c r="Y85" s="1290">
        <f t="shared" si="61"/>
        <v>167979993.80850282</v>
      </c>
      <c r="Z85" s="1290">
        <f t="shared" si="61"/>
        <v>172599443.63823661</v>
      </c>
      <c r="AA85" s="1290">
        <f t="shared" si="61"/>
        <v>177344878.46332681</v>
      </c>
      <c r="AB85" s="1290">
        <f t="shared" si="61"/>
        <v>182219710.3773976</v>
      </c>
      <c r="AC85" s="1290">
        <f t="shared" si="61"/>
        <v>187227443.33813235</v>
      </c>
      <c r="AD85" s="1290">
        <f t="shared" si="61"/>
        <v>192371675.62791795</v>
      </c>
      <c r="AE85" s="1290">
        <f t="shared" si="61"/>
        <v>197656102.38010651</v>
      </c>
    </row>
    <row r="86" spans="1:31" x14ac:dyDescent="0.35">
      <c r="A86" s="736" t="s">
        <v>853</v>
      </c>
      <c r="B86" s="1290">
        <f t="shared" ref="B86:Q91" si="62">B35*B56</f>
        <v>57899800.147981457</v>
      </c>
      <c r="C86" s="1290">
        <f t="shared" si="62"/>
        <v>60341942.556457765</v>
      </c>
      <c r="D86" s="1290">
        <f t="shared" si="62"/>
        <v>62870004.710265391</v>
      </c>
      <c r="E86" s="1290">
        <f t="shared" si="62"/>
        <v>65486756.257665627</v>
      </c>
      <c r="F86" s="1290">
        <f t="shared" si="62"/>
        <v>68195051.629491955</v>
      </c>
      <c r="G86" s="1290">
        <f t="shared" si="62"/>
        <v>70997832.547248542</v>
      </c>
      <c r="H86" s="1290">
        <f t="shared" si="62"/>
        <v>73898130.603624552</v>
      </c>
      <c r="I86" s="1290">
        <f t="shared" si="62"/>
        <v>76899069.917477325</v>
      </c>
      <c r="J86" s="1290">
        <f t="shared" si="62"/>
        <v>80003869.865395457</v>
      </c>
      <c r="K86" s="1290">
        <f t="shared" si="62"/>
        <v>83215847.892011076</v>
      </c>
      <c r="L86" s="1290">
        <f t="shared" si="62"/>
        <v>86538422.401291624</v>
      </c>
      <c r="M86" s="1290">
        <f t="shared" si="62"/>
        <v>89975115.731103659</v>
      </c>
      <c r="N86" s="1290">
        <f t="shared" si="62"/>
        <v>93529557.21340552</v>
      </c>
      <c r="O86" s="1290">
        <f t="shared" si="62"/>
        <v>97205486.322490513</v>
      </c>
      <c r="P86" s="1290">
        <f t="shared" si="62"/>
        <v>101006755.91377138</v>
      </c>
      <c r="Q86" s="1290">
        <f t="shared" si="62"/>
        <v>104937335.55566475</v>
      </c>
      <c r="R86" s="1290">
        <f t="shared" si="61"/>
        <v>109001314.95720665</v>
      </c>
      <c r="S86" s="1290">
        <f t="shared" si="61"/>
        <v>113202907.49410337</v>
      </c>
      <c r="T86" s="1290">
        <f t="shared" si="61"/>
        <v>117546453.83599669</v>
      </c>
      <c r="U86" s="1290">
        <f t="shared" si="61"/>
        <v>122036425.67780083</v>
      </c>
      <c r="V86" s="1290">
        <f t="shared" si="61"/>
        <v>126677429.57804771</v>
      </c>
      <c r="W86" s="1290">
        <f t="shared" si="61"/>
        <v>131474210.90725827</v>
      </c>
      <c r="X86" s="1290">
        <f t="shared" si="61"/>
        <v>136431657.90944311</v>
      </c>
      <c r="Y86" s="1290">
        <f t="shared" si="61"/>
        <v>141554805.87992013</v>
      </c>
      <c r="Z86" s="1290">
        <f t="shared" si="61"/>
        <v>146848841.46272764</v>
      </c>
      <c r="AA86" s="1290">
        <f t="shared" si="61"/>
        <v>152319107.07100052</v>
      </c>
      <c r="AB86" s="1290">
        <f t="shared" si="61"/>
        <v>157971105.43377286</v>
      </c>
      <c r="AC86" s="1290">
        <f t="shared" si="61"/>
        <v>163810504.27276444</v>
      </c>
      <c r="AD86" s="1290">
        <f t="shared" si="61"/>
        <v>169843141.11280951</v>
      </c>
      <c r="AE86" s="1290">
        <f t="shared" si="61"/>
        <v>176075028.22968635</v>
      </c>
    </row>
    <row r="87" spans="1:31" x14ac:dyDescent="0.35">
      <c r="A87" s="736" t="s">
        <v>854</v>
      </c>
      <c r="B87" s="1290">
        <f t="shared" si="62"/>
        <v>24050701.122316718</v>
      </c>
      <c r="C87" s="1290">
        <f t="shared" si="61"/>
        <v>25067784.989055648</v>
      </c>
      <c r="D87" s="1290">
        <f t="shared" si="61"/>
        <v>26120691.360930081</v>
      </c>
      <c r="E87" s="1290">
        <f t="shared" si="61"/>
        <v>27210575.685780074</v>
      </c>
      <c r="F87" s="1290">
        <f t="shared" si="61"/>
        <v>28338628.794771984</v>
      </c>
      <c r="G87" s="1290">
        <f t="shared" si="61"/>
        <v>29506077.94940988</v>
      </c>
      <c r="H87" s="1290">
        <f t="shared" si="61"/>
        <v>30714187.918782942</v>
      </c>
      <c r="I87" s="1290">
        <f t="shared" si="61"/>
        <v>31964262.087906267</v>
      </c>
      <c r="J87" s="1290">
        <f t="shared" si="61"/>
        <v>33257643.598036524</v>
      </c>
      <c r="K87" s="1290">
        <f t="shared" si="61"/>
        <v>34595716.519868352</v>
      </c>
      <c r="L87" s="1290">
        <f t="shared" si="61"/>
        <v>35979907.060543001</v>
      </c>
      <c r="M87" s="1290">
        <f t="shared" si="61"/>
        <v>37411684.805426463</v>
      </c>
      <c r="N87" s="1290">
        <f t="shared" si="61"/>
        <v>38892563.995641254</v>
      </c>
      <c r="O87" s="1290">
        <f t="shared" si="61"/>
        <v>40424104.842363402</v>
      </c>
      <c r="P87" s="1290">
        <f t="shared" si="61"/>
        <v>42007914.87892437</v>
      </c>
      <c r="Q87" s="1290">
        <f t="shared" si="61"/>
        <v>43645650.351786919</v>
      </c>
      <c r="R87" s="1290">
        <f t="shared" si="61"/>
        <v>45339017.651493266</v>
      </c>
      <c r="S87" s="1290">
        <f t="shared" si="61"/>
        <v>47089774.784715056</v>
      </c>
      <c r="T87" s="1290">
        <f t="shared" si="61"/>
        <v>48899732.888565756</v>
      </c>
      <c r="U87" s="1290">
        <f t="shared" si="61"/>
        <v>50770757.788368553</v>
      </c>
      <c r="V87" s="1290">
        <f t="shared" si="61"/>
        <v>52704771.60010612</v>
      </c>
      <c r="W87" s="1290">
        <f t="shared" si="61"/>
        <v>54703754.378812835</v>
      </c>
      <c r="X87" s="1290">
        <f t="shared" si="61"/>
        <v>56769745.814204827</v>
      </c>
      <c r="Y87" s="1290">
        <f t="shared" si="61"/>
        <v>58904846.97487966</v>
      </c>
      <c r="Z87" s="1290">
        <f t="shared" si="61"/>
        <v>61111222.102454364</v>
      </c>
      <c r="AA87" s="1290">
        <f t="shared" si="61"/>
        <v>63391100.457048498</v>
      </c>
      <c r="AB87" s="1290">
        <f t="shared" si="61"/>
        <v>65746778.21555829</v>
      </c>
      <c r="AC87" s="1290">
        <f t="shared" si="61"/>
        <v>68180620.424207926</v>
      </c>
      <c r="AD87" s="1290">
        <f t="shared" si="61"/>
        <v>70695063.006905332</v>
      </c>
      <c r="AE87" s="1290">
        <f t="shared" si="61"/>
        <v>73292614.830972463</v>
      </c>
    </row>
    <row r="88" spans="1:31" x14ac:dyDescent="0.35">
      <c r="A88" s="736" t="s">
        <v>855</v>
      </c>
      <c r="B88" s="1290">
        <f t="shared" si="62"/>
        <v>71501550.349870175</v>
      </c>
      <c r="C88" s="1290">
        <f t="shared" si="61"/>
        <v>73077881.359024361</v>
      </c>
      <c r="D88" s="1290">
        <f t="shared" si="61"/>
        <v>74688340.449667588</v>
      </c>
      <c r="E88" s="1290">
        <f t="shared" si="61"/>
        <v>76333648.818993598</v>
      </c>
      <c r="F88" s="1290">
        <f t="shared" si="61"/>
        <v>78014542.394004866</v>
      </c>
      <c r="G88" s="1290">
        <f t="shared" si="61"/>
        <v>79731772.117254823</v>
      </c>
      <c r="H88" s="1290">
        <f t="shared" si="61"/>
        <v>81486104.237671033</v>
      </c>
      <c r="I88" s="1290">
        <f t="shared" si="61"/>
        <v>83278320.606534749</v>
      </c>
      <c r="J88" s="1290">
        <f t="shared" si="61"/>
        <v>85109218.978693113</v>
      </c>
      <c r="K88" s="1290">
        <f t="shared" si="61"/>
        <v>86979613.319080323</v>
      </c>
      <c r="L88" s="1290">
        <f t="shared" si="61"/>
        <v>88890334.114625186</v>
      </c>
      <c r="M88" s="1290">
        <f t="shared" si="61"/>
        <v>90842228.691622883</v>
      </c>
      <c r="N88" s="1290">
        <f t="shared" si="61"/>
        <v>92836161.538648829</v>
      </c>
      <c r="O88" s="1290">
        <f t="shared" si="61"/>
        <v>94873014.635093793</v>
      </c>
      <c r="P88" s="1290">
        <f t="shared" si="61"/>
        <v>96953687.785399362</v>
      </c>
      <c r="Q88" s="1290">
        <f t="shared" si="61"/>
        <v>99079098.959073275</v>
      </c>
      <c r="R88" s="1290">
        <f t="shared" si="61"/>
        <v>101250184.636565</v>
      </c>
      <c r="S88" s="1290">
        <f t="shared" si="61"/>
        <v>103467900.1610819</v>
      </c>
      <c r="T88" s="1290">
        <f t="shared" si="61"/>
        <v>105733220.09642678</v>
      </c>
      <c r="U88" s="1290">
        <f t="shared" si="61"/>
        <v>108047138.59093823</v>
      </c>
      <c r="V88" s="1290">
        <f t="shared" si="61"/>
        <v>110410669.74761499</v>
      </c>
      <c r="W88" s="1290">
        <f t="shared" si="61"/>
        <v>112824848.00050627</v>
      </c>
      <c r="X88" s="1290">
        <f t="shared" si="61"/>
        <v>115290728.49744983</v>
      </c>
      <c r="Y88" s="1290">
        <f t="shared" si="61"/>
        <v>117809387.48924026</v>
      </c>
      <c r="Z88" s="1290">
        <f t="shared" si="61"/>
        <v>120381922.72530933</v>
      </c>
      <c r="AA88" s="1290">
        <f t="shared" si="61"/>
        <v>123009453.85600102</v>
      </c>
      <c r="AB88" s="1290">
        <f t="shared" si="61"/>
        <v>125693122.84152403</v>
      </c>
      <c r="AC88" s="1290">
        <f t="shared" si="61"/>
        <v>128434094.36766317</v>
      </c>
      <c r="AD88" s="1290">
        <f t="shared" si="61"/>
        <v>131233556.26833332</v>
      </c>
      <c r="AE88" s="1290">
        <f t="shared" si="61"/>
        <v>134092719.95505719</v>
      </c>
    </row>
    <row r="89" spans="1:31" x14ac:dyDescent="0.35">
      <c r="A89" s="736" t="s">
        <v>856</v>
      </c>
      <c r="B89" s="1290">
        <f t="shared" si="62"/>
        <v>328045841.17962295</v>
      </c>
      <c r="C89" s="1290">
        <f t="shared" si="61"/>
        <v>341866209.09778333</v>
      </c>
      <c r="D89" s="1290">
        <f t="shared" si="61"/>
        <v>356172566.76111442</v>
      </c>
      <c r="E89" s="1290">
        <f t="shared" si="61"/>
        <v>370980575.92692596</v>
      </c>
      <c r="F89" s="1290">
        <f t="shared" si="61"/>
        <v>386306377.69680238</v>
      </c>
      <c r="G89" s="1290">
        <f t="shared" si="61"/>
        <v>402166606.69521832</v>
      </c>
      <c r="H89" s="1290">
        <f t="shared" si="61"/>
        <v>418578405.65749454</v>
      </c>
      <c r="I89" s="1290">
        <f t="shared" si="61"/>
        <v>435559440.43870002</v>
      </c>
      <c r="J89" s="1290">
        <f t="shared" si="61"/>
        <v>453127915.45542991</v>
      </c>
      <c r="K89" s="1290">
        <f t="shared" si="61"/>
        <v>471302589.57272208</v>
      </c>
      <c r="L89" s="1290">
        <f t="shared" si="61"/>
        <v>490102792.4487192</v>
      </c>
      <c r="M89" s="1290">
        <f t="shared" si="61"/>
        <v>509548441.35003322</v>
      </c>
      <c r="N89" s="1290">
        <f t="shared" si="61"/>
        <v>529660058.4511326</v>
      </c>
      <c r="O89" s="1290">
        <f t="shared" si="61"/>
        <v>550458788.63144314</v>
      </c>
      <c r="P89" s="1290">
        <f t="shared" si="61"/>
        <v>571966417.78423703</v>
      </c>
      <c r="Q89" s="1290">
        <f t="shared" si="61"/>
        <v>594205391.65177619</v>
      </c>
      <c r="R89" s="1290">
        <f t="shared" si="61"/>
        <v>617198835.20157719</v>
      </c>
      <c r="S89" s="1290">
        <f t="shared" si="61"/>
        <v>640970572.55908573</v>
      </c>
      <c r="T89" s="1290">
        <f t="shared" si="61"/>
        <v>665545147.5124687</v>
      </c>
      <c r="U89" s="1290">
        <f t="shared" si="61"/>
        <v>690947844.60567141</v>
      </c>
      <c r="V89" s="1290">
        <f t="shared" si="61"/>
        <v>717204710.836339</v>
      </c>
      <c r="W89" s="1290">
        <f t="shared" si="61"/>
        <v>744342577.9756614</v>
      </c>
      <c r="X89" s="1290">
        <f t="shared" si="61"/>
        <v>772389085.5276773</v>
      </c>
      <c r="Y89" s="1290">
        <f t="shared" si="61"/>
        <v>801372704.34605908</v>
      </c>
      <c r="Z89" s="1290">
        <f t="shared" si="61"/>
        <v>831322760.92690516</v>
      </c>
      <c r="AA89" s="1290">
        <f t="shared" si="61"/>
        <v>862269462.39657736</v>
      </c>
      <c r="AB89" s="1290">
        <f t="shared" si="61"/>
        <v>894243922.21415365</v>
      </c>
      <c r="AC89" s="1290">
        <f t="shared" si="61"/>
        <v>927278186.60861111</v>
      </c>
      <c r="AD89" s="1290">
        <f t="shared" si="61"/>
        <v>961405261.7714076</v>
      </c>
      <c r="AE89" s="1290">
        <f t="shared" si="61"/>
        <v>996659141.82571328</v>
      </c>
    </row>
    <row r="90" spans="1:31" x14ac:dyDescent="0.35">
      <c r="A90" s="736" t="s">
        <v>857</v>
      </c>
      <c r="B90" s="1290">
        <f t="shared" si="62"/>
        <v>215646202.80755782</v>
      </c>
      <c r="C90" s="1290">
        <f t="shared" si="61"/>
        <v>223684511.8643066</v>
      </c>
      <c r="D90" s="1290">
        <f t="shared" si="61"/>
        <v>231989957.49713808</v>
      </c>
      <c r="E90" s="1290">
        <f t="shared" si="61"/>
        <v>240570872.59169593</v>
      </c>
      <c r="F90" s="1290">
        <f t="shared" si="61"/>
        <v>249435839.71754602</v>
      </c>
      <c r="G90" s="1290">
        <f t="shared" si="61"/>
        <v>258593698.40431878</v>
      </c>
      <c r="H90" s="1290">
        <f t="shared" si="61"/>
        <v>268053552.62560669</v>
      </c>
      <c r="I90" s="1290">
        <f t="shared" si="61"/>
        <v>277824778.49645633</v>
      </c>
      <c r="J90" s="1290">
        <f t="shared" si="61"/>
        <v>287917032.1904574</v>
      </c>
      <c r="K90" s="1290">
        <f t="shared" si="61"/>
        <v>298340258.08259827</v>
      </c>
      <c r="L90" s="1290">
        <f t="shared" si="61"/>
        <v>309104697.12422717</v>
      </c>
      <c r="M90" s="1290">
        <f t="shared" si="61"/>
        <v>320220895.45663583</v>
      </c>
      <c r="N90" s="1290">
        <f t="shared" si="61"/>
        <v>331699713.26996231</v>
      </c>
      <c r="O90" s="1290">
        <f t="shared" si="61"/>
        <v>343552333.91429472</v>
      </c>
      <c r="P90" s="1290">
        <f t="shared" si="61"/>
        <v>355790273.27004999</v>
      </c>
      <c r="Q90" s="1290">
        <f t="shared" si="61"/>
        <v>368425389.38489664</v>
      </c>
      <c r="R90" s="1290">
        <f t="shared" si="61"/>
        <v>381469892.38469172</v>
      </c>
      <c r="S90" s="1290">
        <f t="shared" si="61"/>
        <v>394936354.66611111</v>
      </c>
      <c r="T90" s="1290">
        <f t="shared" si="61"/>
        <v>408837721.37886101</v>
      </c>
      <c r="U90" s="1290">
        <f t="shared" si="61"/>
        <v>423187321.20558202</v>
      </c>
      <c r="V90" s="1290">
        <f t="shared" si="61"/>
        <v>437998877.44777733</v>
      </c>
      <c r="W90" s="1290">
        <f t="shared" si="61"/>
        <v>453286519.42632902</v>
      </c>
      <c r="X90" s="1290">
        <f t="shared" si="61"/>
        <v>469064794.20540327</v>
      </c>
      <c r="Y90" s="1290">
        <f t="shared" si="61"/>
        <v>485348678.64878982</v>
      </c>
      <c r="Z90" s="1290">
        <f t="shared" si="61"/>
        <v>502153591.81796736</v>
      </c>
      <c r="AA90" s="1290">
        <f t="shared" si="61"/>
        <v>519495407.7214483</v>
      </c>
      <c r="AB90" s="1290">
        <f t="shared" si="61"/>
        <v>537390468.42521715</v>
      </c>
      <c r="AC90" s="1290">
        <f t="shared" si="61"/>
        <v>555855597.53434825</v>
      </c>
      <c r="AD90" s="1290">
        <f t="shared" si="61"/>
        <v>574908114.05617034</v>
      </c>
      <c r="AE90" s="1290">
        <f t="shared" si="61"/>
        <v>594565846.65562463</v>
      </c>
    </row>
    <row r="91" spans="1:31" x14ac:dyDescent="0.35">
      <c r="A91" s="736" t="s">
        <v>6</v>
      </c>
      <c r="B91" s="1290">
        <f t="shared" si="62"/>
        <v>6124917.7763296571</v>
      </c>
      <c r="C91" s="1290">
        <f t="shared" si="61"/>
        <v>6464182.0898163803</v>
      </c>
      <c r="D91" s="1290">
        <f t="shared" si="61"/>
        <v>6816581.5453672335</v>
      </c>
      <c r="E91" s="1290">
        <f t="shared" si="61"/>
        <v>7182560.8598894933</v>
      </c>
      <c r="F91" s="1290">
        <f t="shared" si="61"/>
        <v>7562578.7766720131</v>
      </c>
      <c r="G91" s="1290">
        <f t="shared" si="61"/>
        <v>7957108.4887562264</v>
      </c>
      <c r="H91" s="1290">
        <f t="shared" si="61"/>
        <v>8366638.074709231</v>
      </c>
      <c r="I91" s="1290">
        <f t="shared" si="61"/>
        <v>8791670.9471544139</v>
      </c>
      <c r="J91" s="1290">
        <f t="shared" si="61"/>
        <v>9232726.314425163</v>
      </c>
      <c r="K91" s="1290">
        <f t="shared" si="61"/>
        <v>9690339.6557174753</v>
      </c>
      <c r="L91" s="1290">
        <f t="shared" si="61"/>
        <v>10165063.21012789</v>
      </c>
      <c r="M91" s="1290">
        <f t="shared" si="61"/>
        <v>10657466.479974002</v>
      </c>
      <c r="N91" s="1290">
        <f t="shared" si="61"/>
        <v>11168136.748806087</v>
      </c>
      <c r="O91" s="1290">
        <f t="shared" si="61"/>
        <v>11697679.614529794</v>
      </c>
      <c r="P91" s="1290">
        <f t="shared" si="61"/>
        <v>12246719.538071685</v>
      </c>
      <c r="Q91" s="1290">
        <f t="shared" si="61"/>
        <v>12815900.408031587</v>
      </c>
      <c r="R91" s="1290">
        <f t="shared" si="61"/>
        <v>13405886.121778188</v>
      </c>
      <c r="S91" s="1290">
        <f t="shared" si="61"/>
        <v>14017361.183457103</v>
      </c>
      <c r="T91" s="1290">
        <f t="shared" si="61"/>
        <v>14651031.319393847</v>
      </c>
      <c r="U91" s="1290">
        <f t="shared" si="61"/>
        <v>15307624.111387772</v>
      </c>
      <c r="V91" s="1290">
        <f t="shared" si="61"/>
        <v>15987889.648406772</v>
      </c>
      <c r="W91" s="1290">
        <f t="shared" si="61"/>
        <v>16692601.197207103</v>
      </c>
      <c r="X91" s="1290">
        <f t="shared" si="61"/>
        <v>17422555.892417192</v>
      </c>
      <c r="Y91" s="1290">
        <f t="shared" si="61"/>
        <v>18178575.446639538</v>
      </c>
      <c r="Z91" s="1290">
        <f t="shared" si="61"/>
        <v>18961506.881140236</v>
      </c>
      <c r="AA91" s="1290">
        <f t="shared" si="61"/>
        <v>19772223.27771182</v>
      </c>
      <c r="AB91" s="1290">
        <f t="shared" si="61"/>
        <v>20611624.552311275</v>
      </c>
      <c r="AC91" s="1290">
        <f t="shared" si="61"/>
        <v>21480638.251092128</v>
      </c>
      <c r="AD91" s="1290">
        <f t="shared" si="61"/>
        <v>22380220.36946683</v>
      </c>
      <c r="AE91" s="1290">
        <f t="shared" si="61"/>
        <v>23311356.194853336</v>
      </c>
    </row>
    <row r="92" spans="1:31" x14ac:dyDescent="0.35">
      <c r="A92" s="736" t="s">
        <v>0</v>
      </c>
      <c r="B92" s="1291">
        <f>SUM(B85:B91)</f>
        <v>793122672.00301385</v>
      </c>
      <c r="C92" s="744">
        <f t="shared" ref="C92:AD92" si="63">SUM(C85:C91)</f>
        <v>822840496.53760564</v>
      </c>
      <c r="D92" s="744">
        <f t="shared" si="63"/>
        <v>853548510.62892532</v>
      </c>
      <c r="E92" s="744">
        <f t="shared" si="63"/>
        <v>885277650.11447477</v>
      </c>
      <c r="F92" s="744">
        <f t="shared" si="63"/>
        <v>918059778.75515878</v>
      </c>
      <c r="G92" s="744">
        <f t="shared" si="63"/>
        <v>951927715.29655528</v>
      </c>
      <c r="H92" s="744">
        <f t="shared" si="63"/>
        <v>986915261.30329978</v>
      </c>
      <c r="I92" s="744">
        <f t="shared" si="63"/>
        <v>1023057229.7883211</v>
      </c>
      <c r="J92" s="744">
        <f t="shared" si="63"/>
        <v>1060389474.6592788</v>
      </c>
      <c r="K92" s="744">
        <f t="shared" si="63"/>
        <v>1098948921.0051668</v>
      </c>
      <c r="L92" s="744">
        <f t="shared" si="63"/>
        <v>1138773596.2466874</v>
      </c>
      <c r="M92" s="744">
        <f t="shared" si="63"/>
        <v>1179902662.1746557</v>
      </c>
      <c r="N92" s="744">
        <f t="shared" si="63"/>
        <v>1222376447.9013677</v>
      </c>
      <c r="O92" s="744">
        <f t="shared" si="63"/>
        <v>1266236483.7505569</v>
      </c>
      <c r="P92" s="744">
        <f t="shared" si="63"/>
        <v>1311525536.1122665</v>
      </c>
      <c r="Q92" s="744">
        <f t="shared" si="63"/>
        <v>1358287643.2897179</v>
      </c>
      <c r="R92" s="744">
        <f t="shared" si="63"/>
        <v>1406568152.3659718</v>
      </c>
      <c r="S92" s="744">
        <f t="shared" si="63"/>
        <v>1456413757.1189821</v>
      </c>
      <c r="T92" s="744">
        <f t="shared" si="63"/>
        <v>1507872537.0144141</v>
      </c>
      <c r="U92" s="744">
        <f t="shared" si="63"/>
        <v>1560993997.3064179</v>
      </c>
      <c r="V92" s="744">
        <f t="shared" si="63"/>
        <v>1615829110.2773886</v>
      </c>
      <c r="W92" s="744">
        <f t="shared" si="63"/>
        <v>1672430357.6485913</v>
      </c>
      <c r="X92" s="744">
        <f t="shared" si="63"/>
        <v>1730851774.1944306</v>
      </c>
      <c r="Y92" s="744">
        <f t="shared" si="63"/>
        <v>1791148992.5940313</v>
      </c>
      <c r="Z92" s="744">
        <f t="shared" si="63"/>
        <v>1853379289.5547407</v>
      </c>
      <c r="AA92" s="744">
        <f t="shared" si="63"/>
        <v>1917601633.2431145</v>
      </c>
      <c r="AB92" s="744">
        <f t="shared" si="63"/>
        <v>1983876732.0599349</v>
      </c>
      <c r="AC92" s="744">
        <f t="shared" si="63"/>
        <v>2052267084.7968194</v>
      </c>
      <c r="AD92" s="744">
        <f t="shared" si="63"/>
        <v>2122837032.2130108</v>
      </c>
      <c r="AE92" s="744">
        <f>SUM(AE85:AE91)</f>
        <v>2195652810.0720134</v>
      </c>
    </row>
    <row r="94" spans="1:31" s="198" customFormat="1" x14ac:dyDescent="0.35">
      <c r="A94" s="1334" t="s">
        <v>0</v>
      </c>
      <c r="B94" s="1334">
        <v>2025</v>
      </c>
      <c r="C94" s="1334">
        <v>2026</v>
      </c>
      <c r="D94" s="1334">
        <v>2027</v>
      </c>
      <c r="E94" s="1334">
        <v>2028</v>
      </c>
      <c r="F94" s="1334">
        <v>2029</v>
      </c>
      <c r="G94" s="1334">
        <v>2030</v>
      </c>
      <c r="H94" s="1334">
        <v>2031</v>
      </c>
      <c r="I94" s="1334">
        <v>2032</v>
      </c>
      <c r="J94" s="1334">
        <v>2033</v>
      </c>
      <c r="K94" s="1334">
        <v>2034</v>
      </c>
      <c r="L94" s="1334">
        <v>2035</v>
      </c>
      <c r="M94" s="1334">
        <v>2036</v>
      </c>
      <c r="N94" s="1334">
        <v>2037</v>
      </c>
      <c r="O94" s="1334">
        <v>2038</v>
      </c>
      <c r="P94" s="1334">
        <v>2039</v>
      </c>
      <c r="Q94" s="1334">
        <v>2040</v>
      </c>
      <c r="R94" s="1334">
        <v>2041</v>
      </c>
      <c r="S94" s="1334">
        <v>2042</v>
      </c>
      <c r="T94" s="1334">
        <v>2043</v>
      </c>
      <c r="U94" s="1334">
        <v>2044</v>
      </c>
      <c r="V94" s="1334">
        <v>2045</v>
      </c>
      <c r="W94" s="1334">
        <v>2046</v>
      </c>
      <c r="X94" s="1334">
        <v>2047</v>
      </c>
      <c r="Y94" s="1334">
        <v>2048</v>
      </c>
      <c r="Z94" s="1334">
        <v>2049</v>
      </c>
      <c r="AA94" s="1334">
        <v>2050</v>
      </c>
      <c r="AB94" s="1334">
        <v>2051</v>
      </c>
      <c r="AC94" s="1334">
        <v>2052</v>
      </c>
      <c r="AD94" s="1334">
        <v>2053</v>
      </c>
      <c r="AE94" s="1334">
        <v>2054</v>
      </c>
    </row>
    <row r="95" spans="1:31" x14ac:dyDescent="0.35">
      <c r="A95" s="736" t="s">
        <v>852</v>
      </c>
      <c r="B95" s="1290">
        <f>SUM(B65,B75,B85)</f>
        <v>221880233.81287575</v>
      </c>
      <c r="C95" s="1290">
        <f t="shared" ref="C95:AE101" si="64">SUM(C65,C75,C85)</f>
        <v>230197114.76841429</v>
      </c>
      <c r="D95" s="1290">
        <f t="shared" si="64"/>
        <v>238791164.62559676</v>
      </c>
      <c r="E95" s="1290">
        <f t="shared" si="64"/>
        <v>247671043.77890801</v>
      </c>
      <c r="F95" s="1290">
        <f t="shared" si="64"/>
        <v>256845672.41199392</v>
      </c>
      <c r="G95" s="1290">
        <f t="shared" si="64"/>
        <v>266324238.07437229</v>
      </c>
      <c r="H95" s="1290">
        <f t="shared" si="64"/>
        <v>276116203.47461206</v>
      </c>
      <c r="I95" s="1290">
        <f t="shared" si="64"/>
        <v>286231314.49606735</v>
      </c>
      <c r="J95" s="1290">
        <f t="shared" si="64"/>
        <v>296679608.44142371</v>
      </c>
      <c r="K95" s="1290">
        <f t="shared" si="64"/>
        <v>307471422.51248795</v>
      </c>
      <c r="L95" s="1290">
        <f t="shared" si="64"/>
        <v>318617402.53182942</v>
      </c>
      <c r="M95" s="1290">
        <f t="shared" si="64"/>
        <v>330128511.91306764</v>
      </c>
      <c r="N95" s="1290">
        <f t="shared" si="64"/>
        <v>342016040.88678545</v>
      </c>
      <c r="O95" s="1290">
        <f t="shared" si="64"/>
        <v>354291615.98924345</v>
      </c>
      <c r="P95" s="1290">
        <f t="shared" si="64"/>
        <v>366967209.82127011</v>
      </c>
      <c r="Q95" s="1290">
        <f t="shared" si="64"/>
        <v>380055151.08490491</v>
      </c>
      <c r="R95" s="1290">
        <f t="shared" si="64"/>
        <v>393568134.90558308</v>
      </c>
      <c r="S95" s="1290">
        <f t="shared" si="64"/>
        <v>407519233.4478671</v>
      </c>
      <c r="T95" s="1290">
        <f t="shared" si="64"/>
        <v>421921906.83294934</v>
      </c>
      <c r="U95" s="1290">
        <f t="shared" si="64"/>
        <v>436790014.36638069</v>
      </c>
      <c r="V95" s="1290">
        <f t="shared" si="64"/>
        <v>452137826.0847131</v>
      </c>
      <c r="W95" s="1290">
        <f t="shared" si="64"/>
        <v>467980034.62998307</v>
      </c>
      <c r="X95" s="1290">
        <f t="shared" si="64"/>
        <v>484331767.46121359</v>
      </c>
      <c r="Y95" s="1290">
        <f t="shared" si="64"/>
        <v>501208599.4123621</v>
      </c>
      <c r="Z95" s="1290">
        <f t="shared" si="64"/>
        <v>518626565.60640454</v>
      </c>
      <c r="AA95" s="1290">
        <f t="shared" si="64"/>
        <v>536602174.73551655</v>
      </c>
      <c r="AB95" s="1290">
        <f t="shared" si="64"/>
        <v>555152422.71757996</v>
      </c>
      <c r="AC95" s="1290">
        <f t="shared" si="64"/>
        <v>574294806.73953688</v>
      </c>
      <c r="AD95" s="1290">
        <f t="shared" si="64"/>
        <v>594047339.69839323</v>
      </c>
      <c r="AE95" s="1290">
        <f t="shared" si="64"/>
        <v>614428565.05098009</v>
      </c>
    </row>
    <row r="96" spans="1:31" x14ac:dyDescent="0.35">
      <c r="A96" s="736" t="s">
        <v>853</v>
      </c>
      <c r="B96" s="1290">
        <f t="shared" ref="B96:Q101" si="65">SUM(B66,B76,B86)</f>
        <v>194185363.25235495</v>
      </c>
      <c r="C96" s="1290">
        <f t="shared" si="65"/>
        <v>204455299.87078178</v>
      </c>
      <c r="D96" s="1290">
        <f t="shared" si="65"/>
        <v>215117367.46809727</v>
      </c>
      <c r="E96" s="1290">
        <f t="shared" si="65"/>
        <v>226184753.88285929</v>
      </c>
      <c r="F96" s="1290">
        <f t="shared" si="65"/>
        <v>237671061.26369187</v>
      </c>
      <c r="G96" s="1290">
        <f t="shared" si="65"/>
        <v>249590318.54238921</v>
      </c>
      <c r="H96" s="1290">
        <f t="shared" si="65"/>
        <v>261956994.27173167</v>
      </c>
      <c r="I96" s="1290">
        <f t="shared" si="65"/>
        <v>274786009.83845228</v>
      </c>
      <c r="J96" s="1290">
        <f t="shared" si="65"/>
        <v>288092753.06208909</v>
      </c>
      <c r="K96" s="1290">
        <f t="shared" si="65"/>
        <v>301893092.19075871</v>
      </c>
      <c r="L96" s="1290">
        <f t="shared" si="65"/>
        <v>316203390.30519795</v>
      </c>
      <c r="M96" s="1290">
        <f t="shared" si="65"/>
        <v>331040520.14273989</v>
      </c>
      <c r="N96" s="1290">
        <f t="shared" si="65"/>
        <v>346421879.35321832</v>
      </c>
      <c r="O96" s="1290">
        <f t="shared" si="65"/>
        <v>362365406.19913131</v>
      </c>
      <c r="P96" s="1290">
        <f t="shared" si="65"/>
        <v>378889595.71274424</v>
      </c>
      <c r="Q96" s="1290">
        <f t="shared" si="65"/>
        <v>396013516.32316339</v>
      </c>
      <c r="R96" s="1290">
        <f t="shared" si="64"/>
        <v>413756826.96678299</v>
      </c>
      <c r="S96" s="1290">
        <f t="shared" si="64"/>
        <v>432139794.69488162</v>
      </c>
      <c r="T96" s="1290">
        <f t="shared" si="64"/>
        <v>451183312.79253095</v>
      </c>
      <c r="U96" s="1290">
        <f t="shared" si="64"/>
        <v>470908919.42337841</v>
      </c>
      <c r="V96" s="1290">
        <f t="shared" si="64"/>
        <v>491338816.81527287</v>
      </c>
      <c r="W96" s="1290">
        <f t="shared" si="64"/>
        <v>512495891.00212252</v>
      </c>
      <c r="X96" s="1290">
        <f t="shared" si="64"/>
        <v>534403732.13780499</v>
      </c>
      <c r="Y96" s="1290">
        <f t="shared" si="64"/>
        <v>557086655.39839542</v>
      </c>
      <c r="Z96" s="1290">
        <f t="shared" si="64"/>
        <v>580569722.48942924</v>
      </c>
      <c r="AA96" s="1290">
        <f t="shared" si="64"/>
        <v>604878763.77539063</v>
      </c>
      <c r="AB96" s="1290">
        <f t="shared" si="64"/>
        <v>630040401.0490942</v>
      </c>
      <c r="AC96" s="1290">
        <f t="shared" si="64"/>
        <v>656082070.95912325</v>
      </c>
      <c r="AD96" s="1290">
        <f t="shared" si="64"/>
        <v>683032049.11399829</v>
      </c>
      <c r="AE96" s="1290">
        <f t="shared" si="64"/>
        <v>710919474.88226748</v>
      </c>
    </row>
    <row r="97" spans="1:31" x14ac:dyDescent="0.35">
      <c r="A97" s="736" t="s">
        <v>854</v>
      </c>
      <c r="B97" s="1290">
        <f t="shared" si="65"/>
        <v>65371544.255357243</v>
      </c>
      <c r="C97" s="1290">
        <f t="shared" si="64"/>
        <v>68431488.880076081</v>
      </c>
      <c r="D97" s="1290">
        <f t="shared" si="64"/>
        <v>71603573.520871282</v>
      </c>
      <c r="E97" s="1290">
        <f t="shared" si="64"/>
        <v>74891492.713156164</v>
      </c>
      <c r="F97" s="1290">
        <f t="shared" si="64"/>
        <v>78299055.631604761</v>
      </c>
      <c r="G97" s="1290">
        <f t="shared" si="64"/>
        <v>81830189.513030082</v>
      </c>
      <c r="H97" s="1290">
        <f t="shared" si="64"/>
        <v>85488943.178756893</v>
      </c>
      <c r="I97" s="1290">
        <f t="shared" si="64"/>
        <v>89279490.659324408</v>
      </c>
      <c r="J97" s="1290">
        <f t="shared" si="64"/>
        <v>93206134.924433574</v>
      </c>
      <c r="K97" s="1290">
        <f t="shared" si="64"/>
        <v>97273311.721136123</v>
      </c>
      <c r="L97" s="1290">
        <f t="shared" si="64"/>
        <v>101485593.52334602</v>
      </c>
      <c r="M97" s="1290">
        <f t="shared" si="64"/>
        <v>105847693.59584072</v>
      </c>
      <c r="N97" s="1290">
        <f t="shared" si="64"/>
        <v>110364470.17600805</v>
      </c>
      <c r="O97" s="1290">
        <f t="shared" si="64"/>
        <v>115040930.77668636</v>
      </c>
      <c r="P97" s="1290">
        <f t="shared" si="64"/>
        <v>119882236.61353855</v>
      </c>
      <c r="Q97" s="1290">
        <f t="shared" si="64"/>
        <v>124893707.16049793</v>
      </c>
      <c r="R97" s="1290">
        <f t="shared" si="64"/>
        <v>130080824.83692184</v>
      </c>
      <c r="S97" s="1290">
        <f t="shared" si="64"/>
        <v>135449239.83019161</v>
      </c>
      <c r="T97" s="1290">
        <f t="shared" si="64"/>
        <v>141004775.05760181</v>
      </c>
      <c r="U97" s="1290">
        <f t="shared" si="64"/>
        <v>146753431.27148864</v>
      </c>
      <c r="V97" s="1290">
        <f t="shared" si="64"/>
        <v>152701392.3116588</v>
      </c>
      <c r="W97" s="1290">
        <f t="shared" si="64"/>
        <v>158855030.50929278</v>
      </c>
      <c r="X97" s="1290">
        <f t="shared" si="64"/>
        <v>165220912.24661368</v>
      </c>
      <c r="Y97" s="1290">
        <f t="shared" si="64"/>
        <v>171805803.67673233</v>
      </c>
      <c r="Z97" s="1290">
        <f t="shared" si="64"/>
        <v>178616676.60820282</v>
      </c>
      <c r="AA97" s="1290">
        <f t="shared" si="64"/>
        <v>185660714.55894881</v>
      </c>
      <c r="AB97" s="1290">
        <f t="shared" si="64"/>
        <v>192945318.98435199</v>
      </c>
      <c r="AC97" s="1290">
        <f t="shared" si="64"/>
        <v>200478115.68442595</v>
      </c>
      <c r="AD97" s="1290">
        <f t="shared" si="64"/>
        <v>208266961.39513844</v>
      </c>
      <c r="AE97" s="1290">
        <f t="shared" si="64"/>
        <v>216319950.56908378</v>
      </c>
    </row>
    <row r="98" spans="1:31" x14ac:dyDescent="0.35">
      <c r="A98" s="736" t="s">
        <v>855</v>
      </c>
      <c r="B98" s="1290">
        <f t="shared" si="65"/>
        <v>219862115.91732413</v>
      </c>
      <c r="C98" s="1290">
        <f t="shared" si="64"/>
        <v>230216447.05588597</v>
      </c>
      <c r="D98" s="1290">
        <f t="shared" si="64"/>
        <v>240951080.9289276</v>
      </c>
      <c r="E98" s="1290">
        <f t="shared" si="64"/>
        <v>252078561.21621141</v>
      </c>
      <c r="F98" s="1290">
        <f t="shared" si="64"/>
        <v>263611821.09227884</v>
      </c>
      <c r="G98" s="1290">
        <f t="shared" si="64"/>
        <v>275564194.86138952</v>
      </c>
      <c r="H98" s="1290">
        <f t="shared" si="64"/>
        <v>287949429.93077296</v>
      </c>
      <c r="I98" s="1290">
        <f t="shared" si="64"/>
        <v>300781699.13183725</v>
      </c>
      <c r="J98" s="1290">
        <f t="shared" si="64"/>
        <v>314075613.39924806</v>
      </c>
      <c r="K98" s="1290">
        <f t="shared" si="64"/>
        <v>327846234.81807196</v>
      </c>
      <c r="L98" s="1290">
        <f t="shared" si="64"/>
        <v>342109090.04946256</v>
      </c>
      <c r="M98" s="1290">
        <f t="shared" si="64"/>
        <v>356880184.14566135</v>
      </c>
      <c r="N98" s="1290">
        <f t="shared" si="64"/>
        <v>372176014.76538914</v>
      </c>
      <c r="O98" s="1290">
        <f t="shared" si="64"/>
        <v>388013586.80101234</v>
      </c>
      <c r="P98" s="1290">
        <f t="shared" si="64"/>
        <v>404410427.42918837</v>
      </c>
      <c r="Q98" s="1290">
        <f t="shared" si="64"/>
        <v>421384601.59702241</v>
      </c>
      <c r="R98" s="1290">
        <f t="shared" si="64"/>
        <v>438954727.95610499</v>
      </c>
      <c r="S98" s="1290">
        <f t="shared" si="64"/>
        <v>457139995.25714368</v>
      </c>
      <c r="T98" s="1290">
        <f t="shared" si="64"/>
        <v>475960179.21826154</v>
      </c>
      <c r="U98" s="1290">
        <f t="shared" si="64"/>
        <v>495435659.8803997</v>
      </c>
      <c r="V98" s="1290">
        <f t="shared" si="64"/>
        <v>515587439.4636333</v>
      </c>
      <c r="W98" s="1290">
        <f t="shared" si="64"/>
        <v>536437160.73860341</v>
      </c>
      <c r="X98" s="1290">
        <f t="shared" si="64"/>
        <v>558007125.92765725</v>
      </c>
      <c r="Y98" s="1290">
        <f t="shared" si="64"/>
        <v>580320316.150702</v>
      </c>
      <c r="Z98" s="1290">
        <f t="shared" si="64"/>
        <v>603400411.43119442</v>
      </c>
      <c r="AA98" s="1290">
        <f t="shared" si="64"/>
        <v>627271811.27811706</v>
      </c>
      <c r="AB98" s="1290">
        <f t="shared" si="64"/>
        <v>651959655.86024141</v>
      </c>
      <c r="AC98" s="1290">
        <f t="shared" si="64"/>
        <v>677489847.78942311</v>
      </c>
      <c r="AD98" s="1290">
        <f t="shared" si="64"/>
        <v>703889074.53015149</v>
      </c>
      <c r="AE98" s="1290">
        <f t="shared" si="64"/>
        <v>731184831.45304775</v>
      </c>
    </row>
    <row r="99" spans="1:31" x14ac:dyDescent="0.35">
      <c r="A99" s="736" t="s">
        <v>856</v>
      </c>
      <c r="B99" s="1290">
        <f t="shared" si="65"/>
        <v>707730165.17566085</v>
      </c>
      <c r="C99" s="1290">
        <f t="shared" si="64"/>
        <v>741737289.30441642</v>
      </c>
      <c r="D99" s="1290">
        <f t="shared" si="64"/>
        <v>777002438.28637481</v>
      </c>
      <c r="E99" s="1290">
        <f t="shared" si="64"/>
        <v>813567258.91161585</v>
      </c>
      <c r="F99" s="1290">
        <f t="shared" si="64"/>
        <v>851474694.04418993</v>
      </c>
      <c r="G99" s="1290">
        <f t="shared" si="64"/>
        <v>890769021.39657307</v>
      </c>
      <c r="H99" s="1290">
        <f t="shared" si="64"/>
        <v>931495893.43279779</v>
      </c>
      <c r="I99" s="1290">
        <f t="shared" si="64"/>
        <v>973702378.43246078</v>
      </c>
      <c r="J99" s="1290">
        <f t="shared" si="64"/>
        <v>1017437002.7487113</v>
      </c>
      <c r="K99" s="1290">
        <f t="shared" si="64"/>
        <v>1062749794.2942543</v>
      </c>
      <c r="L99" s="1290">
        <f t="shared" si="64"/>
        <v>1109692327.2903564</v>
      </c>
      <c r="M99" s="1290">
        <f t="shared" si="64"/>
        <v>1158317768.3148296</v>
      </c>
      <c r="N99" s="1290">
        <f t="shared" si="64"/>
        <v>1208680923.6859703</v>
      </c>
      <c r="O99" s="1290">
        <f t="shared" si="64"/>
        <v>1260838288.2204711</v>
      </c>
      <c r="P99" s="1290">
        <f t="shared" si="64"/>
        <v>1314848095.404393</v>
      </c>
      <c r="Q99" s="1290">
        <f t="shared" si="64"/>
        <v>1370770369.0173736</v>
      </c>
      <c r="R99" s="1290">
        <f t="shared" si="64"/>
        <v>1428666976.2513752</v>
      </c>
      <c r="S99" s="1290">
        <f t="shared" si="64"/>
        <v>1488601682.3664408</v>
      </c>
      <c r="T99" s="1290">
        <f t="shared" si="64"/>
        <v>1550640206.9271028</v>
      </c>
      <c r="U99" s="1290">
        <f t="shared" si="64"/>
        <v>1614850281.6643188</v>
      </c>
      <c r="V99" s="1290">
        <f t="shared" si="64"/>
        <v>1681301710.0090661</v>
      </c>
      <c r="W99" s="1290">
        <f t="shared" si="64"/>
        <v>1750066428.3450108</v>
      </c>
      <c r="X99" s="1290">
        <f t="shared" si="64"/>
        <v>1821218569.0289969</v>
      </c>
      <c r="Y99" s="1290">
        <f t="shared" si="64"/>
        <v>1894834525.2294667</v>
      </c>
      <c r="Z99" s="1290">
        <f t="shared" si="64"/>
        <v>1970993017.6343169</v>
      </c>
      <c r="AA99" s="1290">
        <f t="shared" si="64"/>
        <v>2049775163.0811412</v>
      </c>
      <c r="AB99" s="1290">
        <f t="shared" si="64"/>
        <v>2131264545.1642852</v>
      </c>
      <c r="AC99" s="1290">
        <f t="shared" si="64"/>
        <v>2215547286.8746605</v>
      </c>
      <c r="AD99" s="1290">
        <f t="shared" si="64"/>
        <v>2302712125.3298273</v>
      </c>
      <c r="AE99" s="1290">
        <f t="shared" si="64"/>
        <v>2392850488.6534553</v>
      </c>
    </row>
    <row r="100" spans="1:31" x14ac:dyDescent="0.35">
      <c r="A100" s="736" t="s">
        <v>857</v>
      </c>
      <c r="B100" s="1290">
        <f t="shared" si="65"/>
        <v>434520642.18409109</v>
      </c>
      <c r="C100" s="1290">
        <f t="shared" si="64"/>
        <v>453986908.69501281</v>
      </c>
      <c r="D100" s="1290">
        <f t="shared" si="64"/>
        <v>474154913.13011557</v>
      </c>
      <c r="E100" s="1290">
        <f t="shared" si="64"/>
        <v>495047575.96903908</v>
      </c>
      <c r="F100" s="1290">
        <f t="shared" si="64"/>
        <v>516688525.12920249</v>
      </c>
      <c r="G100" s="1290">
        <f t="shared" si="64"/>
        <v>539102117.01239336</v>
      </c>
      <c r="H100" s="1290">
        <f t="shared" si="64"/>
        <v>562313458.161538</v>
      </c>
      <c r="I100" s="1290">
        <f t="shared" si="64"/>
        <v>586348427.54500723</v>
      </c>
      <c r="J100" s="1290">
        <f t="shared" si="64"/>
        <v>611233699.48629892</v>
      </c>
      <c r="K100" s="1290">
        <f t="shared" si="64"/>
        <v>636996767.25743961</v>
      </c>
      <c r="L100" s="1290">
        <f t="shared" si="64"/>
        <v>663665967.3549583</v>
      </c>
      <c r="M100" s="1290">
        <f t="shared" si="64"/>
        <v>691270504.47781706</v>
      </c>
      <c r="N100" s="1290">
        <f t="shared" si="64"/>
        <v>719840477.22722197</v>
      </c>
      <c r="O100" s="1290">
        <f t="shared" si="64"/>
        <v>749406904.54879832</v>
      </c>
      <c r="P100" s="1290">
        <f t="shared" si="64"/>
        <v>780001752.93818665</v>
      </c>
      <c r="Q100" s="1290">
        <f t="shared" si="64"/>
        <v>811657964.43170118</v>
      </c>
      <c r="R100" s="1290">
        <f t="shared" si="64"/>
        <v>844409485.4043051</v>
      </c>
      <c r="S100" s="1290">
        <f t="shared" si="64"/>
        <v>878291296.1977694</v>
      </c>
      <c r="T100" s="1290">
        <f t="shared" si="64"/>
        <v>913339441.60252941</v>
      </c>
      <c r="U100" s="1290">
        <f t="shared" si="64"/>
        <v>949591062.21740365</v>
      </c>
      <c r="V100" s="1290">
        <f t="shared" si="64"/>
        <v>987084426.71201992</v>
      </c>
      <c r="W100" s="1290">
        <f t="shared" si="64"/>
        <v>1025858965.0174814</v>
      </c>
      <c r="X100" s="1290">
        <f t="shared" si="64"/>
        <v>1065955302.4715207</v>
      </c>
      <c r="Y100" s="1290">
        <f t="shared" si="64"/>
        <v>1107415294.9451261</v>
      </c>
      <c r="Z100" s="1290">
        <f t="shared" si="64"/>
        <v>1150282064.9783671</v>
      </c>
      <c r="AA100" s="1290">
        <f t="shared" si="64"/>
        <v>1194600038.9539294</v>
      </c>
      <c r="AB100" s="1290">
        <f t="shared" si="64"/>
        <v>1240414985.3376586</v>
      </c>
      <c r="AC100" s="1290">
        <f t="shared" si="64"/>
        <v>1287774054.0162277</v>
      </c>
      <c r="AD100" s="1290">
        <f t="shared" si="64"/>
        <v>1336725816.7628894</v>
      </c>
      <c r="AE100" s="1290">
        <f t="shared" si="64"/>
        <v>1387320308.8631241</v>
      </c>
    </row>
    <row r="101" spans="1:31" x14ac:dyDescent="0.35">
      <c r="A101" s="736" t="s">
        <v>6</v>
      </c>
      <c r="B101" s="1290">
        <f t="shared" si="65"/>
        <v>40794263.680082433</v>
      </c>
      <c r="C101" s="1290">
        <f t="shared" si="64"/>
        <v>43421704.823216841</v>
      </c>
      <c r="D101" s="1290">
        <f t="shared" si="64"/>
        <v>46155021.608707912</v>
      </c>
      <c r="E101" s="1290">
        <f t="shared" si="64"/>
        <v>48997865.66795902</v>
      </c>
      <c r="F101" s="1290">
        <f t="shared" si="64"/>
        <v>51954005.041667253</v>
      </c>
      <c r="G101" s="1290">
        <f t="shared" si="64"/>
        <v>55027327.718018413</v>
      </c>
      <c r="H101" s="1290">
        <f t="shared" si="64"/>
        <v>58221845.275036089</v>
      </c>
      <c r="I101" s="1290">
        <f t="shared" si="64"/>
        <v>61541696.630080894</v>
      </c>
      <c r="J101" s="1290">
        <f t="shared" si="64"/>
        <v>64991151.899581045</v>
      </c>
      <c r="K101" s="1290">
        <f t="shared" si="64"/>
        <v>68574616.372162387</v>
      </c>
      <c r="L101" s="1290">
        <f t="shared" si="64"/>
        <v>72296634.598435581</v>
      </c>
      <c r="M101" s="1290">
        <f t="shared" si="64"/>
        <v>76161894.600789815</v>
      </c>
      <c r="N101" s="1290">
        <f t="shared" si="64"/>
        <v>80175232.20663774</v>
      </c>
      <c r="O101" s="1290">
        <f t="shared" si="64"/>
        <v>84341635.508652568</v>
      </c>
      <c r="P101" s="1290">
        <f t="shared" si="64"/>
        <v>88666249.455639005</v>
      </c>
      <c r="Q101" s="1290">
        <f t="shared" si="64"/>
        <v>93154380.577781826</v>
      </c>
      <c r="R101" s="1290">
        <f t="shared" si="64"/>
        <v>97811501.850122035</v>
      </c>
      <c r="S101" s="1290">
        <f t="shared" si="64"/>
        <v>102643257.69821814</v>
      </c>
      <c r="T101" s="1290">
        <f t="shared" si="64"/>
        <v>107655469.15006271</v>
      </c>
      <c r="U101" s="1290">
        <f t="shared" si="64"/>
        <v>112854139.13843814</v>
      </c>
      <c r="V101" s="1290">
        <f t="shared" si="64"/>
        <v>118245457.95801353</v>
      </c>
      <c r="W101" s="1290">
        <f t="shared" si="64"/>
        <v>123835808.88160619</v>
      </c>
      <c r="X101" s="1290">
        <f t="shared" si="64"/>
        <v>129631773.94015469</v>
      </c>
      <c r="Y101" s="1290">
        <f t="shared" si="64"/>
        <v>135640139.87107962</v>
      </c>
      <c r="Z101" s="1290">
        <f t="shared" si="64"/>
        <v>141867904.23983821</v>
      </c>
      <c r="AA101" s="1290">
        <f t="shared" si="64"/>
        <v>148322281.73961529</v>
      </c>
      <c r="AB101" s="1290">
        <f t="shared" si="64"/>
        <v>155010710.67423135</v>
      </c>
      <c r="AC101" s="1290">
        <f t="shared" si="64"/>
        <v>161940859.62949097</v>
      </c>
      <c r="AD101" s="1290">
        <f t="shared" si="64"/>
        <v>169120634.33834216</v>
      </c>
      <c r="AE101" s="1290">
        <f t="shared" si="64"/>
        <v>176558184.74536744</v>
      </c>
    </row>
    <row r="102" spans="1:31" x14ac:dyDescent="0.35">
      <c r="A102" s="736" t="s">
        <v>0</v>
      </c>
      <c r="B102" s="1291">
        <f>SUM(B95:B101)</f>
        <v>1884344328.2777464</v>
      </c>
      <c r="C102" s="1291">
        <f>SUM(C95:C101)</f>
        <v>1972446253.3978043</v>
      </c>
      <c r="D102" s="1291">
        <f t="shared" ref="D102:AD102" si="66">SUM(D95:D101)</f>
        <v>2063775559.5686913</v>
      </c>
      <c r="E102" s="1291">
        <f t="shared" si="66"/>
        <v>2158438552.1397491</v>
      </c>
      <c r="F102" s="1291">
        <f t="shared" si="66"/>
        <v>2256544834.6146293</v>
      </c>
      <c r="G102" s="1291">
        <f t="shared" si="66"/>
        <v>2358207407.118166</v>
      </c>
      <c r="H102" s="1291">
        <f t="shared" si="66"/>
        <v>2463542767.7252455</v>
      </c>
      <c r="I102" s="1291">
        <f t="shared" si="66"/>
        <v>2572671016.7332301</v>
      </c>
      <c r="J102" s="1291">
        <f t="shared" si="66"/>
        <v>2685715963.9617858</v>
      </c>
      <c r="K102" s="1291">
        <f t="shared" si="66"/>
        <v>2802805239.1663108</v>
      </c>
      <c r="L102" s="1291">
        <f t="shared" si="66"/>
        <v>2924070405.6535864</v>
      </c>
      <c r="M102" s="1291">
        <f t="shared" si="66"/>
        <v>3049647077.1907463</v>
      </c>
      <c r="N102" s="1291">
        <f t="shared" si="66"/>
        <v>3179675038.3012314</v>
      </c>
      <c r="O102" s="1291">
        <f t="shared" si="66"/>
        <v>3314298368.0439959</v>
      </c>
      <c r="P102" s="1291">
        <f t="shared" si="66"/>
        <v>3453665567.3749599</v>
      </c>
      <c r="Q102" s="1291">
        <f t="shared" si="66"/>
        <v>3597929690.1924453</v>
      </c>
      <c r="R102" s="1291">
        <f t="shared" si="66"/>
        <v>3747248478.171195</v>
      </c>
      <c r="S102" s="1291">
        <f t="shared" si="66"/>
        <v>3901784499.4925127</v>
      </c>
      <c r="T102" s="1291">
        <f t="shared" si="66"/>
        <v>4061705291.5810385</v>
      </c>
      <c r="U102" s="1291">
        <f t="shared" si="66"/>
        <v>4227183507.9618082</v>
      </c>
      <c r="V102" s="1291">
        <f t="shared" si="66"/>
        <v>4398397069.3543777</v>
      </c>
      <c r="W102" s="1291">
        <f t="shared" si="66"/>
        <v>4575529319.1241007</v>
      </c>
      <c r="X102" s="1291">
        <f t="shared" si="66"/>
        <v>4758769183.2139626</v>
      </c>
      <c r="Y102" s="1291">
        <f t="shared" si="66"/>
        <v>4948311334.6838636</v>
      </c>
      <c r="Z102" s="1291">
        <f t="shared" si="66"/>
        <v>5144356362.9877539</v>
      </c>
      <c r="AA102" s="1291">
        <f t="shared" si="66"/>
        <v>5347110948.1226587</v>
      </c>
      <c r="AB102" s="1291">
        <f t="shared" si="66"/>
        <v>5556788039.7874432</v>
      </c>
      <c r="AC102" s="1291">
        <f t="shared" si="66"/>
        <v>5773607041.6928883</v>
      </c>
      <c r="AD102" s="1291">
        <f t="shared" si="66"/>
        <v>5997794001.1687403</v>
      </c>
      <c r="AE102" s="1291">
        <f>SUM(AE95:AE101)</f>
        <v>6229581804.2173252</v>
      </c>
    </row>
    <row r="104" spans="1:31" x14ac:dyDescent="0.35">
      <c r="A104" s="198" t="s">
        <v>1411</v>
      </c>
    </row>
    <row r="105" spans="1:31" x14ac:dyDescent="0.35">
      <c r="A105" s="736" t="s">
        <v>0</v>
      </c>
      <c r="B105" s="1333">
        <f>B102*$Z$2</f>
        <v>1347306194.7185886</v>
      </c>
      <c r="C105" s="1333">
        <f t="shared" ref="C105:AE105" si="67">C102*$Z$2</f>
        <v>1410299071.17943</v>
      </c>
      <c r="D105" s="1333">
        <f t="shared" si="67"/>
        <v>1475599525.0916142</v>
      </c>
      <c r="E105" s="1333">
        <f t="shared" si="67"/>
        <v>1543283564.7799206</v>
      </c>
      <c r="F105" s="1333">
        <f t="shared" si="67"/>
        <v>1613429556.7494597</v>
      </c>
      <c r="G105" s="1333">
        <f t="shared" si="67"/>
        <v>1686118296.0894885</v>
      </c>
      <c r="H105" s="1333">
        <f t="shared" si="67"/>
        <v>1761433078.9235504</v>
      </c>
      <c r="I105" s="1333">
        <f t="shared" si="67"/>
        <v>1839459776.9642594</v>
      </c>
      <c r="J105" s="1333">
        <f t="shared" si="67"/>
        <v>1920286914.2326767</v>
      </c>
      <c r="K105" s="1333">
        <f t="shared" si="67"/>
        <v>2004005746.0039122</v>
      </c>
      <c r="L105" s="1333">
        <f t="shared" si="67"/>
        <v>2090710340.0423143</v>
      </c>
      <c r="M105" s="1333">
        <f t="shared" si="67"/>
        <v>2180497660.1913834</v>
      </c>
      <c r="N105" s="1333">
        <f t="shared" si="67"/>
        <v>2273467652.3853803</v>
      </c>
      <c r="O105" s="1333">
        <f t="shared" si="67"/>
        <v>2369723333.1514568</v>
      </c>
      <c r="P105" s="1333">
        <f t="shared" si="67"/>
        <v>2469370880.6730962</v>
      </c>
      <c r="Q105" s="1333">
        <f t="shared" si="67"/>
        <v>2572519728.4875984</v>
      </c>
      <c r="R105" s="1333">
        <f t="shared" si="67"/>
        <v>2679282661.8924046</v>
      </c>
      <c r="S105" s="1333">
        <f t="shared" si="67"/>
        <v>2789775917.1371465</v>
      </c>
      <c r="T105" s="1333">
        <f t="shared" si="67"/>
        <v>2904119283.4804425</v>
      </c>
      <c r="U105" s="1333">
        <f t="shared" si="67"/>
        <v>3022436208.1926928</v>
      </c>
      <c r="V105" s="1333">
        <f t="shared" si="67"/>
        <v>3144853904.5883799</v>
      </c>
      <c r="W105" s="1333">
        <f t="shared" si="67"/>
        <v>3271503463.1737318</v>
      </c>
      <c r="X105" s="1333">
        <f t="shared" si="67"/>
        <v>3402519965.997983</v>
      </c>
      <c r="Y105" s="1333">
        <f t="shared" si="67"/>
        <v>3538042604.2989621</v>
      </c>
      <c r="Z105" s="1333">
        <f t="shared" si="67"/>
        <v>3678214799.5362439</v>
      </c>
      <c r="AA105" s="1333">
        <f t="shared" si="67"/>
        <v>3823184327.907701</v>
      </c>
      <c r="AB105" s="1333">
        <f t="shared" si="67"/>
        <v>3973103448.4480219</v>
      </c>
      <c r="AC105" s="1333">
        <f t="shared" si="67"/>
        <v>4128129034.8104148</v>
      </c>
      <c r="AD105" s="1333">
        <f t="shared" si="67"/>
        <v>4288422710.835649</v>
      </c>
      <c r="AE105" s="1333">
        <f t="shared" si="67"/>
        <v>4454150990.0153875</v>
      </c>
    </row>
  </sheetData>
  <mergeCells count="8">
    <mergeCell ref="B1:E1"/>
    <mergeCell ref="G1:J1"/>
    <mergeCell ref="L1:O1"/>
    <mergeCell ref="Q1:T1"/>
    <mergeCell ref="B52:D52"/>
    <mergeCell ref="G52:I52"/>
    <mergeCell ref="L52:N52"/>
    <mergeCell ref="Q52:S52"/>
  </mergeCells>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F32830-85ED-46A4-AD2B-512EFE49A93F}">
  <sheetPr>
    <tabColor rgb="FFE9C46A"/>
  </sheetPr>
  <dimension ref="A1:Z61"/>
  <sheetViews>
    <sheetView zoomScale="55" zoomScaleNormal="55" workbookViewId="0">
      <selection activeCell="E18" sqref="E18"/>
    </sheetView>
  </sheetViews>
  <sheetFormatPr defaultRowHeight="14.5" x14ac:dyDescent="0.35"/>
  <cols>
    <col min="2" max="2" width="25.81640625" bestFit="1" customWidth="1"/>
    <col min="3" max="3" width="25.81640625" customWidth="1"/>
    <col min="4" max="4" width="18.81640625" bestFit="1" customWidth="1"/>
    <col min="5" max="5" width="18.54296875" bestFit="1" customWidth="1"/>
    <col min="6" max="6" width="22.54296875" bestFit="1" customWidth="1"/>
    <col min="7" max="7" width="17.26953125" customWidth="1"/>
    <col min="8" max="8" width="16.1796875" customWidth="1"/>
    <col min="9" max="9" width="20.1796875" customWidth="1"/>
    <col min="15" max="15" width="10" bestFit="1" customWidth="1"/>
  </cols>
  <sheetData>
    <row r="1" spans="1:17" x14ac:dyDescent="0.35">
      <c r="B1" s="751" t="s">
        <v>858</v>
      </c>
      <c r="C1" s="330"/>
      <c r="D1" s="330"/>
      <c r="E1" s="330"/>
      <c r="F1" s="330"/>
      <c r="G1" s="330"/>
      <c r="H1" s="330"/>
      <c r="I1" s="330"/>
      <c r="L1" t="s">
        <v>859</v>
      </c>
    </row>
    <row r="2" spans="1:17" x14ac:dyDescent="0.35">
      <c r="B2" s="89"/>
      <c r="C2" s="89"/>
      <c r="D2" s="820" t="s">
        <v>860</v>
      </c>
      <c r="E2" s="820" t="s">
        <v>861</v>
      </c>
      <c r="F2" s="820" t="s">
        <v>862</v>
      </c>
      <c r="G2" s="820" t="s">
        <v>863</v>
      </c>
      <c r="H2" s="820"/>
      <c r="I2" s="820" t="s">
        <v>864</v>
      </c>
      <c r="L2" s="820" t="s">
        <v>865</v>
      </c>
      <c r="M2" s="820" t="s">
        <v>866</v>
      </c>
      <c r="N2" s="820" t="s">
        <v>867</v>
      </c>
      <c r="O2" s="820" t="s">
        <v>868</v>
      </c>
      <c r="P2" s="820" t="s">
        <v>869</v>
      </c>
      <c r="Q2" s="820" t="s">
        <v>870</v>
      </c>
    </row>
    <row r="3" spans="1:17" x14ac:dyDescent="0.35">
      <c r="B3" t="s">
        <v>871</v>
      </c>
      <c r="D3" s="331">
        <v>9664</v>
      </c>
      <c r="E3" s="331">
        <v>9325</v>
      </c>
      <c r="F3" s="327">
        <f>E3/D3</f>
        <v>0.96492135761589404</v>
      </c>
      <c r="G3" s="331">
        <v>3087</v>
      </c>
      <c r="H3" s="331"/>
      <c r="I3" s="327">
        <f>G3/E3</f>
        <v>0.3310455764075067</v>
      </c>
    </row>
    <row r="6" spans="1:17" x14ac:dyDescent="0.35">
      <c r="B6" s="198" t="s">
        <v>872</v>
      </c>
    </row>
    <row r="7" spans="1:17" x14ac:dyDescent="0.35">
      <c r="B7" s="820"/>
      <c r="C7" s="820"/>
      <c r="D7" s="820"/>
      <c r="E7" s="820"/>
      <c r="F7" s="820"/>
      <c r="G7" s="820"/>
      <c r="H7" s="820"/>
      <c r="I7" s="820"/>
    </row>
    <row r="8" spans="1:17" x14ac:dyDescent="0.35">
      <c r="B8" t="s">
        <v>873</v>
      </c>
      <c r="D8" s="331">
        <v>51000</v>
      </c>
      <c r="E8" s="332" t="s">
        <v>874</v>
      </c>
      <c r="G8" s="547">
        <v>54000</v>
      </c>
      <c r="H8" s="547"/>
    </row>
    <row r="9" spans="1:17" x14ac:dyDescent="0.35">
      <c r="B9" t="s">
        <v>875</v>
      </c>
      <c r="D9" s="331">
        <v>450</v>
      </c>
      <c r="E9" s="332" t="s">
        <v>874</v>
      </c>
      <c r="F9" t="s">
        <v>876</v>
      </c>
      <c r="G9" s="333">
        <f>D9*100</f>
        <v>45000</v>
      </c>
      <c r="H9" s="333"/>
      <c r="I9" t="s">
        <v>877</v>
      </c>
    </row>
    <row r="10" spans="1:17" x14ac:dyDescent="0.35">
      <c r="B10" t="s">
        <v>878</v>
      </c>
      <c r="D10" s="331">
        <v>1000</v>
      </c>
      <c r="E10" s="332" t="s">
        <v>874</v>
      </c>
      <c r="F10" t="s">
        <v>879</v>
      </c>
    </row>
    <row r="11" spans="1:17" x14ac:dyDescent="0.35">
      <c r="B11" t="s">
        <v>880</v>
      </c>
      <c r="D11">
        <f>0.15-0.15-0.02-0.01+0.02+0.02-0.01+0.01-0.13+0.05-0.06-0.05-0.01-0.04</f>
        <v>-0.23</v>
      </c>
      <c r="E11" s="332" t="s">
        <v>72</v>
      </c>
    </row>
    <row r="12" spans="1:17" x14ac:dyDescent="0.35">
      <c r="E12" s="332"/>
    </row>
    <row r="13" spans="1:17" x14ac:dyDescent="0.35">
      <c r="A13" s="710"/>
      <c r="B13" s="722" t="s">
        <v>881</v>
      </c>
      <c r="C13" s="711" t="s">
        <v>882</v>
      </c>
      <c r="D13" s="712"/>
      <c r="E13" s="712"/>
      <c r="F13" s="712"/>
      <c r="G13" s="712"/>
      <c r="H13" s="712"/>
      <c r="I13" s="713"/>
    </row>
    <row r="14" spans="1:17" ht="58" x14ac:dyDescent="0.35">
      <c r="A14" s="714"/>
      <c r="B14" s="723" t="s">
        <v>883</v>
      </c>
      <c r="C14" s="729" t="s">
        <v>884</v>
      </c>
      <c r="D14" s="729" t="s">
        <v>885</v>
      </c>
      <c r="E14" s="729" t="s">
        <v>886</v>
      </c>
      <c r="F14" s="729" t="s">
        <v>887</v>
      </c>
      <c r="G14" s="729" t="s">
        <v>888</v>
      </c>
      <c r="H14" s="729" t="s">
        <v>889</v>
      </c>
      <c r="I14" s="730" t="s">
        <v>890</v>
      </c>
    </row>
    <row r="15" spans="1:17" x14ac:dyDescent="0.35">
      <c r="A15" s="714">
        <v>1</v>
      </c>
      <c r="B15" s="714" t="s">
        <v>891</v>
      </c>
      <c r="C15" t="s">
        <v>892</v>
      </c>
      <c r="D15" s="715">
        <v>2.1000000000000001E-2</v>
      </c>
      <c r="E15" s="716">
        <v>91.48</v>
      </c>
      <c r="F15" s="716">
        <v>92.26</v>
      </c>
      <c r="G15" s="716">
        <f t="shared" ref="G15:G54" si="0">F15-E15</f>
        <v>0.78000000000000114</v>
      </c>
      <c r="H15" s="327">
        <f t="shared" ref="H15:H17" si="1">(F15/E15)</f>
        <v>1.0085264538696983</v>
      </c>
      <c r="I15" s="717">
        <f>IF(H15&lt;0.3,((E15*0.3)-F15), 0)</f>
        <v>0</v>
      </c>
    </row>
    <row r="16" spans="1:17" x14ac:dyDescent="0.35">
      <c r="A16" s="714">
        <v>2</v>
      </c>
      <c r="B16" s="714" t="s">
        <v>893</v>
      </c>
      <c r="C16" s="399" t="s">
        <v>892</v>
      </c>
      <c r="D16" s="715">
        <v>2.9899999999999999E-2</v>
      </c>
      <c r="E16" s="716">
        <v>120</v>
      </c>
      <c r="F16" s="716">
        <v>135</v>
      </c>
      <c r="G16" s="716">
        <f t="shared" si="0"/>
        <v>15</v>
      </c>
      <c r="H16" s="327">
        <f t="shared" si="1"/>
        <v>1.125</v>
      </c>
      <c r="I16" s="717">
        <f t="shared" ref="I16:I54" si="2">IF(H16&lt;0.3,((E16*0.3)-F16), 0)</f>
        <v>0</v>
      </c>
    </row>
    <row r="17" spans="1:9" x14ac:dyDescent="0.35">
      <c r="A17" s="714">
        <v>3</v>
      </c>
      <c r="B17" s="714" t="s">
        <v>894</v>
      </c>
      <c r="C17" s="399" t="s">
        <v>892</v>
      </c>
      <c r="D17" s="715">
        <v>0.155</v>
      </c>
      <c r="E17" s="716">
        <v>1995</v>
      </c>
      <c r="F17" s="716">
        <v>3712</v>
      </c>
      <c r="G17" s="716">
        <f t="shared" si="0"/>
        <v>1717</v>
      </c>
      <c r="H17" s="327">
        <f t="shared" si="1"/>
        <v>1.8606516290726818</v>
      </c>
      <c r="I17" s="717">
        <f t="shared" si="2"/>
        <v>0</v>
      </c>
    </row>
    <row r="18" spans="1:9" x14ac:dyDescent="0.35">
      <c r="A18" s="714">
        <v>4</v>
      </c>
      <c r="B18" s="714" t="s">
        <v>895</v>
      </c>
      <c r="C18" s="724" t="s">
        <v>896</v>
      </c>
      <c r="D18" s="725">
        <v>-0.15</v>
      </c>
      <c r="E18" s="726">
        <v>1750</v>
      </c>
      <c r="F18" s="726">
        <v>13</v>
      </c>
      <c r="G18" s="726">
        <f t="shared" si="0"/>
        <v>-1737</v>
      </c>
      <c r="H18" s="727">
        <f>(F18/E18)</f>
        <v>7.4285714285714285E-3</v>
      </c>
      <c r="I18" s="728">
        <f t="shared" si="2"/>
        <v>512</v>
      </c>
    </row>
    <row r="19" spans="1:9" x14ac:dyDescent="0.35">
      <c r="A19" s="714">
        <v>5</v>
      </c>
      <c r="B19" s="714" t="s">
        <v>897</v>
      </c>
      <c r="C19" s="399" t="s">
        <v>896</v>
      </c>
      <c r="D19" s="715">
        <v>-2.4E-2</v>
      </c>
      <c r="E19" s="716">
        <v>634</v>
      </c>
      <c r="F19" s="716">
        <v>292</v>
      </c>
      <c r="G19" s="716">
        <f t="shared" si="0"/>
        <v>-342</v>
      </c>
      <c r="H19" s="327">
        <f t="shared" ref="H19:H54" si="3">(F19/E19)</f>
        <v>0.4605678233438486</v>
      </c>
      <c r="I19" s="717">
        <f t="shared" si="2"/>
        <v>0</v>
      </c>
    </row>
    <row r="20" spans="1:9" x14ac:dyDescent="0.35">
      <c r="A20" s="714">
        <v>6</v>
      </c>
      <c r="B20" s="714" t="s">
        <v>898</v>
      </c>
      <c r="C20" s="399" t="s">
        <v>896</v>
      </c>
      <c r="D20" s="715">
        <v>-1.2999999999999999E-2</v>
      </c>
      <c r="E20" s="716">
        <v>545</v>
      </c>
      <c r="F20" s="716">
        <v>356</v>
      </c>
      <c r="G20" s="716">
        <f t="shared" si="0"/>
        <v>-189</v>
      </c>
      <c r="H20" s="327">
        <f t="shared" si="3"/>
        <v>0.65321100917431196</v>
      </c>
      <c r="I20" s="717">
        <f t="shared" si="2"/>
        <v>0</v>
      </c>
    </row>
    <row r="21" spans="1:9" x14ac:dyDescent="0.35">
      <c r="A21" s="714">
        <v>7</v>
      </c>
      <c r="B21" s="714" t="s">
        <v>899</v>
      </c>
      <c r="C21" s="399" t="s">
        <v>896</v>
      </c>
      <c r="D21" s="715">
        <v>1.9099999999999999E-2</v>
      </c>
      <c r="E21" s="716">
        <v>229.4</v>
      </c>
      <c r="F21" s="716">
        <v>482.7</v>
      </c>
      <c r="G21" s="716">
        <f t="shared" si="0"/>
        <v>253.29999999999998</v>
      </c>
      <c r="H21" s="327">
        <f t="shared" si="3"/>
        <v>2.1041848299912815</v>
      </c>
      <c r="I21" s="717">
        <f t="shared" si="2"/>
        <v>0</v>
      </c>
    </row>
    <row r="22" spans="1:9" x14ac:dyDescent="0.35">
      <c r="A22" s="714">
        <v>8</v>
      </c>
      <c r="B22" s="714" t="s">
        <v>900</v>
      </c>
      <c r="C22" s="399" t="s">
        <v>896</v>
      </c>
      <c r="D22" s="715">
        <v>1.47E-2</v>
      </c>
      <c r="E22" s="716">
        <v>53.4</v>
      </c>
      <c r="F22" s="716">
        <v>96.6</v>
      </c>
      <c r="G22" s="716">
        <f t="shared" si="0"/>
        <v>43.199999999999996</v>
      </c>
      <c r="H22" s="327">
        <f t="shared" si="3"/>
        <v>1.8089887640449438</v>
      </c>
      <c r="I22" s="717">
        <f t="shared" si="2"/>
        <v>0</v>
      </c>
    </row>
    <row r="23" spans="1:9" x14ac:dyDescent="0.35">
      <c r="A23" s="714">
        <v>9</v>
      </c>
      <c r="B23" s="714" t="s">
        <v>901</v>
      </c>
      <c r="C23" s="399" t="s">
        <v>896</v>
      </c>
      <c r="D23" s="715">
        <v>1.83E-2</v>
      </c>
      <c r="E23" s="716">
        <v>225</v>
      </c>
      <c r="F23" s="716">
        <v>459</v>
      </c>
      <c r="G23" s="716">
        <f t="shared" si="0"/>
        <v>234</v>
      </c>
      <c r="H23" s="327">
        <f t="shared" si="3"/>
        <v>2.04</v>
      </c>
      <c r="I23" s="717">
        <f t="shared" si="2"/>
        <v>0</v>
      </c>
    </row>
    <row r="24" spans="1:9" x14ac:dyDescent="0.35">
      <c r="A24" s="714">
        <v>10</v>
      </c>
      <c r="B24" s="714" t="s">
        <v>902</v>
      </c>
      <c r="C24" s="399" t="s">
        <v>896</v>
      </c>
      <c r="D24" s="715">
        <v>-1.04E-2</v>
      </c>
      <c r="E24" s="716">
        <v>487</v>
      </c>
      <c r="F24" s="716">
        <v>324</v>
      </c>
      <c r="G24" s="716">
        <f t="shared" si="0"/>
        <v>-163</v>
      </c>
      <c r="H24" s="327">
        <f t="shared" si="3"/>
        <v>0.6652977412731006</v>
      </c>
      <c r="I24" s="717">
        <f t="shared" si="2"/>
        <v>0</v>
      </c>
    </row>
    <row r="25" spans="1:9" x14ac:dyDescent="0.35">
      <c r="A25" s="714">
        <v>11</v>
      </c>
      <c r="B25" s="714" t="s">
        <v>903</v>
      </c>
      <c r="C25" s="399" t="s">
        <v>896</v>
      </c>
      <c r="D25" s="715">
        <v>1.06E-2</v>
      </c>
      <c r="E25" s="716">
        <v>248</v>
      </c>
      <c r="F25" s="716">
        <v>375</v>
      </c>
      <c r="G25" s="716">
        <f t="shared" si="0"/>
        <v>127</v>
      </c>
      <c r="H25" s="327">
        <f t="shared" si="3"/>
        <v>1.5120967741935485</v>
      </c>
      <c r="I25" s="717">
        <f t="shared" si="2"/>
        <v>0</v>
      </c>
    </row>
    <row r="26" spans="1:9" x14ac:dyDescent="0.35">
      <c r="A26" s="714">
        <v>12</v>
      </c>
      <c r="B26" s="714" t="s">
        <v>904</v>
      </c>
      <c r="C26" s="399" t="s">
        <v>896</v>
      </c>
      <c r="D26" s="715">
        <v>-0.13</v>
      </c>
      <c r="E26" s="716">
        <v>15953</v>
      </c>
      <c r="F26" s="716">
        <v>6401</v>
      </c>
      <c r="G26" s="716">
        <f t="shared" si="0"/>
        <v>-9552</v>
      </c>
      <c r="H26" s="327">
        <f t="shared" si="3"/>
        <v>0.40124114586598131</v>
      </c>
      <c r="I26" s="717">
        <f t="shared" si="2"/>
        <v>0</v>
      </c>
    </row>
    <row r="27" spans="1:9" x14ac:dyDescent="0.35">
      <c r="A27" s="714">
        <v>13</v>
      </c>
      <c r="B27" s="714" t="s">
        <v>905</v>
      </c>
      <c r="C27" s="399" t="s">
        <v>896</v>
      </c>
      <c r="D27" s="715">
        <v>5.4800000000000001E-2</v>
      </c>
      <c r="E27" s="716">
        <v>350</v>
      </c>
      <c r="F27" s="716">
        <v>1911</v>
      </c>
      <c r="G27" s="716">
        <f t="shared" si="0"/>
        <v>1561</v>
      </c>
      <c r="H27" s="327">
        <f t="shared" si="3"/>
        <v>5.46</v>
      </c>
      <c r="I27" s="717">
        <f t="shared" si="2"/>
        <v>0</v>
      </c>
    </row>
    <row r="28" spans="1:9" x14ac:dyDescent="0.35">
      <c r="A28" s="714">
        <v>14</v>
      </c>
      <c r="B28" s="714" t="s">
        <v>906</v>
      </c>
      <c r="C28" s="399" t="s">
        <v>896</v>
      </c>
      <c r="D28" s="715">
        <v>-4.7000000000000002E-3</v>
      </c>
      <c r="E28" s="716">
        <v>35</v>
      </c>
      <c r="F28" s="716">
        <v>27</v>
      </c>
      <c r="G28" s="716">
        <f t="shared" si="0"/>
        <v>-8</v>
      </c>
      <c r="H28" s="327">
        <f t="shared" si="3"/>
        <v>0.77142857142857146</v>
      </c>
      <c r="I28" s="717">
        <f t="shared" si="2"/>
        <v>0</v>
      </c>
    </row>
    <row r="29" spans="1:9" x14ac:dyDescent="0.35">
      <c r="A29" s="714">
        <v>15</v>
      </c>
      <c r="B29" s="714" t="s">
        <v>907</v>
      </c>
      <c r="C29" s="399" t="s">
        <v>896</v>
      </c>
      <c r="D29" s="715">
        <v>-6.1000000000000004E-3</v>
      </c>
      <c r="E29" s="716">
        <v>668</v>
      </c>
      <c r="F29" s="716">
        <v>740</v>
      </c>
      <c r="G29" s="716">
        <f t="shared" si="0"/>
        <v>72</v>
      </c>
      <c r="H29" s="327">
        <f t="shared" si="3"/>
        <v>1.1077844311377245</v>
      </c>
      <c r="I29" s="717">
        <f t="shared" si="2"/>
        <v>0</v>
      </c>
    </row>
    <row r="30" spans="1:9" x14ac:dyDescent="0.35">
      <c r="A30" s="714">
        <v>16</v>
      </c>
      <c r="B30" s="714" t="s">
        <v>908</v>
      </c>
      <c r="C30" s="399" t="s">
        <v>896</v>
      </c>
      <c r="D30" s="715">
        <v>9.4999999999999998E-3</v>
      </c>
      <c r="E30" s="716">
        <v>2374</v>
      </c>
      <c r="F30" s="716">
        <v>2078</v>
      </c>
      <c r="G30" s="716">
        <f t="shared" si="0"/>
        <v>-296</v>
      </c>
      <c r="H30" s="327">
        <f t="shared" si="3"/>
        <v>0.87531592249368151</v>
      </c>
      <c r="I30" s="717">
        <f t="shared" si="2"/>
        <v>0</v>
      </c>
    </row>
    <row r="31" spans="1:9" x14ac:dyDescent="0.35">
      <c r="A31" s="714">
        <v>17</v>
      </c>
      <c r="B31" s="714" t="s">
        <v>909</v>
      </c>
      <c r="C31" s="399" t="s">
        <v>896</v>
      </c>
      <c r="D31" s="715">
        <v>-5.0000000000000001E-3</v>
      </c>
      <c r="E31" s="716">
        <v>585</v>
      </c>
      <c r="F31" s="716">
        <v>453</v>
      </c>
      <c r="G31" s="716">
        <f t="shared" si="0"/>
        <v>-132</v>
      </c>
      <c r="H31" s="327">
        <f t="shared" si="3"/>
        <v>0.77435897435897438</v>
      </c>
      <c r="I31" s="717">
        <f t="shared" si="2"/>
        <v>0</v>
      </c>
    </row>
    <row r="32" spans="1:9" x14ac:dyDescent="0.35">
      <c r="A32" s="714">
        <v>18</v>
      </c>
      <c r="B32" s="714" t="s">
        <v>910</v>
      </c>
      <c r="C32" s="399" t="s">
        <v>896</v>
      </c>
      <c r="D32" s="715">
        <v>6.4000000000000003E-3</v>
      </c>
      <c r="E32" s="716">
        <v>273</v>
      </c>
      <c r="F32" s="716">
        <v>200</v>
      </c>
      <c r="G32" s="716">
        <f t="shared" si="0"/>
        <v>-73</v>
      </c>
      <c r="H32" s="327">
        <f t="shared" si="3"/>
        <v>0.73260073260073255</v>
      </c>
      <c r="I32" s="717">
        <f t="shared" si="2"/>
        <v>0</v>
      </c>
    </row>
    <row r="33" spans="1:11" x14ac:dyDescent="0.35">
      <c r="A33" s="714">
        <v>19</v>
      </c>
      <c r="B33" s="714" t="s">
        <v>911</v>
      </c>
      <c r="C33" s="399" t="s">
        <v>896</v>
      </c>
      <c r="D33" s="715">
        <v>8.6999999999999994E-3</v>
      </c>
      <c r="E33" s="716">
        <v>563</v>
      </c>
      <c r="F33" s="716">
        <v>593</v>
      </c>
      <c r="G33" s="716">
        <f t="shared" si="0"/>
        <v>30</v>
      </c>
      <c r="H33" s="327">
        <f t="shared" si="3"/>
        <v>1.0532859680284192</v>
      </c>
      <c r="I33" s="717">
        <f t="shared" si="2"/>
        <v>0</v>
      </c>
    </row>
    <row r="34" spans="1:11" x14ac:dyDescent="0.35">
      <c r="A34" s="714">
        <v>20</v>
      </c>
      <c r="B34" s="714" t="s">
        <v>912</v>
      </c>
      <c r="C34" s="724" t="s">
        <v>896</v>
      </c>
      <c r="D34" s="725">
        <v>-6.25E-2</v>
      </c>
      <c r="E34" s="726">
        <v>1440</v>
      </c>
      <c r="F34" s="726">
        <v>250</v>
      </c>
      <c r="G34" s="726">
        <f t="shared" si="0"/>
        <v>-1190</v>
      </c>
      <c r="H34" s="727">
        <f t="shared" si="3"/>
        <v>0.1736111111111111</v>
      </c>
      <c r="I34" s="728">
        <f t="shared" si="2"/>
        <v>182</v>
      </c>
      <c r="K34" s="333"/>
    </row>
    <row r="35" spans="1:11" x14ac:dyDescent="0.35">
      <c r="A35" s="714">
        <v>21</v>
      </c>
      <c r="B35" s="714" t="s">
        <v>913</v>
      </c>
      <c r="C35" s="724" t="s">
        <v>896</v>
      </c>
      <c r="D35" s="725">
        <v>-5.5E-2</v>
      </c>
      <c r="E35" s="726">
        <v>610</v>
      </c>
      <c r="F35" s="726">
        <v>130</v>
      </c>
      <c r="G35" s="726">
        <f t="shared" si="0"/>
        <v>-480</v>
      </c>
      <c r="H35" s="727">
        <f t="shared" si="3"/>
        <v>0.21311475409836064</v>
      </c>
      <c r="I35" s="728">
        <f t="shared" si="2"/>
        <v>53</v>
      </c>
      <c r="K35" s="333"/>
    </row>
    <row r="36" spans="1:11" x14ac:dyDescent="0.35">
      <c r="A36" s="714">
        <v>22</v>
      </c>
      <c r="B36" s="714" t="s">
        <v>914</v>
      </c>
      <c r="C36" s="399" t="s">
        <v>896</v>
      </c>
      <c r="D36" s="715">
        <v>-3.8E-3</v>
      </c>
      <c r="E36" s="716">
        <v>20</v>
      </c>
      <c r="F36" s="716">
        <v>17</v>
      </c>
      <c r="G36" s="716">
        <f t="shared" si="0"/>
        <v>-3</v>
      </c>
      <c r="H36" s="327">
        <f t="shared" si="3"/>
        <v>0.85</v>
      </c>
      <c r="I36" s="717">
        <f t="shared" si="2"/>
        <v>0</v>
      </c>
    </row>
    <row r="37" spans="1:11" x14ac:dyDescent="0.35">
      <c r="A37" s="714">
        <v>23</v>
      </c>
      <c r="B37" s="714" t="s">
        <v>915</v>
      </c>
      <c r="C37" s="399" t="s">
        <v>896</v>
      </c>
      <c r="D37" s="715">
        <v>-8.0000000000000004E-4</v>
      </c>
      <c r="E37" s="716">
        <v>34</v>
      </c>
      <c r="F37" s="716">
        <v>33</v>
      </c>
      <c r="G37" s="716">
        <f t="shared" si="0"/>
        <v>-1</v>
      </c>
      <c r="H37" s="327">
        <f t="shared" si="3"/>
        <v>0.97058823529411764</v>
      </c>
      <c r="I37" s="717">
        <f t="shared" si="2"/>
        <v>0</v>
      </c>
    </row>
    <row r="38" spans="1:11" x14ac:dyDescent="0.35">
      <c r="A38" s="714">
        <v>24</v>
      </c>
      <c r="B38" s="714" t="s">
        <v>916</v>
      </c>
      <c r="C38" s="399" t="s">
        <v>896</v>
      </c>
      <c r="D38" s="715">
        <v>-1.6000000000000001E-3</v>
      </c>
      <c r="E38" s="716">
        <v>10</v>
      </c>
      <c r="F38" s="716">
        <v>9</v>
      </c>
      <c r="G38" s="716">
        <f t="shared" si="0"/>
        <v>-1</v>
      </c>
      <c r="H38" s="327">
        <f t="shared" si="3"/>
        <v>0.9</v>
      </c>
      <c r="I38" s="717">
        <f t="shared" si="2"/>
        <v>0</v>
      </c>
    </row>
    <row r="39" spans="1:11" x14ac:dyDescent="0.35">
      <c r="A39" s="714">
        <v>25</v>
      </c>
      <c r="B39" s="714" t="s">
        <v>917</v>
      </c>
      <c r="C39" s="399" t="s">
        <v>896</v>
      </c>
      <c r="D39" s="715">
        <v>-7.0000000000000001E-3</v>
      </c>
      <c r="E39" s="716">
        <v>378</v>
      </c>
      <c r="F39" s="716">
        <v>292</v>
      </c>
      <c r="G39" s="716">
        <f t="shared" si="0"/>
        <v>-86</v>
      </c>
      <c r="H39" s="327">
        <f t="shared" si="3"/>
        <v>0.77248677248677244</v>
      </c>
      <c r="I39" s="717">
        <f t="shared" si="2"/>
        <v>0</v>
      </c>
    </row>
    <row r="40" spans="1:11" x14ac:dyDescent="0.35">
      <c r="A40" s="714">
        <v>26</v>
      </c>
      <c r="B40" s="714" t="s">
        <v>918</v>
      </c>
      <c r="C40" s="399" t="s">
        <v>896</v>
      </c>
      <c r="D40" s="715">
        <v>-2.8999999999999998E-3</v>
      </c>
      <c r="E40" s="716">
        <v>84</v>
      </c>
      <c r="F40" s="716">
        <v>75</v>
      </c>
      <c r="G40" s="716">
        <f t="shared" si="0"/>
        <v>-9</v>
      </c>
      <c r="H40" s="327">
        <f t="shared" si="3"/>
        <v>0.8928571428571429</v>
      </c>
      <c r="I40" s="717">
        <f t="shared" si="2"/>
        <v>0</v>
      </c>
    </row>
    <row r="41" spans="1:11" x14ac:dyDescent="0.35">
      <c r="A41" s="714">
        <v>27</v>
      </c>
      <c r="B41" s="714" t="s">
        <v>919</v>
      </c>
      <c r="C41" s="399" t="s">
        <v>896</v>
      </c>
      <c r="D41" s="715">
        <v>-1.03E-2</v>
      </c>
      <c r="E41" s="716">
        <v>43</v>
      </c>
      <c r="F41" s="716">
        <v>28</v>
      </c>
      <c r="G41" s="716">
        <f t="shared" si="0"/>
        <v>-15</v>
      </c>
      <c r="H41" s="327">
        <f t="shared" si="3"/>
        <v>0.65116279069767447</v>
      </c>
      <c r="I41" s="717">
        <f t="shared" si="2"/>
        <v>0</v>
      </c>
    </row>
    <row r="42" spans="1:11" x14ac:dyDescent="0.35">
      <c r="A42" s="714">
        <v>28</v>
      </c>
      <c r="B42" s="714" t="s">
        <v>920</v>
      </c>
      <c r="C42" s="399" t="s">
        <v>896</v>
      </c>
      <c r="D42" s="715">
        <v>-5.7999999999999996E-3</v>
      </c>
      <c r="E42" s="716">
        <v>201</v>
      </c>
      <c r="F42" s="716">
        <v>153</v>
      </c>
      <c r="G42" s="716">
        <f t="shared" si="0"/>
        <v>-48</v>
      </c>
      <c r="H42" s="327">
        <f t="shared" si="3"/>
        <v>0.76119402985074625</v>
      </c>
      <c r="I42" s="717">
        <f t="shared" si="2"/>
        <v>0</v>
      </c>
    </row>
    <row r="43" spans="1:11" x14ac:dyDescent="0.35">
      <c r="A43" s="714">
        <v>29</v>
      </c>
      <c r="B43" s="714" t="s">
        <v>921</v>
      </c>
      <c r="C43" s="399" t="s">
        <v>896</v>
      </c>
      <c r="D43" s="715">
        <v>-4.3E-3</v>
      </c>
      <c r="E43" s="716">
        <v>73</v>
      </c>
      <c r="F43" s="716">
        <v>60</v>
      </c>
      <c r="G43" s="716">
        <f t="shared" si="0"/>
        <v>-13</v>
      </c>
      <c r="H43" s="327">
        <f t="shared" si="3"/>
        <v>0.82191780821917804</v>
      </c>
      <c r="I43" s="717">
        <f t="shared" si="2"/>
        <v>0</v>
      </c>
    </row>
    <row r="44" spans="1:11" x14ac:dyDescent="0.35">
      <c r="A44" s="714">
        <v>30</v>
      </c>
      <c r="B44" s="714" t="s">
        <v>922</v>
      </c>
      <c r="C44" s="399" t="s">
        <v>892</v>
      </c>
      <c r="D44" s="715">
        <v>6.6799999999999998E-2</v>
      </c>
      <c r="E44" s="716">
        <v>0.39</v>
      </c>
      <c r="F44" s="716">
        <v>23</v>
      </c>
      <c r="G44" s="716">
        <f t="shared" si="0"/>
        <v>22.61</v>
      </c>
      <c r="H44" s="327">
        <f t="shared" si="3"/>
        <v>58.974358974358971</v>
      </c>
      <c r="I44" s="717">
        <f t="shared" si="2"/>
        <v>0</v>
      </c>
    </row>
    <row r="45" spans="1:11" x14ac:dyDescent="0.35">
      <c r="A45" s="714">
        <v>31</v>
      </c>
      <c r="B45" s="714" t="s">
        <v>923</v>
      </c>
      <c r="C45" s="399" t="s">
        <v>896</v>
      </c>
      <c r="D45" s="715">
        <v>-1.61E-2</v>
      </c>
      <c r="E45" s="716">
        <v>183</v>
      </c>
      <c r="F45" s="716">
        <v>82</v>
      </c>
      <c r="G45" s="716">
        <f t="shared" si="0"/>
        <v>-101</v>
      </c>
      <c r="H45" s="327">
        <f t="shared" si="3"/>
        <v>0.44808743169398907</v>
      </c>
      <c r="I45" s="717">
        <f t="shared" si="2"/>
        <v>0</v>
      </c>
    </row>
    <row r="46" spans="1:11" x14ac:dyDescent="0.35">
      <c r="A46" s="714">
        <v>32</v>
      </c>
      <c r="B46" s="714" t="s">
        <v>924</v>
      </c>
      <c r="C46" s="399" t="s">
        <v>896</v>
      </c>
      <c r="D46" s="715">
        <v>0.1207</v>
      </c>
      <c r="E46" s="716">
        <v>16</v>
      </c>
      <c r="F46" s="716">
        <v>30</v>
      </c>
      <c r="G46" s="716">
        <f t="shared" si="0"/>
        <v>14</v>
      </c>
      <c r="H46" s="327">
        <f t="shared" si="3"/>
        <v>1.875</v>
      </c>
      <c r="I46" s="717">
        <f t="shared" si="2"/>
        <v>0</v>
      </c>
    </row>
    <row r="47" spans="1:11" x14ac:dyDescent="0.35">
      <c r="A47" s="714">
        <v>33</v>
      </c>
      <c r="B47" s="714" t="s">
        <v>925</v>
      </c>
      <c r="C47" s="399" t="s">
        <v>896</v>
      </c>
      <c r="D47" s="715">
        <v>-0.2316</v>
      </c>
      <c r="E47" s="716">
        <v>83</v>
      </c>
      <c r="F47" s="716">
        <v>26</v>
      </c>
      <c r="G47" s="716">
        <f t="shared" si="0"/>
        <v>-57</v>
      </c>
      <c r="H47" s="327">
        <f t="shared" si="3"/>
        <v>0.31325301204819278</v>
      </c>
      <c r="I47" s="717">
        <f t="shared" si="2"/>
        <v>0</v>
      </c>
    </row>
    <row r="48" spans="1:11" x14ac:dyDescent="0.35">
      <c r="A48" s="714">
        <v>34</v>
      </c>
      <c r="B48" s="714" t="s">
        <v>926</v>
      </c>
      <c r="C48" s="399" t="s">
        <v>896</v>
      </c>
      <c r="D48" s="715">
        <v>-0.255</v>
      </c>
      <c r="E48" s="716">
        <v>6</v>
      </c>
      <c r="F48" s="716">
        <v>2</v>
      </c>
      <c r="G48" s="716">
        <f t="shared" si="0"/>
        <v>-4</v>
      </c>
      <c r="H48" s="327">
        <f t="shared" si="3"/>
        <v>0.33333333333333331</v>
      </c>
      <c r="I48" s="717">
        <f t="shared" si="2"/>
        <v>0</v>
      </c>
    </row>
    <row r="49" spans="1:26" x14ac:dyDescent="0.35">
      <c r="A49" s="714">
        <v>35</v>
      </c>
      <c r="B49" s="714" t="s">
        <v>927</v>
      </c>
      <c r="C49" s="399" t="s">
        <v>896</v>
      </c>
      <c r="D49" s="715">
        <v>-2.1399999999999999E-2</v>
      </c>
      <c r="E49" s="716">
        <v>23000</v>
      </c>
      <c r="F49" s="716">
        <v>13200</v>
      </c>
      <c r="G49" s="716">
        <f t="shared" si="0"/>
        <v>-9800</v>
      </c>
      <c r="H49" s="327">
        <f t="shared" si="3"/>
        <v>0.57391304347826089</v>
      </c>
      <c r="I49" s="717">
        <f t="shared" si="2"/>
        <v>0</v>
      </c>
    </row>
    <row r="50" spans="1:26" x14ac:dyDescent="0.35">
      <c r="A50" s="714">
        <v>36</v>
      </c>
      <c r="B50" s="714" t="s">
        <v>928</v>
      </c>
      <c r="C50" s="399" t="s">
        <v>896</v>
      </c>
      <c r="D50" s="715">
        <v>2.0999999999999999E-3</v>
      </c>
      <c r="E50" s="716">
        <v>16</v>
      </c>
      <c r="F50" s="716">
        <v>16.2</v>
      </c>
      <c r="G50" s="716">
        <f t="shared" si="0"/>
        <v>0.19999999999999929</v>
      </c>
      <c r="H50" s="327">
        <f t="shared" si="3"/>
        <v>1.0125</v>
      </c>
      <c r="I50" s="717">
        <f t="shared" si="2"/>
        <v>0</v>
      </c>
    </row>
    <row r="51" spans="1:26" x14ac:dyDescent="0.35">
      <c r="A51" s="714">
        <v>37</v>
      </c>
      <c r="B51" s="714" t="s">
        <v>929</v>
      </c>
      <c r="C51" s="399" t="s">
        <v>896</v>
      </c>
      <c r="D51" s="715">
        <v>6.0000000000000002E-5</v>
      </c>
      <c r="E51" s="716">
        <v>108</v>
      </c>
      <c r="F51" s="716">
        <v>108.5</v>
      </c>
      <c r="G51" s="716">
        <f t="shared" si="0"/>
        <v>0.5</v>
      </c>
      <c r="H51" s="327">
        <f t="shared" si="3"/>
        <v>1.0046296296296295</v>
      </c>
      <c r="I51" s="717">
        <f t="shared" si="2"/>
        <v>0</v>
      </c>
    </row>
    <row r="52" spans="1:26" x14ac:dyDescent="0.35">
      <c r="A52" s="714">
        <v>38</v>
      </c>
      <c r="B52" s="714" t="s">
        <v>930</v>
      </c>
      <c r="C52" s="399" t="s">
        <v>896</v>
      </c>
      <c r="D52" s="715">
        <v>-3.8800000000000001E-2</v>
      </c>
      <c r="E52" s="716">
        <v>194</v>
      </c>
      <c r="F52" s="716">
        <v>147</v>
      </c>
      <c r="G52" s="716">
        <f t="shared" si="0"/>
        <v>-47</v>
      </c>
      <c r="H52" s="327">
        <f t="shared" si="3"/>
        <v>0.75773195876288657</v>
      </c>
      <c r="I52" s="717">
        <f t="shared" si="2"/>
        <v>0</v>
      </c>
    </row>
    <row r="53" spans="1:26" x14ac:dyDescent="0.35">
      <c r="A53" s="714">
        <v>39</v>
      </c>
      <c r="B53" s="714" t="s">
        <v>931</v>
      </c>
      <c r="C53" s="399" t="s">
        <v>896</v>
      </c>
      <c r="D53" s="715">
        <v>-1.5E-3</v>
      </c>
      <c r="E53" s="716">
        <v>136</v>
      </c>
      <c r="F53" s="716">
        <v>134</v>
      </c>
      <c r="G53" s="716">
        <f t="shared" si="0"/>
        <v>-2</v>
      </c>
      <c r="H53" s="327">
        <f t="shared" si="3"/>
        <v>0.98529411764705888</v>
      </c>
      <c r="I53" s="717">
        <f t="shared" si="2"/>
        <v>0</v>
      </c>
    </row>
    <row r="54" spans="1:26" x14ac:dyDescent="0.35">
      <c r="A54" s="714">
        <v>40</v>
      </c>
      <c r="B54" s="714" t="s">
        <v>932</v>
      </c>
      <c r="C54" s="399" t="s">
        <v>896</v>
      </c>
      <c r="D54" s="715">
        <v>0.21</v>
      </c>
      <c r="E54" s="716">
        <v>241</v>
      </c>
      <c r="F54" s="716">
        <v>244</v>
      </c>
      <c r="G54" s="716">
        <f t="shared" si="0"/>
        <v>3</v>
      </c>
      <c r="H54" s="327">
        <f t="shared" si="3"/>
        <v>1.0124481327800829</v>
      </c>
      <c r="I54" s="717">
        <f t="shared" si="2"/>
        <v>0</v>
      </c>
    </row>
    <row r="55" spans="1:26" s="198" customFormat="1" x14ac:dyDescent="0.35">
      <c r="A55" s="718"/>
      <c r="B55" s="718"/>
      <c r="C55" s="719"/>
      <c r="D55" s="719"/>
      <c r="E55" s="720">
        <f>SUM(SUM(E15:E54))</f>
        <v>54055.67</v>
      </c>
      <c r="F55" s="720">
        <f>SUM(SUM(F15:F54))</f>
        <v>33800.259999999995</v>
      </c>
      <c r="G55" s="720">
        <f>SUM(SUM(G15:G54))</f>
        <v>-20255.41</v>
      </c>
      <c r="H55" s="720"/>
      <c r="I55" s="721">
        <f>SUM(SUM(I15:I54))</f>
        <v>747</v>
      </c>
      <c r="J55" s="551">
        <f>F55+I55</f>
        <v>34547.259999999995</v>
      </c>
      <c r="Z55" s="709" t="s">
        <v>933</v>
      </c>
    </row>
    <row r="56" spans="1:26" x14ac:dyDescent="0.35">
      <c r="Z56">
        <f>3300</f>
        <v>3300</v>
      </c>
    </row>
    <row r="57" spans="1:26" x14ac:dyDescent="0.35">
      <c r="B57" s="722"/>
      <c r="C57" s="711"/>
      <c r="D57" s="712"/>
      <c r="E57" s="712"/>
      <c r="F57" s="712"/>
      <c r="G57" s="712"/>
      <c r="H57" s="712"/>
      <c r="I57" s="713"/>
      <c r="Z57">
        <v>810</v>
      </c>
    </row>
    <row r="58" spans="1:26" x14ac:dyDescent="0.35">
      <c r="Z58">
        <v>720</v>
      </c>
    </row>
    <row r="59" spans="1:26" x14ac:dyDescent="0.35">
      <c r="Z59">
        <v>7000</v>
      </c>
    </row>
    <row r="60" spans="1:26" x14ac:dyDescent="0.35">
      <c r="Z60">
        <v>257</v>
      </c>
    </row>
    <row r="61" spans="1:26" x14ac:dyDescent="0.35">
      <c r="Z61" s="198">
        <f>SUM(SUM(Z56:Z60))</f>
        <v>12087</v>
      </c>
    </row>
  </sheetData>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LD Summary</vt:lpstr>
      <vt:lpstr>Headline.Summary</vt:lpstr>
      <vt:lpstr>Headline.Summary OLD</vt:lpstr>
      <vt:lpstr>Charts (Data)</vt:lpstr>
      <vt:lpstr>AssetByAsset.Summary</vt:lpstr>
      <vt:lpstr>Preface</vt:lpstr>
      <vt:lpstr>Investment Summary</vt:lpstr>
      <vt:lpstr>Master</vt:lpstr>
      <vt:lpstr>Soils</vt:lpstr>
      <vt:lpstr>Inland Water</vt:lpstr>
      <vt:lpstr>Native vegetation</vt:lpstr>
      <vt:lpstr>Threatened Species</vt:lpstr>
      <vt:lpstr>Coastal Environments</vt:lpstr>
      <vt:lpstr>Carbon.Data</vt:lpstr>
      <vt:lpstr>Native vegetation - Carbon</vt:lpstr>
      <vt:lpstr>Present Value</vt:lpstr>
      <vt:lpstr>Assumptions</vt:lpstr>
      <vt:lpstr>Inflation Rates</vt:lpstr>
      <vt:lpstr>Regulatory.Actions</vt:lpstr>
      <vt:lpstr>MajorRiv.Data</vt:lpstr>
      <vt:lpstr>MinorRiv.Data</vt:lpstr>
      <vt:lpstr>Lakes.Data</vt:lpstr>
      <vt:lpstr>Inland Waterways&gt;OpEx</vt:lpstr>
      <vt:lpstr>Other.Freshwater.Data</vt:lpstr>
      <vt:lpstr>TEC.Data</vt:lpstr>
      <vt:lpstr>NativeVeg V1.1 &amp; OpEx</vt:lpstr>
      <vt:lpstr>TEC.Data Wintle</vt:lpstr>
      <vt:lpstr>Estuaries.Data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author</dc:creator>
  <cp:keywords/>
  <dc:description/>
  <cp:lastModifiedBy>Debbie Medaris</cp:lastModifiedBy>
  <cp:revision/>
  <cp:lastPrinted>2023-04-25T13:32:18Z</cp:lastPrinted>
  <dcterms:created xsi:type="dcterms:W3CDTF">2016-12-13T03:30:40Z</dcterms:created>
  <dcterms:modified xsi:type="dcterms:W3CDTF">2024-07-23T10:29:20Z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adb064b5-5911-4077-b076-dd8db707b7e6_Enabled">
    <vt:lpwstr>true</vt:lpwstr>
  </property>
  <property fmtid="{D5CDD505-2E9C-101B-9397-08002B2CF9AE}" pid="3" name="MSIP_Label_adb064b5-5911-4077-b076-dd8db707b7e6_SetDate">
    <vt:lpwstr>2022-03-21T04:15:48Z</vt:lpwstr>
  </property>
  <property fmtid="{D5CDD505-2E9C-101B-9397-08002B2CF9AE}" pid="4" name="MSIP_Label_adb064b5-5911-4077-b076-dd8db707b7e6_Method">
    <vt:lpwstr>Privileged</vt:lpwstr>
  </property>
  <property fmtid="{D5CDD505-2E9C-101B-9397-08002B2CF9AE}" pid="5" name="MSIP_Label_adb064b5-5911-4077-b076-dd8db707b7e6_Name">
    <vt:lpwstr>UNOFFICIAL</vt:lpwstr>
  </property>
  <property fmtid="{D5CDD505-2E9C-101B-9397-08002B2CF9AE}" pid="6" name="MSIP_Label_adb064b5-5911-4077-b076-dd8db707b7e6_SiteId">
    <vt:lpwstr>b6e377cf-9db3-46cb-91a2-fad9605bb15c</vt:lpwstr>
  </property>
  <property fmtid="{D5CDD505-2E9C-101B-9397-08002B2CF9AE}" pid="7" name="MSIP_Label_adb064b5-5911-4077-b076-dd8db707b7e6_ActionId">
    <vt:lpwstr>23856458-25e1-43d0-9136-fcbddcc9426f</vt:lpwstr>
  </property>
  <property fmtid="{D5CDD505-2E9C-101B-9397-08002B2CF9AE}" pid="8" name="MSIP_Label_adb064b5-5911-4077-b076-dd8db707b7e6_ContentBits">
    <vt:lpwstr>0</vt:lpwstr>
  </property>
</Properties>
</file>